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A04B2DF2-7539-4A16-B638-7CB8938E20D7}" xr6:coauthVersionLast="45" xr6:coauthVersionMax="45" xr10:uidLastSave="{00000000-0000-0000-0000-000000000000}"/>
  <bookViews>
    <workbookView xWindow="28680" yWindow="-120" windowWidth="29040" windowHeight="16440" firstSheet="3" activeTab="4" xr2:uid="{00000000-000D-0000-FFFF-FFFF00000000}"/>
  </bookViews>
  <sheets>
    <sheet name="1Summary YTD10.31.19 (condensd)" sheetId="16" r:id="rId1"/>
    <sheet name="Summary YTD 10.31.19" sheetId="11" r:id="rId2"/>
    <sheet name="Comp Summary YTD 2020-2019 " sheetId="15" r:id="rId3"/>
    <sheet name="Comp YTD 2020-2019 " sheetId="12" r:id="rId4"/>
    <sheet name="Budgets &amp; Projections 2019 " sheetId="18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'1Summary YTD10.31.19 (condensd)'!$A$1:$I$64</definedName>
    <definedName name="_xlnm.Print_Area" localSheetId="10">'722 Bedford St'!$A$1:$N$30</definedName>
    <definedName name="_xlnm.Print_Area" localSheetId="6">BPM!$A$1:$N$91</definedName>
    <definedName name="_xlnm.Print_Area" localSheetId="8">'BSC (Dome)'!$A$1:$N$85</definedName>
    <definedName name="_xlnm.Print_Area" localSheetId="4">'Budgets &amp; Projections 2019 '!$A$747:$O$863</definedName>
    <definedName name="_xlnm.Print_Area" localSheetId="11">CNT!$A$1:$N$303</definedName>
    <definedName name="_xlnm.Print_Area" localSheetId="2">'Comp Summary YTD 2020-2019 '!$A$9:$AE$37</definedName>
    <definedName name="_xlnm.Print_Area" localSheetId="3">'Comp YTD 2020-2019 '!$A$1:$L$445</definedName>
    <definedName name="_xlnm.Print_Area" localSheetId="5">DEP!$A$1:$N$89</definedName>
    <definedName name="_xlnm.Print_Area" localSheetId="7">Lending!$A$1:$N$22</definedName>
    <definedName name="_xlnm.Print_Area" localSheetId="9">'Oliari Co.'!$A$1:$N$33</definedName>
    <definedName name="_xlnm.Print_Area" localSheetId="1">'Summary YTD 10.31.19'!$A$1:$I$113</definedName>
    <definedName name="_xlnm.Print_Titles" localSheetId="0">'1Summary YTD10.31.19 (condensd)'!$1:$6</definedName>
    <definedName name="_xlnm.Print_Titles" localSheetId="6">BPM!$1:$6</definedName>
    <definedName name="_xlnm.Print_Titles" localSheetId="8">'BSC (Dome)'!$1:$6</definedName>
    <definedName name="_xlnm.Print_Titles" localSheetId="4">'Budgets &amp; Projections 2019 '!$1:$6</definedName>
    <definedName name="_xlnm.Print_Titles" localSheetId="11">CNT!$A:$A,CNT!$1:$3</definedName>
    <definedName name="_xlnm.Print_Titles" localSheetId="2">'Comp Summary YTD 2020-2019 '!$9:$18</definedName>
    <definedName name="_xlnm.Print_Titles" localSheetId="5">DEP!$1:$6</definedName>
    <definedName name="_xlnm.Print_Titles" localSheetId="1">'Summary YTD 10.31.19'!$1:$6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0" l="1"/>
  <c r="E15" i="10"/>
  <c r="N14" i="10"/>
  <c r="N15" i="10" s="1"/>
  <c r="D15" i="10"/>
  <c r="C15" i="10"/>
  <c r="B15" i="10"/>
  <c r="E43" i="5" l="1"/>
  <c r="E36" i="5"/>
  <c r="E413" i="12" l="1"/>
  <c r="I281" i="12"/>
  <c r="N50" i="2"/>
  <c r="N49" i="2"/>
  <c r="E95" i="2"/>
  <c r="E96" i="2"/>
  <c r="E79" i="2"/>
  <c r="E64" i="2"/>
  <c r="E93" i="2" s="1"/>
  <c r="E65" i="2"/>
  <c r="E94" i="2" s="1"/>
  <c r="E66" i="2"/>
  <c r="E67" i="2"/>
  <c r="E68" i="2"/>
  <c r="E69" i="2"/>
  <c r="E71" i="2"/>
  <c r="E97" i="2" s="1"/>
  <c r="E58" i="2"/>
  <c r="E88" i="2" s="1"/>
  <c r="E59" i="2"/>
  <c r="E89" i="2" s="1"/>
  <c r="E60" i="2"/>
  <c r="E61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0" i="2"/>
  <c r="B99" i="12" s="1"/>
  <c r="I99" i="12" l="1"/>
  <c r="B88" i="11"/>
  <c r="I88" i="11" s="1"/>
  <c r="D15" i="14"/>
  <c r="C15" i="14"/>
  <c r="B15" i="14"/>
  <c r="N11" i="14"/>
  <c r="G51" i="12" s="1"/>
  <c r="G46" i="11" s="1"/>
  <c r="D63" i="10"/>
  <c r="D45" i="10"/>
  <c r="I413" i="12" l="1"/>
  <c r="G413" i="12"/>
  <c r="C413" i="12"/>
  <c r="D36" i="5"/>
  <c r="D95" i="2" l="1"/>
  <c r="D96" i="2"/>
  <c r="D97" i="2"/>
  <c r="D58" i="2"/>
  <c r="D88" i="2" s="1"/>
  <c r="D59" i="2"/>
  <c r="D89" i="2" s="1"/>
  <c r="D60" i="2"/>
  <c r="D61" i="2"/>
  <c r="D64" i="2"/>
  <c r="D93" i="2" s="1"/>
  <c r="D65" i="2"/>
  <c r="D94" i="2" s="1"/>
  <c r="D66" i="2"/>
  <c r="D67" i="2"/>
  <c r="D68" i="2"/>
  <c r="D69" i="2"/>
  <c r="D71" i="2"/>
  <c r="D79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1" i="2"/>
  <c r="D78" i="2" s="1"/>
  <c r="D90" i="2" l="1"/>
  <c r="D62" i="2"/>
  <c r="D98" i="2"/>
  <c r="D72" i="2"/>
  <c r="I303" i="12"/>
  <c r="E436" i="12" s="1"/>
  <c r="B310" i="12"/>
  <c r="C310" i="12"/>
  <c r="D310" i="12"/>
  <c r="E310" i="12"/>
  <c r="F310" i="12"/>
  <c r="G310" i="12"/>
  <c r="H310" i="12"/>
  <c r="D99" i="2" l="1"/>
  <c r="D73" i="2"/>
  <c r="C44" i="10"/>
  <c r="C80" i="6"/>
  <c r="N70" i="6"/>
  <c r="C42" i="5"/>
  <c r="C36" i="5"/>
  <c r="C66" i="2"/>
  <c r="B66" i="2"/>
  <c r="B301" i="2"/>
  <c r="C301" i="2"/>
  <c r="N198" i="2"/>
  <c r="A187" i="12" l="1"/>
  <c r="B45" i="10" l="1"/>
  <c r="N67" i="6"/>
  <c r="B42" i="5"/>
  <c r="B36" i="5"/>
  <c r="C85" i="11" l="1"/>
  <c r="C48" i="16"/>
  <c r="C96" i="12"/>
  <c r="B95" i="2"/>
  <c r="C95" i="2"/>
  <c r="F95" i="2"/>
  <c r="G95" i="2"/>
  <c r="H95" i="2"/>
  <c r="I95" i="2"/>
  <c r="J95" i="2"/>
  <c r="K95" i="2"/>
  <c r="L95" i="2"/>
  <c r="B96" i="2"/>
  <c r="C96" i="2"/>
  <c r="F96" i="2"/>
  <c r="G96" i="2"/>
  <c r="H96" i="2"/>
  <c r="I96" i="2"/>
  <c r="J96" i="2"/>
  <c r="K96" i="2"/>
  <c r="L96" i="2"/>
  <c r="B58" i="2"/>
  <c r="B88" i="2" s="1"/>
  <c r="C58" i="2"/>
  <c r="C88" i="2" s="1"/>
  <c r="F58" i="2"/>
  <c r="F88" i="2" s="1"/>
  <c r="G58" i="2"/>
  <c r="G88" i="2" s="1"/>
  <c r="H58" i="2"/>
  <c r="H88" i="2" s="1"/>
  <c r="I58" i="2"/>
  <c r="I88" i="2" s="1"/>
  <c r="J58" i="2"/>
  <c r="J88" i="2" s="1"/>
  <c r="K58" i="2"/>
  <c r="K88" i="2" s="1"/>
  <c r="L58" i="2"/>
  <c r="L88" i="2" s="1"/>
  <c r="B59" i="2"/>
  <c r="C59" i="2"/>
  <c r="C89" i="2" s="1"/>
  <c r="F59" i="2"/>
  <c r="G59" i="2"/>
  <c r="G89" i="2" s="1"/>
  <c r="H59" i="2"/>
  <c r="I59" i="2"/>
  <c r="J59" i="2"/>
  <c r="K59" i="2"/>
  <c r="K89" i="2" s="1"/>
  <c r="L59" i="2"/>
  <c r="B60" i="2"/>
  <c r="C60" i="2"/>
  <c r="F60" i="2"/>
  <c r="G60" i="2"/>
  <c r="H60" i="2"/>
  <c r="I60" i="2"/>
  <c r="J60" i="2"/>
  <c r="K60" i="2"/>
  <c r="L60" i="2"/>
  <c r="B61" i="2"/>
  <c r="C61" i="2"/>
  <c r="F61" i="2"/>
  <c r="G61" i="2"/>
  <c r="H61" i="2"/>
  <c r="I61" i="2"/>
  <c r="J61" i="2"/>
  <c r="K61" i="2"/>
  <c r="L61" i="2"/>
  <c r="E62" i="2"/>
  <c r="B64" i="2"/>
  <c r="B93" i="2" s="1"/>
  <c r="C64" i="2"/>
  <c r="C93" i="2" s="1"/>
  <c r="F64" i="2"/>
  <c r="G64" i="2"/>
  <c r="G93" i="2" s="1"/>
  <c r="H64" i="2"/>
  <c r="I64" i="2"/>
  <c r="I93" i="2" s="1"/>
  <c r="J64" i="2"/>
  <c r="K64" i="2"/>
  <c r="K93" i="2" s="1"/>
  <c r="L64" i="2"/>
  <c r="B65" i="2"/>
  <c r="B94" i="2" s="1"/>
  <c r="C65" i="2"/>
  <c r="C94" i="2" s="1"/>
  <c r="F65" i="2"/>
  <c r="F94" i="2" s="1"/>
  <c r="G65" i="2"/>
  <c r="H65" i="2"/>
  <c r="H94" i="2" s="1"/>
  <c r="I65" i="2"/>
  <c r="I94" i="2" s="1"/>
  <c r="J65" i="2"/>
  <c r="J94" i="2" s="1"/>
  <c r="K65" i="2"/>
  <c r="L65" i="2"/>
  <c r="L94" i="2" s="1"/>
  <c r="F66" i="2"/>
  <c r="G66" i="2"/>
  <c r="H66" i="2"/>
  <c r="I66" i="2"/>
  <c r="J66" i="2"/>
  <c r="K66" i="2"/>
  <c r="L66" i="2"/>
  <c r="B67" i="2"/>
  <c r="C67" i="2"/>
  <c r="F67" i="2"/>
  <c r="G67" i="2"/>
  <c r="H67" i="2"/>
  <c r="I67" i="2"/>
  <c r="J67" i="2"/>
  <c r="K67" i="2"/>
  <c r="L67" i="2"/>
  <c r="B68" i="2"/>
  <c r="C68" i="2"/>
  <c r="F68" i="2"/>
  <c r="G68" i="2"/>
  <c r="H68" i="2"/>
  <c r="I68" i="2"/>
  <c r="J68" i="2"/>
  <c r="K68" i="2"/>
  <c r="L68" i="2"/>
  <c r="B69" i="2"/>
  <c r="C69" i="2"/>
  <c r="F69" i="2"/>
  <c r="G69" i="2"/>
  <c r="H69" i="2"/>
  <c r="I69" i="2"/>
  <c r="J69" i="2"/>
  <c r="K69" i="2"/>
  <c r="L69" i="2"/>
  <c r="B71" i="2"/>
  <c r="B97" i="2" s="1"/>
  <c r="C71" i="2"/>
  <c r="C97" i="2" s="1"/>
  <c r="F71" i="2"/>
  <c r="F97" i="2" s="1"/>
  <c r="G71" i="2"/>
  <c r="G97" i="2" s="1"/>
  <c r="H71" i="2"/>
  <c r="H97" i="2" s="1"/>
  <c r="I71" i="2"/>
  <c r="I97" i="2" s="1"/>
  <c r="J71" i="2"/>
  <c r="J97" i="2" s="1"/>
  <c r="K71" i="2"/>
  <c r="K97" i="2" s="1"/>
  <c r="L71" i="2"/>
  <c r="L97" i="2" s="1"/>
  <c r="B78" i="2"/>
  <c r="C78" i="2"/>
  <c r="B79" i="2"/>
  <c r="C79" i="2"/>
  <c r="F79" i="2"/>
  <c r="G79" i="2"/>
  <c r="H79" i="2"/>
  <c r="I79" i="2"/>
  <c r="J79" i="2"/>
  <c r="K79" i="2"/>
  <c r="L79" i="2"/>
  <c r="B285" i="2"/>
  <c r="B77" i="2" s="1"/>
  <c r="B249" i="2"/>
  <c r="B76" i="2" s="1"/>
  <c r="B224" i="2"/>
  <c r="B75" i="2" s="1"/>
  <c r="B207" i="2"/>
  <c r="B134" i="2"/>
  <c r="B14" i="2"/>
  <c r="C14" i="2"/>
  <c r="F14" i="2"/>
  <c r="G14" i="2"/>
  <c r="H14" i="2"/>
  <c r="I14" i="2"/>
  <c r="J14" i="2"/>
  <c r="K14" i="2"/>
  <c r="L14" i="2"/>
  <c r="B15" i="2"/>
  <c r="C15" i="2"/>
  <c r="F15" i="2"/>
  <c r="G15" i="2"/>
  <c r="H15" i="2"/>
  <c r="I15" i="2"/>
  <c r="J15" i="2"/>
  <c r="K15" i="2"/>
  <c r="L15" i="2"/>
  <c r="B16" i="2"/>
  <c r="C16" i="2"/>
  <c r="F16" i="2"/>
  <c r="G16" i="2"/>
  <c r="H16" i="2"/>
  <c r="I16" i="2"/>
  <c r="J16" i="2"/>
  <c r="K16" i="2"/>
  <c r="L16" i="2"/>
  <c r="B17" i="2"/>
  <c r="C17" i="2"/>
  <c r="F17" i="2"/>
  <c r="G17" i="2"/>
  <c r="H17" i="2"/>
  <c r="I17" i="2"/>
  <c r="J17" i="2"/>
  <c r="K17" i="2"/>
  <c r="L17" i="2"/>
  <c r="B18" i="2"/>
  <c r="C18" i="2"/>
  <c r="F18" i="2"/>
  <c r="G18" i="2"/>
  <c r="H18" i="2"/>
  <c r="I18" i="2"/>
  <c r="J18" i="2"/>
  <c r="K18" i="2"/>
  <c r="L18" i="2"/>
  <c r="B19" i="2"/>
  <c r="C19" i="2"/>
  <c r="F19" i="2"/>
  <c r="G19" i="2"/>
  <c r="H19" i="2"/>
  <c r="I19" i="2"/>
  <c r="J19" i="2"/>
  <c r="K19" i="2"/>
  <c r="L19" i="2"/>
  <c r="B20" i="2"/>
  <c r="C20" i="2"/>
  <c r="F20" i="2"/>
  <c r="G20" i="2"/>
  <c r="H20" i="2"/>
  <c r="I20" i="2"/>
  <c r="J20" i="2"/>
  <c r="K20" i="2"/>
  <c r="L20" i="2"/>
  <c r="B22" i="2"/>
  <c r="C22" i="2"/>
  <c r="F22" i="2"/>
  <c r="G22" i="2"/>
  <c r="H22" i="2"/>
  <c r="I22" i="2"/>
  <c r="J22" i="2"/>
  <c r="K22" i="2"/>
  <c r="L22" i="2"/>
  <c r="B23" i="2"/>
  <c r="C23" i="2"/>
  <c r="F23" i="2"/>
  <c r="G23" i="2"/>
  <c r="H23" i="2"/>
  <c r="I23" i="2"/>
  <c r="J23" i="2"/>
  <c r="K23" i="2"/>
  <c r="L23" i="2"/>
  <c r="B24" i="2"/>
  <c r="C24" i="2"/>
  <c r="F24" i="2"/>
  <c r="G24" i="2"/>
  <c r="H24" i="2"/>
  <c r="I24" i="2"/>
  <c r="J24" i="2"/>
  <c r="K24" i="2"/>
  <c r="L24" i="2"/>
  <c r="B25" i="2"/>
  <c r="C25" i="2"/>
  <c r="F25" i="2"/>
  <c r="G25" i="2"/>
  <c r="H25" i="2"/>
  <c r="I25" i="2"/>
  <c r="J25" i="2"/>
  <c r="K25" i="2"/>
  <c r="L25" i="2"/>
  <c r="B27" i="2"/>
  <c r="C27" i="2"/>
  <c r="F27" i="2"/>
  <c r="G27" i="2"/>
  <c r="H27" i="2"/>
  <c r="I27" i="2"/>
  <c r="J27" i="2"/>
  <c r="K27" i="2"/>
  <c r="L27" i="2"/>
  <c r="B28" i="2"/>
  <c r="C28" i="2"/>
  <c r="F28" i="2"/>
  <c r="G28" i="2"/>
  <c r="H28" i="2"/>
  <c r="I28" i="2"/>
  <c r="J28" i="2"/>
  <c r="K28" i="2"/>
  <c r="L28" i="2"/>
  <c r="B29" i="2"/>
  <c r="C29" i="2"/>
  <c r="F29" i="2"/>
  <c r="G29" i="2"/>
  <c r="H29" i="2"/>
  <c r="I29" i="2"/>
  <c r="J29" i="2"/>
  <c r="K29" i="2"/>
  <c r="L29" i="2"/>
  <c r="B30" i="2"/>
  <c r="C30" i="2"/>
  <c r="F30" i="2"/>
  <c r="G30" i="2"/>
  <c r="H30" i="2"/>
  <c r="I30" i="2"/>
  <c r="J30" i="2"/>
  <c r="K30" i="2"/>
  <c r="L30" i="2"/>
  <c r="B32" i="2"/>
  <c r="C32" i="2"/>
  <c r="F32" i="2"/>
  <c r="G32" i="2"/>
  <c r="H32" i="2"/>
  <c r="I32" i="2"/>
  <c r="J32" i="2"/>
  <c r="K32" i="2"/>
  <c r="L32" i="2"/>
  <c r="B33" i="2"/>
  <c r="C33" i="2"/>
  <c r="F33" i="2"/>
  <c r="G33" i="2"/>
  <c r="H33" i="2"/>
  <c r="I33" i="2"/>
  <c r="J33" i="2"/>
  <c r="K33" i="2"/>
  <c r="L33" i="2"/>
  <c r="B5" i="2"/>
  <c r="C5" i="2"/>
  <c r="F5" i="2"/>
  <c r="G5" i="2"/>
  <c r="H5" i="2"/>
  <c r="I5" i="2"/>
  <c r="J5" i="2"/>
  <c r="K5" i="2"/>
  <c r="L5" i="2"/>
  <c r="B6" i="2"/>
  <c r="C6" i="2"/>
  <c r="F6" i="2"/>
  <c r="G6" i="2"/>
  <c r="H6" i="2"/>
  <c r="I6" i="2"/>
  <c r="J6" i="2"/>
  <c r="K6" i="2"/>
  <c r="L6" i="2"/>
  <c r="B7" i="2"/>
  <c r="C7" i="2"/>
  <c r="F7" i="2"/>
  <c r="G7" i="2"/>
  <c r="H7" i="2"/>
  <c r="I7" i="2"/>
  <c r="J7" i="2"/>
  <c r="K7" i="2"/>
  <c r="L7" i="2"/>
  <c r="B8" i="2"/>
  <c r="C8" i="2"/>
  <c r="F8" i="2"/>
  <c r="G8" i="2"/>
  <c r="H8" i="2"/>
  <c r="I8" i="2"/>
  <c r="J8" i="2"/>
  <c r="K8" i="2"/>
  <c r="L8" i="2"/>
  <c r="B9" i="2"/>
  <c r="C9" i="2"/>
  <c r="F9" i="2"/>
  <c r="G9" i="2"/>
  <c r="H9" i="2"/>
  <c r="I9" i="2"/>
  <c r="J9" i="2"/>
  <c r="K9" i="2"/>
  <c r="L9" i="2"/>
  <c r="B10" i="2"/>
  <c r="C10" i="2"/>
  <c r="F10" i="2"/>
  <c r="G10" i="2"/>
  <c r="H10" i="2"/>
  <c r="I10" i="2"/>
  <c r="J10" i="2"/>
  <c r="K10" i="2"/>
  <c r="L10" i="2"/>
  <c r="M5" i="2"/>
  <c r="N222" i="2"/>
  <c r="I72" i="2" l="1"/>
  <c r="I62" i="2"/>
  <c r="I90" i="2"/>
  <c r="G72" i="2"/>
  <c r="H72" i="2"/>
  <c r="I89" i="2"/>
  <c r="G62" i="2"/>
  <c r="H62" i="2"/>
  <c r="I98" i="2"/>
  <c r="H93" i="2"/>
  <c r="H98" i="2" s="1"/>
  <c r="H89" i="2"/>
  <c r="H90" i="2" s="1"/>
  <c r="H99" i="2" s="1"/>
  <c r="J72" i="2"/>
  <c r="K72" i="2"/>
  <c r="L72" i="2"/>
  <c r="C90" i="2"/>
  <c r="K62" i="2"/>
  <c r="L62" i="2"/>
  <c r="L93" i="2"/>
  <c r="L98" i="2" s="1"/>
  <c r="L89" i="2"/>
  <c r="L90" i="2" s="1"/>
  <c r="L99" i="2" s="1"/>
  <c r="F72" i="2"/>
  <c r="C62" i="2"/>
  <c r="J62" i="2"/>
  <c r="F62" i="2"/>
  <c r="K94" i="2"/>
  <c r="K98" i="2" s="1"/>
  <c r="G94" i="2"/>
  <c r="G98" i="2" s="1"/>
  <c r="J93" i="2"/>
  <c r="F93" i="2"/>
  <c r="F98" i="2" s="1"/>
  <c r="J89" i="2"/>
  <c r="J90" i="2" s="1"/>
  <c r="F89" i="2"/>
  <c r="F90" i="2" s="1"/>
  <c r="K90" i="2"/>
  <c r="G90" i="2"/>
  <c r="E72" i="2"/>
  <c r="E73" i="2" s="1"/>
  <c r="E98" i="2"/>
  <c r="E90" i="2"/>
  <c r="J98" i="2"/>
  <c r="B80" i="2"/>
  <c r="C72" i="2"/>
  <c r="B72" i="2"/>
  <c r="C98" i="2"/>
  <c r="B98" i="2"/>
  <c r="B62" i="2"/>
  <c r="B89" i="2"/>
  <c r="B90" i="2" s="1"/>
  <c r="J6" i="12"/>
  <c r="I367" i="12"/>
  <c r="I365" i="12"/>
  <c r="G367" i="12"/>
  <c r="G366" i="12"/>
  <c r="C424" i="12"/>
  <c r="C367" i="12"/>
  <c r="E367" i="12"/>
  <c r="E424" i="12" s="1"/>
  <c r="E99" i="2" l="1"/>
  <c r="J99" i="2"/>
  <c r="F99" i="2"/>
  <c r="I99" i="2"/>
  <c r="I73" i="2"/>
  <c r="C99" i="2"/>
  <c r="G99" i="2"/>
  <c r="L73" i="2"/>
  <c r="K99" i="2"/>
  <c r="K73" i="2"/>
  <c r="H73" i="2"/>
  <c r="C73" i="2"/>
  <c r="F73" i="2"/>
  <c r="G73" i="2"/>
  <c r="J73" i="2"/>
  <c r="B73" i="2"/>
  <c r="B99" i="2"/>
  <c r="M54" i="6"/>
  <c r="N34" i="6"/>
  <c r="M39" i="5"/>
  <c r="M61" i="2" l="1"/>
  <c r="M95" i="2"/>
  <c r="M96" i="2"/>
  <c r="M58" i="2"/>
  <c r="M88" i="2" s="1"/>
  <c r="M59" i="2"/>
  <c r="M89" i="2" s="1"/>
  <c r="M60" i="2"/>
  <c r="M64" i="2"/>
  <c r="M65" i="2"/>
  <c r="M94" i="2" s="1"/>
  <c r="M66" i="2"/>
  <c r="M67" i="2"/>
  <c r="M68" i="2"/>
  <c r="M69" i="2"/>
  <c r="M71" i="2"/>
  <c r="M97" i="2" s="1"/>
  <c r="M79" i="2"/>
  <c r="M14" i="2"/>
  <c r="M15" i="2"/>
  <c r="M16" i="2"/>
  <c r="M17" i="2"/>
  <c r="M18" i="2"/>
  <c r="M19" i="2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4" i="2"/>
  <c r="N121" i="2"/>
  <c r="M34" i="2" l="1"/>
  <c r="M72" i="2"/>
  <c r="M93" i="2"/>
  <c r="M98" i="2" s="1"/>
  <c r="M62" i="2"/>
  <c r="M73" i="2" s="1"/>
  <c r="M90" i="2"/>
  <c r="M99" i="2" l="1"/>
  <c r="I221" i="12"/>
  <c r="E351" i="12" s="1"/>
  <c r="I265" i="12"/>
  <c r="E397" i="12" s="1"/>
  <c r="I308" i="12"/>
  <c r="E441" i="12" s="1"/>
  <c r="B284" i="12"/>
  <c r="C284" i="12"/>
  <c r="D284" i="12"/>
  <c r="E284" i="12"/>
  <c r="F284" i="12"/>
  <c r="G284" i="12"/>
  <c r="H284" i="12"/>
  <c r="I310" i="12" l="1"/>
  <c r="N44" i="2" l="1"/>
  <c r="N41" i="2"/>
  <c r="N48" i="2"/>
  <c r="L52" i="2" l="1"/>
  <c r="L54" i="6" l="1"/>
  <c r="N84" i="5"/>
  <c r="D111" i="12" s="1"/>
  <c r="D100" i="11" s="1"/>
  <c r="K52" i="2" l="1"/>
  <c r="K285" i="2"/>
  <c r="K286" i="2" l="1"/>
  <c r="K77" i="2"/>
  <c r="K54" i="6"/>
  <c r="K39" i="5" l="1"/>
  <c r="H103" i="11" l="1"/>
  <c r="H60" i="16" s="1"/>
  <c r="G103" i="11"/>
  <c r="G60" i="16" s="1"/>
  <c r="F103" i="11"/>
  <c r="E103" i="11"/>
  <c r="E60" i="16" s="1"/>
  <c r="D103" i="11"/>
  <c r="D60" i="16" s="1"/>
  <c r="C103" i="11"/>
  <c r="C60" i="16" s="1"/>
  <c r="N294" i="2"/>
  <c r="B114" i="12" s="1"/>
  <c r="I114" i="12" s="1"/>
  <c r="I207" i="2"/>
  <c r="J134" i="2"/>
  <c r="B103" i="11" l="1"/>
  <c r="B60" i="16" s="1"/>
  <c r="F60" i="16"/>
  <c r="I60" i="16" l="1"/>
  <c r="I103" i="11"/>
  <c r="J39" i="5"/>
  <c r="J54" i="6" l="1"/>
  <c r="I309" i="12" l="1"/>
  <c r="N78" i="6" l="1"/>
  <c r="C90" i="11" s="1"/>
  <c r="I54" i="6"/>
  <c r="C101" i="12" l="1"/>
  <c r="N53" i="5"/>
  <c r="D87" i="11" s="1"/>
  <c r="I39" i="5"/>
  <c r="D98" i="12" l="1"/>
  <c r="H54" i="6"/>
  <c r="I249" i="2"/>
  <c r="I76" i="2" s="1"/>
  <c r="J249" i="2"/>
  <c r="J76" i="2" s="1"/>
  <c r="K249" i="2"/>
  <c r="K76" i="2" s="1"/>
  <c r="L249" i="2"/>
  <c r="L76" i="2" s="1"/>
  <c r="M249" i="2"/>
  <c r="M76" i="2" s="1"/>
  <c r="H249" i="2"/>
  <c r="H76" i="2" s="1"/>
  <c r="G249" i="2"/>
  <c r="G76" i="2" s="1"/>
  <c r="N248" i="2"/>
  <c r="F249" i="2"/>
  <c r="F76" i="2" s="1"/>
  <c r="E249" i="2"/>
  <c r="E76" i="2" s="1"/>
  <c r="D249" i="2"/>
  <c r="D76" i="2" s="1"/>
  <c r="C249" i="2"/>
  <c r="C76" i="2" s="1"/>
  <c r="H39" i="5" l="1"/>
  <c r="N284" i="2" l="1"/>
  <c r="C285" i="2"/>
  <c r="C77" i="2" s="1"/>
  <c r="D285" i="2"/>
  <c r="D77" i="2" s="1"/>
  <c r="E285" i="2"/>
  <c r="E77" i="2" s="1"/>
  <c r="F285" i="2"/>
  <c r="F77" i="2" s="1"/>
  <c r="G285" i="2"/>
  <c r="G77" i="2" s="1"/>
  <c r="H285" i="2"/>
  <c r="H77" i="2" s="1"/>
  <c r="I285" i="2"/>
  <c r="I77" i="2" s="1"/>
  <c r="J285" i="2"/>
  <c r="J77" i="2" s="1"/>
  <c r="L285" i="2"/>
  <c r="L77" i="2" s="1"/>
  <c r="M285" i="2"/>
  <c r="M77" i="2" s="1"/>
  <c r="G28" i="17" l="1"/>
  <c r="N25" i="17"/>
  <c r="H111" i="12" s="1"/>
  <c r="G15" i="14"/>
  <c r="H15" i="14"/>
  <c r="I15" i="14"/>
  <c r="J15" i="14"/>
  <c r="K15" i="14"/>
  <c r="L15" i="14"/>
  <c r="M15" i="14"/>
  <c r="F15" i="14"/>
  <c r="G54" i="6"/>
  <c r="H100" i="11" l="1"/>
  <c r="G39" i="5"/>
  <c r="F224" i="2" l="1"/>
  <c r="F75" i="2" s="1"/>
  <c r="E224" i="2"/>
  <c r="E75" i="2" s="1"/>
  <c r="F39" i="5" l="1"/>
  <c r="N283" i="2" l="1"/>
  <c r="N199" i="2"/>
  <c r="F207" i="2"/>
  <c r="F54" i="6" l="1"/>
  <c r="N51" i="6"/>
  <c r="N79" i="10" l="1"/>
  <c r="F112" i="12" s="1"/>
  <c r="F101" i="11" s="1"/>
  <c r="E15" i="14"/>
  <c r="E207" i="2" l="1"/>
  <c r="E39" i="5" l="1"/>
  <c r="N10" i="14"/>
  <c r="E80" i="6"/>
  <c r="D80" i="6"/>
  <c r="N64" i="6"/>
  <c r="C82" i="12" s="1"/>
  <c r="E54" i="6"/>
  <c r="N53" i="6"/>
  <c r="D54" i="6"/>
  <c r="C54" i="6"/>
  <c r="C88" i="6" s="1"/>
  <c r="B54" i="6"/>
  <c r="N21" i="5"/>
  <c r="N12" i="5"/>
  <c r="C71" i="11" l="1"/>
  <c r="C38" i="16"/>
  <c r="C44" i="12"/>
  <c r="C39" i="11" s="1"/>
  <c r="N12" i="14"/>
  <c r="D20" i="7"/>
  <c r="N19" i="7"/>
  <c r="E116" i="12" s="1"/>
  <c r="E105" i="11" s="1"/>
  <c r="N46" i="6"/>
  <c r="C39" i="12" s="1"/>
  <c r="C34" i="11" s="1"/>
  <c r="N49" i="5"/>
  <c r="D52" i="12" s="1"/>
  <c r="D47" i="11" s="1"/>
  <c r="N44" i="5"/>
  <c r="D53" i="12" s="1"/>
  <c r="D48" i="11" s="1"/>
  <c r="N38" i="5"/>
  <c r="D45" i="12" s="1"/>
  <c r="D40" i="11" s="1"/>
  <c r="D39" i="5"/>
  <c r="N31" i="5"/>
  <c r="D39" i="12" s="1"/>
  <c r="D34" i="11" s="1"/>
  <c r="N132" i="2"/>
  <c r="N201" i="2"/>
  <c r="D207" i="2"/>
  <c r="D134" i="2"/>
  <c r="G86" i="12" l="1"/>
  <c r="G75" i="11" s="1"/>
  <c r="E61" i="16"/>
  <c r="I105" i="11"/>
  <c r="I116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57" i="5"/>
  <c r="R57" i="5" s="1"/>
  <c r="N57" i="5"/>
  <c r="D101" i="12" s="1"/>
  <c r="D90" i="11" s="1"/>
  <c r="C39" i="5"/>
  <c r="C436" i="12" l="1"/>
  <c r="G436" i="12"/>
  <c r="C66" i="11"/>
  <c r="C71" i="12"/>
  <c r="N54" i="6"/>
  <c r="G84" i="12"/>
  <c r="Q57" i="5"/>
  <c r="P57" i="5" s="1"/>
  <c r="S57" i="5"/>
  <c r="P220" i="2" l="1"/>
  <c r="N263" i="2"/>
  <c r="N220" i="2"/>
  <c r="AF220" i="2" s="1"/>
  <c r="AG220" i="2" s="1"/>
  <c r="A12" i="15" l="1"/>
  <c r="K12" i="15" s="1"/>
  <c r="E235" i="12"/>
  <c r="E291" i="12" s="1"/>
  <c r="A76" i="12"/>
  <c r="A4" i="11" l="1"/>
  <c r="A4" i="16" s="1"/>
  <c r="Q27" i="17"/>
  <c r="Q22" i="17"/>
  <c r="C379" i="18" l="1"/>
  <c r="I349" i="18"/>
  <c r="Q65" i="5"/>
  <c r="Q60" i="5"/>
  <c r="Q48" i="5"/>
  <c r="Q35" i="5"/>
  <c r="Q29" i="5"/>
  <c r="Q34" i="5"/>
  <c r="Q49" i="6"/>
  <c r="Q33" i="5"/>
  <c r="Q73" i="6"/>
  <c r="Q71" i="6" l="1"/>
  <c r="C163" i="18" l="1"/>
  <c r="C164" i="18"/>
  <c r="C165" i="18"/>
  <c r="C166" i="18"/>
  <c r="Q270" i="2" l="1"/>
  <c r="Q48" i="6"/>
  <c r="P48" i="6"/>
  <c r="Q275" i="2"/>
  <c r="Q243" i="2"/>
  <c r="Q235" i="2"/>
  <c r="Q234" i="2"/>
  <c r="D43" i="18"/>
  <c r="Q214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69" i="5"/>
  <c r="M450" i="18" l="1"/>
  <c r="I409" i="18"/>
  <c r="I427" i="18" s="1"/>
  <c r="O465" i="18"/>
  <c r="O448" i="18"/>
  <c r="M662" i="18"/>
  <c r="K450" i="18"/>
  <c r="O438" i="18"/>
  <c r="O450" i="18" l="1"/>
  <c r="Q68" i="5"/>
  <c r="Q51" i="5"/>
  <c r="Q43" i="5"/>
  <c r="G258" i="18" s="1"/>
  <c r="Q30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4" i="2"/>
  <c r="Q211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4" i="14" l="1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I531" i="18" s="1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Z33" i="14"/>
  <c r="I711" i="18" l="1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Q22" i="7" s="1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19" i="14" l="1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5" i="5"/>
  <c r="I312" i="18" s="1"/>
  <c r="P65" i="5"/>
  <c r="D285" i="18" s="1"/>
  <c r="P67" i="5"/>
  <c r="D293" i="18" s="1"/>
  <c r="P68" i="5"/>
  <c r="D290" i="18" s="1"/>
  <c r="P69" i="5"/>
  <c r="D288" i="18" s="1"/>
  <c r="P72" i="5"/>
  <c r="D291" i="18" s="1"/>
  <c r="S62" i="5"/>
  <c r="S63" i="5"/>
  <c r="R76" i="5"/>
  <c r="I268" i="18" s="1"/>
  <c r="P51" i="5"/>
  <c r="D267" i="18" s="1"/>
  <c r="R43" i="5"/>
  <c r="I258" i="18" s="1"/>
  <c r="P30" i="5"/>
  <c r="D245" i="18" s="1"/>
  <c r="P33" i="5"/>
  <c r="D248" i="18" s="1"/>
  <c r="P34" i="5"/>
  <c r="D249" i="18" s="1"/>
  <c r="P35" i="5"/>
  <c r="D250" i="18" s="1"/>
  <c r="R30" i="5"/>
  <c r="I245" i="18" s="1"/>
  <c r="P60" i="5"/>
  <c r="D278" i="18" s="1"/>
  <c r="P48" i="5"/>
  <c r="D265" i="18" s="1"/>
  <c r="P43" i="5"/>
  <c r="AF86" i="5"/>
  <c r="AE86" i="5"/>
  <c r="AD86" i="5"/>
  <c r="AC86" i="5"/>
  <c r="AB86" i="5"/>
  <c r="AA86" i="5"/>
  <c r="Z86" i="5"/>
  <c r="Y86" i="5"/>
  <c r="X86" i="5"/>
  <c r="W86" i="5"/>
  <c r="V86" i="5"/>
  <c r="U86" i="5"/>
  <c r="AG85" i="5"/>
  <c r="AG83" i="5"/>
  <c r="R83" i="5" s="1"/>
  <c r="AF78" i="5"/>
  <c r="AE78" i="5"/>
  <c r="AD78" i="5"/>
  <c r="AC78" i="5"/>
  <c r="AB78" i="5"/>
  <c r="AA78" i="5"/>
  <c r="Z78" i="5"/>
  <c r="X78" i="5"/>
  <c r="W78" i="5"/>
  <c r="V78" i="5"/>
  <c r="U78" i="5"/>
  <c r="AG77" i="5"/>
  <c r="R77" i="5" s="1"/>
  <c r="AG76" i="5"/>
  <c r="AG75" i="5"/>
  <c r="R75" i="5" s="1"/>
  <c r="AG74" i="5"/>
  <c r="R74" i="5" s="1"/>
  <c r="AG73" i="5"/>
  <c r="R73" i="5" s="1"/>
  <c r="AG72" i="5"/>
  <c r="R72" i="5" s="1"/>
  <c r="Y71" i="5"/>
  <c r="AG71" i="5" s="1"/>
  <c r="R71" i="5" s="1"/>
  <c r="AG70" i="5"/>
  <c r="R70" i="5" s="1"/>
  <c r="AG69" i="5"/>
  <c r="R69" i="5" s="1"/>
  <c r="AG68" i="5"/>
  <c r="R68" i="5" s="1"/>
  <c r="AG67" i="5"/>
  <c r="R67" i="5" s="1"/>
  <c r="AG66" i="5"/>
  <c r="R66" i="5" s="1"/>
  <c r="AG65" i="5"/>
  <c r="R65" i="5" s="1"/>
  <c r="AG64" i="5"/>
  <c r="R64" i="5" s="1"/>
  <c r="AG60" i="5"/>
  <c r="R60" i="5" s="1"/>
  <c r="AG59" i="5"/>
  <c r="R59" i="5" s="1"/>
  <c r="AG58" i="5"/>
  <c r="R58" i="5" s="1"/>
  <c r="I275" i="18" s="1"/>
  <c r="AG56" i="5"/>
  <c r="R56" i="5" s="1"/>
  <c r="AG55" i="5"/>
  <c r="R55" i="5" s="1"/>
  <c r="AG54" i="5"/>
  <c r="R54" i="5" s="1"/>
  <c r="AG52" i="5"/>
  <c r="R52" i="5" s="1"/>
  <c r="I270" i="18" s="1"/>
  <c r="I798" i="18" s="1"/>
  <c r="AG51" i="5"/>
  <c r="R51" i="5" s="1"/>
  <c r="AG50" i="5"/>
  <c r="R50" i="5" s="1"/>
  <c r="AG48" i="5"/>
  <c r="R48" i="5" s="1"/>
  <c r="AC47" i="5"/>
  <c r="AG46" i="5"/>
  <c r="R46" i="5" s="1"/>
  <c r="AG45" i="5"/>
  <c r="R45" i="5" s="1"/>
  <c r="AD43" i="5"/>
  <c r="Y43" i="5"/>
  <c r="AG43" i="5" s="1"/>
  <c r="AF42" i="5"/>
  <c r="AF61" i="5" s="1"/>
  <c r="AE42" i="5"/>
  <c r="AE61" i="5" s="1"/>
  <c r="AD42" i="5"/>
  <c r="AD61" i="5" s="1"/>
  <c r="AC42" i="5"/>
  <c r="AB42" i="5"/>
  <c r="AB61" i="5" s="1"/>
  <c r="AA42" i="5"/>
  <c r="AA61" i="5" s="1"/>
  <c r="Z42" i="5"/>
  <c r="Z61" i="5" s="1"/>
  <c r="Y42" i="5"/>
  <c r="X42" i="5"/>
  <c r="X61" i="5" s="1"/>
  <c r="W42" i="5"/>
  <c r="W61" i="5" s="1"/>
  <c r="V42" i="5"/>
  <c r="V61" i="5" s="1"/>
  <c r="U42" i="5"/>
  <c r="AE39" i="5"/>
  <c r="AD39" i="5"/>
  <c r="AB39" i="5"/>
  <c r="Y39" i="5"/>
  <c r="X39" i="5"/>
  <c r="W39" i="5"/>
  <c r="V39" i="5"/>
  <c r="U39" i="5"/>
  <c r="AG37" i="5"/>
  <c r="R37" i="5" s="1"/>
  <c r="AF36" i="5"/>
  <c r="AF39" i="5" s="1"/>
  <c r="AC36" i="5"/>
  <c r="AC39" i="5" s="1"/>
  <c r="AA36" i="5"/>
  <c r="AA39" i="5" s="1"/>
  <c r="Z36" i="5"/>
  <c r="Z39" i="5" s="1"/>
  <c r="AG35" i="5"/>
  <c r="R35" i="5" s="1"/>
  <c r="AG34" i="5"/>
  <c r="R34" i="5" s="1"/>
  <c r="AG33" i="5"/>
  <c r="R33" i="5" s="1"/>
  <c r="I248" i="18" s="1"/>
  <c r="AG32" i="5"/>
  <c r="R32" i="5" s="1"/>
  <c r="AG29" i="5"/>
  <c r="AG28" i="5"/>
  <c r="AF23" i="5"/>
  <c r="AE23" i="5"/>
  <c r="AD23" i="5"/>
  <c r="AC23" i="5"/>
  <c r="AB23" i="5"/>
  <c r="AA23" i="5"/>
  <c r="Z23" i="5"/>
  <c r="Y23" i="5"/>
  <c r="X23" i="5"/>
  <c r="W23" i="5"/>
  <c r="V23" i="5"/>
  <c r="U23" i="5"/>
  <c r="AG22" i="5"/>
  <c r="R22" i="5" s="1"/>
  <c r="AG21" i="5"/>
  <c r="R21" i="5" s="1"/>
  <c r="AG20" i="5"/>
  <c r="AG19" i="5"/>
  <c r="AF17" i="5"/>
  <c r="AF25" i="5" s="1"/>
  <c r="AE17" i="5"/>
  <c r="AE25" i="5" s="1"/>
  <c r="AD17" i="5"/>
  <c r="AD25" i="5" s="1"/>
  <c r="AC17" i="5"/>
  <c r="AB17" i="5"/>
  <c r="AB25" i="5" s="1"/>
  <c r="Y17" i="5"/>
  <c r="X17" i="5"/>
  <c r="W17" i="5"/>
  <c r="V17" i="5"/>
  <c r="U17" i="5"/>
  <c r="AG16" i="5"/>
  <c r="R16" i="5" s="1"/>
  <c r="AG15" i="5"/>
  <c r="R15" i="5" s="1"/>
  <c r="AG14" i="5"/>
  <c r="R14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17" i="5" s="1"/>
  <c r="AA25" i="5" s="1"/>
  <c r="Z8" i="5"/>
  <c r="U39" i="6" l="1"/>
  <c r="W39" i="6"/>
  <c r="I288" i="18"/>
  <c r="S69" i="5"/>
  <c r="I287" i="18"/>
  <c r="I815" i="18" s="1"/>
  <c r="S75" i="5"/>
  <c r="I151" i="18"/>
  <c r="S57" i="6"/>
  <c r="I282" i="18"/>
  <c r="I810" i="18" s="1"/>
  <c r="S64" i="5"/>
  <c r="Q64" i="5"/>
  <c r="G282" i="18" s="1"/>
  <c r="I285" i="18"/>
  <c r="S65" i="5"/>
  <c r="I307" i="18"/>
  <c r="I320" i="18" s="1"/>
  <c r="S83" i="5"/>
  <c r="Q83" i="5"/>
  <c r="G307" i="18" s="1"/>
  <c r="I206" i="18"/>
  <c r="I840" i="18" s="1"/>
  <c r="Q85" i="6"/>
  <c r="S85" i="6"/>
  <c r="AG42" i="5"/>
  <c r="R42" i="5" s="1"/>
  <c r="Q8" i="6"/>
  <c r="G114" i="18" s="1"/>
  <c r="I114" i="18"/>
  <c r="I748" i="18" s="1"/>
  <c r="I838" i="18"/>
  <c r="S84" i="6"/>
  <c r="X25" i="5"/>
  <c r="AG23" i="5"/>
  <c r="S85" i="5"/>
  <c r="Y39" i="6"/>
  <c r="AA39" i="6"/>
  <c r="Q84" i="6"/>
  <c r="I293" i="18"/>
  <c r="I821" i="18" s="1"/>
  <c r="S67" i="5"/>
  <c r="I292" i="18"/>
  <c r="I820" i="18" s="1"/>
  <c r="Q71" i="5"/>
  <c r="S71" i="5"/>
  <c r="I290" i="18"/>
  <c r="S68" i="5"/>
  <c r="I294" i="18"/>
  <c r="S77" i="5"/>
  <c r="Q77" i="5"/>
  <c r="I296" i="18"/>
  <c r="I824" i="18" s="1"/>
  <c r="Q66" i="5"/>
  <c r="S66" i="5"/>
  <c r="I289" i="18"/>
  <c r="S70" i="5"/>
  <c r="Q70" i="5"/>
  <c r="I295" i="18"/>
  <c r="I823" i="18" s="1"/>
  <c r="Q74" i="5"/>
  <c r="S74" i="5"/>
  <c r="P64" i="5"/>
  <c r="D282" i="18" s="1"/>
  <c r="K282" i="18" s="1"/>
  <c r="Q85" i="5"/>
  <c r="Q86" i="5" s="1"/>
  <c r="Q76" i="5"/>
  <c r="R86" i="5"/>
  <c r="S86" i="5" s="1"/>
  <c r="S76" i="5"/>
  <c r="Q75" i="5"/>
  <c r="S65" i="6"/>
  <c r="I179" i="18"/>
  <c r="I813" i="18" s="1"/>
  <c r="I183" i="18"/>
  <c r="S74" i="6"/>
  <c r="I291" i="18"/>
  <c r="R78" i="5"/>
  <c r="S72" i="5"/>
  <c r="I298" i="18"/>
  <c r="I826" i="18" s="1"/>
  <c r="Q73" i="5"/>
  <c r="S73" i="5"/>
  <c r="I169" i="18"/>
  <c r="S77" i="6"/>
  <c r="I170" i="18"/>
  <c r="S71" i="6"/>
  <c r="I182" i="18"/>
  <c r="I816" i="18" s="1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0" i="5"/>
  <c r="S43" i="5"/>
  <c r="I249" i="18"/>
  <c r="S34" i="5"/>
  <c r="I265" i="18"/>
  <c r="I793" i="18" s="1"/>
  <c r="S48" i="5"/>
  <c r="I276" i="18"/>
  <c r="S54" i="5"/>
  <c r="Q54" i="5"/>
  <c r="I277" i="18"/>
  <c r="I805" i="18" s="1"/>
  <c r="S59" i="5"/>
  <c r="Q59" i="5"/>
  <c r="I250" i="18"/>
  <c r="S35" i="5"/>
  <c r="I261" i="18"/>
  <c r="I789" i="18" s="1"/>
  <c r="S45" i="5"/>
  <c r="Q45" i="5"/>
  <c r="I266" i="18"/>
  <c r="I794" i="18" s="1"/>
  <c r="S50" i="5"/>
  <c r="Q50" i="5"/>
  <c r="I271" i="18"/>
  <c r="I799" i="18" s="1"/>
  <c r="S55" i="5"/>
  <c r="Q55" i="5"/>
  <c r="I278" i="18"/>
  <c r="S60" i="5"/>
  <c r="I247" i="18"/>
  <c r="S32" i="5"/>
  <c r="Q32" i="5"/>
  <c r="I253" i="18"/>
  <c r="Q37" i="5"/>
  <c r="S37" i="5"/>
  <c r="I262" i="18"/>
  <c r="I790" i="18" s="1"/>
  <c r="S46" i="5"/>
  <c r="Q46" i="5"/>
  <c r="I267" i="18"/>
  <c r="I795" i="18" s="1"/>
  <c r="S51" i="5"/>
  <c r="I273" i="18"/>
  <c r="I801" i="18" s="1"/>
  <c r="S56" i="5"/>
  <c r="Q56" i="5"/>
  <c r="Q52" i="5"/>
  <c r="S58" i="5"/>
  <c r="I773" i="18"/>
  <c r="S33" i="5"/>
  <c r="Q58" i="5"/>
  <c r="S52" i="5"/>
  <c r="S36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2" i="5"/>
  <c r="P22" i="5" s="1"/>
  <c r="S22" i="5"/>
  <c r="S11" i="5"/>
  <c r="Q11" i="5"/>
  <c r="P11" i="5" s="1"/>
  <c r="S15" i="5"/>
  <c r="Q15" i="5"/>
  <c r="P15" i="5" s="1"/>
  <c r="AF80" i="5"/>
  <c r="AF88" i="5" s="1"/>
  <c r="AF91" i="5" s="1"/>
  <c r="AD80" i="5"/>
  <c r="AD88" i="5" s="1"/>
  <c r="AD91" i="5" s="1"/>
  <c r="R29" i="5"/>
  <c r="I244" i="18" s="1"/>
  <c r="I772" i="18" s="1"/>
  <c r="AB80" i="5"/>
  <c r="AB88" i="5" s="1"/>
  <c r="AB91" i="5" s="1"/>
  <c r="Z80" i="5"/>
  <c r="AE80" i="5"/>
  <c r="AE88" i="5" s="1"/>
  <c r="AE91" i="5" s="1"/>
  <c r="Q13" i="5"/>
  <c r="P13" i="5" s="1"/>
  <c r="S13" i="5"/>
  <c r="Q10" i="5"/>
  <c r="P10" i="5" s="1"/>
  <c r="S10" i="5"/>
  <c r="S14" i="5"/>
  <c r="Q14" i="5"/>
  <c r="P14" i="5" s="1"/>
  <c r="S9" i="5"/>
  <c r="Q9" i="5"/>
  <c r="P9" i="5" s="1"/>
  <c r="S21" i="5"/>
  <c r="Q21" i="5"/>
  <c r="P21" i="5" s="1"/>
  <c r="Q16" i="5"/>
  <c r="P16" i="5" s="1"/>
  <c r="S16" i="5"/>
  <c r="AC61" i="5"/>
  <c r="AC80" i="5" s="1"/>
  <c r="R20" i="5"/>
  <c r="R23" i="5" s="1"/>
  <c r="I236" i="18" s="1"/>
  <c r="AG86" i="5"/>
  <c r="V25" i="5"/>
  <c r="X80" i="5"/>
  <c r="X88" i="5" s="1"/>
  <c r="X91" i="5" s="1"/>
  <c r="AG8" i="5"/>
  <c r="R8" i="5" s="1"/>
  <c r="S8" i="5" s="1"/>
  <c r="W25" i="5"/>
  <c r="U25" i="5"/>
  <c r="Y25" i="5"/>
  <c r="AC25" i="5"/>
  <c r="V80" i="5"/>
  <c r="U61" i="5"/>
  <c r="U80" i="5" s="1"/>
  <c r="S12" i="5"/>
  <c r="P83" i="5"/>
  <c r="AA80" i="5"/>
  <c r="AA88" i="5" s="1"/>
  <c r="AA91" i="5" s="1"/>
  <c r="W80" i="5"/>
  <c r="AG78" i="5"/>
  <c r="Z17" i="5"/>
  <c r="Z25" i="5" s="1"/>
  <c r="Y61" i="5"/>
  <c r="Y78" i="5"/>
  <c r="AG47" i="5"/>
  <c r="R47" i="5" s="1"/>
  <c r="AG36" i="5"/>
  <c r="R36" i="5" s="1"/>
  <c r="I251" i="18" s="1"/>
  <c r="I779" i="18" s="1"/>
  <c r="Y90" i="6" l="1"/>
  <c r="I775" i="18"/>
  <c r="P72" i="6"/>
  <c r="D184" i="18" s="1"/>
  <c r="P85" i="6"/>
  <c r="D206" i="18" s="1"/>
  <c r="G206" i="18"/>
  <c r="I257" i="18"/>
  <c r="S42" i="5"/>
  <c r="Q42" i="5"/>
  <c r="S61" i="6"/>
  <c r="Q36" i="5"/>
  <c r="G251" i="18" s="1"/>
  <c r="I818" i="18"/>
  <c r="I835" i="18"/>
  <c r="I848" i="18" s="1"/>
  <c r="P84" i="6"/>
  <c r="D204" i="18" s="1"/>
  <c r="G204" i="18"/>
  <c r="I214" i="18"/>
  <c r="I862" i="18" s="1"/>
  <c r="S29" i="5"/>
  <c r="I817" i="18"/>
  <c r="I785" i="18"/>
  <c r="G289" i="18"/>
  <c r="P70" i="5"/>
  <c r="D289" i="18" s="1"/>
  <c r="G296" i="18"/>
  <c r="P66" i="5"/>
  <c r="D296" i="18" s="1"/>
  <c r="I822" i="18"/>
  <c r="G287" i="18"/>
  <c r="P75" i="5"/>
  <c r="D287" i="18" s="1"/>
  <c r="G292" i="18"/>
  <c r="P71" i="5"/>
  <c r="D292" i="18" s="1"/>
  <c r="D820" i="18" s="1"/>
  <c r="G268" i="18"/>
  <c r="P76" i="5"/>
  <c r="D268" i="18" s="1"/>
  <c r="E268" i="18" s="1"/>
  <c r="G295" i="18"/>
  <c r="P74" i="5"/>
  <c r="D295" i="18" s="1"/>
  <c r="G294" i="18"/>
  <c r="P77" i="5"/>
  <c r="D294" i="18" s="1"/>
  <c r="P85" i="5"/>
  <c r="D312" i="18" s="1"/>
  <c r="G312" i="18"/>
  <c r="G320" i="18" s="1"/>
  <c r="P24" i="6"/>
  <c r="D128" i="18" s="1"/>
  <c r="K128" i="18" s="1"/>
  <c r="P36" i="5"/>
  <c r="D251" i="18" s="1"/>
  <c r="K251" i="18" s="1"/>
  <c r="I819" i="18"/>
  <c r="S78" i="5"/>
  <c r="G298" i="18"/>
  <c r="P73" i="5"/>
  <c r="Q78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59" i="18" s="1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88" i="5"/>
  <c r="W91" i="5" s="1"/>
  <c r="I263" i="18"/>
  <c r="S47" i="5"/>
  <c r="Q47" i="5"/>
  <c r="P52" i="5"/>
  <c r="D270" i="18" s="1"/>
  <c r="G270" i="18"/>
  <c r="G247" i="18"/>
  <c r="P32" i="5"/>
  <c r="D247" i="18" s="1"/>
  <c r="G266" i="18"/>
  <c r="P50" i="5"/>
  <c r="D266" i="18" s="1"/>
  <c r="R61" i="5"/>
  <c r="G276" i="18"/>
  <c r="P54" i="5"/>
  <c r="D276" i="18" s="1"/>
  <c r="P58" i="5"/>
  <c r="D275" i="18" s="1"/>
  <c r="G275" i="18"/>
  <c r="I254" i="18"/>
  <c r="P56" i="5"/>
  <c r="D273" i="18" s="1"/>
  <c r="G273" i="18"/>
  <c r="G271" i="18"/>
  <c r="P55" i="5"/>
  <c r="D271" i="18" s="1"/>
  <c r="E271" i="18" s="1"/>
  <c r="G277" i="18"/>
  <c r="P59" i="5"/>
  <c r="D277" i="18" s="1"/>
  <c r="G261" i="18"/>
  <c r="P45" i="5"/>
  <c r="D261" i="18" s="1"/>
  <c r="I764" i="18"/>
  <c r="I237" i="18"/>
  <c r="P46" i="5"/>
  <c r="D262" i="18" s="1"/>
  <c r="G262" i="18"/>
  <c r="G253" i="18"/>
  <c r="P37" i="5"/>
  <c r="D253" i="18" s="1"/>
  <c r="D307" i="18"/>
  <c r="P86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88" i="5"/>
  <c r="Z91" i="5" s="1"/>
  <c r="AG39" i="5"/>
  <c r="U88" i="5"/>
  <c r="U91" i="5" s="1"/>
  <c r="Y80" i="5"/>
  <c r="Y88" i="5" s="1"/>
  <c r="Y91" i="5" s="1"/>
  <c r="S20" i="5"/>
  <c r="S23" i="5"/>
  <c r="Q20" i="5"/>
  <c r="Q23" i="5" s="1"/>
  <c r="G236" i="18" s="1"/>
  <c r="G237" i="18" s="1"/>
  <c r="AG61" i="5"/>
  <c r="AC88" i="5"/>
  <c r="AC91" i="5" s="1"/>
  <c r="AG17" i="5"/>
  <c r="R17" i="5"/>
  <c r="I226" i="18" s="1"/>
  <c r="V88" i="5"/>
  <c r="V91" i="5" s="1"/>
  <c r="I872" i="18" l="1"/>
  <c r="I806" i="18"/>
  <c r="G214" i="18"/>
  <c r="K204" i="18"/>
  <c r="D214" i="18"/>
  <c r="K206" i="18"/>
  <c r="G257" i="18"/>
  <c r="P42" i="5"/>
  <c r="D257" i="18" s="1"/>
  <c r="K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78" i="5"/>
  <c r="G302" i="18"/>
  <c r="S61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47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1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5" i="5"/>
  <c r="S17" i="5"/>
  <c r="AG80" i="5"/>
  <c r="R39" i="5"/>
  <c r="P29" i="5"/>
  <c r="D244" i="18" s="1"/>
  <c r="Q39" i="5"/>
  <c r="Q8" i="5"/>
  <c r="P8" i="5" s="1"/>
  <c r="AG25" i="5"/>
  <c r="P20" i="5"/>
  <c r="P23" i="5" s="1"/>
  <c r="D236" i="18" s="1"/>
  <c r="K214" i="18" l="1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5" i="5"/>
  <c r="I304" i="18"/>
  <c r="O271" i="18"/>
  <c r="I860" i="18"/>
  <c r="Q80" i="5"/>
  <c r="R80" i="5"/>
  <c r="S80" i="5" s="1"/>
  <c r="S39" i="5"/>
  <c r="I853" i="18"/>
  <c r="I855" i="18" s="1"/>
  <c r="I239" i="18"/>
  <c r="I868" i="18"/>
  <c r="D263" i="18"/>
  <c r="D279" i="18" s="1"/>
  <c r="P61" i="5"/>
  <c r="I869" i="18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39" i="5"/>
  <c r="P17" i="5"/>
  <c r="Q17" i="5"/>
  <c r="AG88" i="5"/>
  <c r="I322" i="18" l="1"/>
  <c r="I850" i="18"/>
  <c r="I871" i="18"/>
  <c r="S88" i="6"/>
  <c r="S90" i="6"/>
  <c r="G216" i="18"/>
  <c r="P39" i="6"/>
  <c r="Q90" i="6"/>
  <c r="R88" i="5"/>
  <c r="K263" i="18"/>
  <c r="K279" i="18" s="1"/>
  <c r="P80" i="5"/>
  <c r="I867" i="18"/>
  <c r="I863" i="18"/>
  <c r="Q25" i="5"/>
  <c r="Q88" i="5" s="1"/>
  <c r="G226" i="18"/>
  <c r="G227" i="18" s="1"/>
  <c r="G239" i="18" s="1"/>
  <c r="G322" i="18" s="1"/>
  <c r="I865" i="18"/>
  <c r="S88" i="5"/>
  <c r="P25" i="5"/>
  <c r="D226" i="18"/>
  <c r="K254" i="18"/>
  <c r="K173" i="18"/>
  <c r="P80" i="6"/>
  <c r="P88" i="6" s="1"/>
  <c r="D193" i="18"/>
  <c r="K125" i="18"/>
  <c r="D131" i="18"/>
  <c r="AG91" i="5"/>
  <c r="I873" i="18" l="1"/>
  <c r="P90" i="6"/>
  <c r="K304" i="18"/>
  <c r="P88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3" i="10"/>
  <c r="Q78" i="10"/>
  <c r="Q80" i="10"/>
  <c r="Q81" i="10"/>
  <c r="Q82" i="10"/>
  <c r="P82" i="10" s="1"/>
  <c r="Q77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5" i="10"/>
  <c r="P77" i="10"/>
  <c r="P26" i="10"/>
  <c r="D350" i="18" s="1"/>
  <c r="K350" i="18" s="1"/>
  <c r="AF8" i="10"/>
  <c r="S8" i="10" s="1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AF82" i="10"/>
  <c r="S82" i="10" s="1"/>
  <c r="AF81" i="10"/>
  <c r="S81" i="10" s="1"/>
  <c r="AF80" i="10"/>
  <c r="S80" i="10" s="1"/>
  <c r="AF78" i="10"/>
  <c r="S78" i="10" s="1"/>
  <c r="AF77" i="10"/>
  <c r="S77" i="10" s="1"/>
  <c r="AE72" i="10"/>
  <c r="AD72" i="10"/>
  <c r="AC72" i="10"/>
  <c r="AB72" i="10"/>
  <c r="AA72" i="10"/>
  <c r="Z72" i="10"/>
  <c r="Y72" i="10"/>
  <c r="X72" i="10"/>
  <c r="W72" i="10"/>
  <c r="V72" i="10"/>
  <c r="U72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8" i="10"/>
  <c r="D353" i="18" s="1"/>
  <c r="K353" i="18" s="1"/>
  <c r="P32" i="10"/>
  <c r="D357" i="18" s="1"/>
  <c r="K357" i="18" s="1"/>
  <c r="P37" i="10"/>
  <c r="D362" i="18" s="1"/>
  <c r="S18" i="10"/>
  <c r="Q83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G387" i="18"/>
  <c r="K387" i="18" s="1"/>
  <c r="P61" i="10"/>
  <c r="D387" i="18" s="1"/>
  <c r="Z74" i="10"/>
  <c r="AB21" i="10"/>
  <c r="P57" i="10"/>
  <c r="D383" i="18" s="1"/>
  <c r="K383" i="18" s="1"/>
  <c r="P45" i="10"/>
  <c r="D374" i="18" s="1"/>
  <c r="K374" i="18" s="1"/>
  <c r="G401" i="18"/>
  <c r="P64" i="10"/>
  <c r="D401" i="18" s="1"/>
  <c r="K356" i="18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8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1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2" i="10"/>
  <c r="G419" i="18"/>
  <c r="P80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4" i="10"/>
  <c r="AB74" i="10"/>
  <c r="AB85" i="10" s="1"/>
  <c r="AF83" i="10"/>
  <c r="S83" i="10" s="1"/>
  <c r="AD74" i="10"/>
  <c r="V58" i="10"/>
  <c r="V74" i="10" s="1"/>
  <c r="V85" i="10" s="1"/>
  <c r="Z21" i="10"/>
  <c r="AD21" i="10"/>
  <c r="AA74" i="10"/>
  <c r="AE74" i="10"/>
  <c r="AE85" i="10" s="1"/>
  <c r="U21" i="10"/>
  <c r="Y21" i="10"/>
  <c r="X21" i="10"/>
  <c r="AF34" i="10"/>
  <c r="S34" i="10" s="1"/>
  <c r="W74" i="10"/>
  <c r="X74" i="10"/>
  <c r="AF72" i="10"/>
  <c r="S72" i="10" s="1"/>
  <c r="Q15" i="10"/>
  <c r="AC21" i="10"/>
  <c r="AF15" i="10"/>
  <c r="U74" i="10"/>
  <c r="Y74" i="10"/>
  <c r="W15" i="10"/>
  <c r="W21" i="10" s="1"/>
  <c r="AF43" i="10"/>
  <c r="S43" i="10" s="1"/>
  <c r="AF45" i="10"/>
  <c r="S45" i="10" s="1"/>
  <c r="O371" i="18" l="1"/>
  <c r="D342" i="18"/>
  <c r="Z85" i="10"/>
  <c r="AD85" i="10"/>
  <c r="X85" i="10"/>
  <c r="E371" i="18"/>
  <c r="AA85" i="10"/>
  <c r="K398" i="18"/>
  <c r="K394" i="18"/>
  <c r="K392" i="18"/>
  <c r="K399" i="18"/>
  <c r="Y85" i="10"/>
  <c r="U85" i="10"/>
  <c r="AC85" i="10"/>
  <c r="W85" i="10"/>
  <c r="Q74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3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2" i="10"/>
  <c r="T72" i="10" s="1"/>
  <c r="T74" i="10" s="1"/>
  <c r="T85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5" i="10"/>
  <c r="O380" i="18"/>
  <c r="D384" i="18"/>
  <c r="D409" i="18" s="1"/>
  <c r="E379" i="18"/>
  <c r="K425" i="18"/>
  <c r="O395" i="18"/>
  <c r="O662" i="18"/>
  <c r="G409" i="18"/>
  <c r="G427" i="18" s="1"/>
  <c r="AF74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4" i="10"/>
  <c r="P85" i="10" s="1"/>
  <c r="D639" i="18"/>
  <c r="D322" i="18"/>
  <c r="E662" i="18"/>
  <c r="E556" i="18"/>
  <c r="K639" i="18" l="1"/>
  <c r="D427" i="18"/>
  <c r="K745" i="18"/>
  <c r="K409" i="18"/>
  <c r="AF85" i="10"/>
  <c r="S85" i="10" s="1"/>
  <c r="S74" i="10"/>
  <c r="K332" i="18"/>
  <c r="K344" i="18" s="1"/>
  <c r="K322" i="18"/>
  <c r="K427" i="18" l="1"/>
  <c r="P211" i="2"/>
  <c r="P214" i="2"/>
  <c r="P215" i="2"/>
  <c r="P216" i="2"/>
  <c r="P217" i="2"/>
  <c r="D33" i="18" l="1"/>
  <c r="D36" i="18"/>
  <c r="D37" i="18"/>
  <c r="D38" i="18"/>
  <c r="P254" i="2"/>
  <c r="D73" i="18" s="1"/>
  <c r="P262" i="2"/>
  <c r="D63" i="18" s="1"/>
  <c r="D803" i="18" s="1"/>
  <c r="P270" i="2"/>
  <c r="D88" i="18" s="1"/>
  <c r="K88" i="18" s="1"/>
  <c r="P274" i="2"/>
  <c r="D78" i="18" s="1"/>
  <c r="P275" i="2"/>
  <c r="D76" i="18" s="1"/>
  <c r="P277" i="2"/>
  <c r="D79" i="18" s="1"/>
  <c r="P234" i="2"/>
  <c r="D53" i="18" s="1"/>
  <c r="D793" i="18" s="1"/>
  <c r="P235" i="2"/>
  <c r="D54" i="18" s="1"/>
  <c r="P239" i="2"/>
  <c r="P241" i="2"/>
  <c r="P243" i="2"/>
  <c r="D66" i="18" s="1"/>
  <c r="P246" i="2"/>
  <c r="Q289" i="2"/>
  <c r="Q290" i="2"/>
  <c r="G98" i="18" s="1"/>
  <c r="Q291" i="2"/>
  <c r="G99" i="18" s="1"/>
  <c r="G839" i="18" s="1"/>
  <c r="Q292" i="2"/>
  <c r="G100" i="18" s="1"/>
  <c r="G840" i="18" s="1"/>
  <c r="Q293" i="2"/>
  <c r="G101" i="18" s="1"/>
  <c r="G841" i="18" s="1"/>
  <c r="Q295" i="2"/>
  <c r="G102" i="18" s="1"/>
  <c r="G842" i="18" s="1"/>
  <c r="Q296" i="2"/>
  <c r="G103" i="18" s="1"/>
  <c r="G843" i="18" s="1"/>
  <c r="Q297" i="2"/>
  <c r="G104" i="18" s="1"/>
  <c r="G844" i="18" s="1"/>
  <c r="Q298" i="2"/>
  <c r="G106" i="18" s="1"/>
  <c r="G846" i="18" s="1"/>
  <c r="Q299" i="2"/>
  <c r="G105" i="18" s="1"/>
  <c r="G845" i="18" s="1"/>
  <c r="Q300" i="2"/>
  <c r="G107" i="18" s="1"/>
  <c r="G847" i="18" s="1"/>
  <c r="Q288" i="2"/>
  <c r="G95" i="18" s="1"/>
  <c r="G835" i="18" s="1"/>
  <c r="Q252" i="2"/>
  <c r="G41" i="18" s="1"/>
  <c r="G781" i="18" s="1"/>
  <c r="Q253" i="2"/>
  <c r="G70" i="18" s="1"/>
  <c r="Q255" i="2"/>
  <c r="G84" i="18" s="1"/>
  <c r="G824" i="18" s="1"/>
  <c r="Q256" i="2"/>
  <c r="G75" i="18" s="1"/>
  <c r="G815" i="18" s="1"/>
  <c r="Q257" i="2"/>
  <c r="P257" i="2" s="1"/>
  <c r="Q258" i="2"/>
  <c r="P258" i="2" s="1"/>
  <c r="Q259" i="2"/>
  <c r="P259" i="2" s="1"/>
  <c r="Q260" i="2"/>
  <c r="P260" i="2" s="1"/>
  <c r="Q261" i="2"/>
  <c r="G85" i="18" s="1"/>
  <c r="G825" i="18" s="1"/>
  <c r="Q264" i="2"/>
  <c r="G62" i="18" s="1"/>
  <c r="G802" i="18" s="1"/>
  <c r="Q265" i="2"/>
  <c r="G82" i="18" s="1"/>
  <c r="G822" i="18" s="1"/>
  <c r="Q266" i="2"/>
  <c r="G83" i="18" s="1"/>
  <c r="G823" i="18" s="1"/>
  <c r="Q267" i="2"/>
  <c r="P267" i="2" s="1"/>
  <c r="Q268" i="2"/>
  <c r="G86" i="18" s="1"/>
  <c r="G826" i="18" s="1"/>
  <c r="Q269" i="2"/>
  <c r="P269" i="2" s="1"/>
  <c r="Q271" i="2"/>
  <c r="G89" i="18" s="1"/>
  <c r="G829" i="18" s="1"/>
  <c r="Q272" i="2"/>
  <c r="P272" i="2" s="1"/>
  <c r="Q273" i="2"/>
  <c r="P273" i="2" s="1"/>
  <c r="Q276" i="2"/>
  <c r="G77" i="18" s="1"/>
  <c r="G817" i="18" s="1"/>
  <c r="Q278" i="2"/>
  <c r="G56" i="18" s="1"/>
  <c r="G796" i="18" s="1"/>
  <c r="Q279" i="2"/>
  <c r="P279" i="2" s="1"/>
  <c r="Q281" i="2"/>
  <c r="P281" i="2" s="1"/>
  <c r="Q282" i="2"/>
  <c r="G57" i="18" s="1"/>
  <c r="G797" i="18" s="1"/>
  <c r="Q251" i="2"/>
  <c r="G71" i="18" s="1"/>
  <c r="G811" i="18" s="1"/>
  <c r="Q227" i="2"/>
  <c r="Q228" i="2"/>
  <c r="G46" i="18" s="1"/>
  <c r="G786" i="18" s="1"/>
  <c r="Q229" i="2"/>
  <c r="G47" i="18" s="1"/>
  <c r="G787" i="18" s="1"/>
  <c r="Q230" i="2"/>
  <c r="G48" i="18" s="1"/>
  <c r="G788" i="18" s="1"/>
  <c r="Q231" i="2"/>
  <c r="G49" i="18" s="1"/>
  <c r="G789" i="18" s="1"/>
  <c r="Q232" i="2"/>
  <c r="G50" i="18" s="1"/>
  <c r="G790" i="18" s="1"/>
  <c r="Q233" i="2"/>
  <c r="G51" i="18" s="1"/>
  <c r="G791" i="18" s="1"/>
  <c r="Q236" i="2"/>
  <c r="G55" i="18" s="1"/>
  <c r="G795" i="18" s="1"/>
  <c r="Q237" i="2"/>
  <c r="G58" i="18" s="1"/>
  <c r="G798" i="18" s="1"/>
  <c r="Q238" i="2"/>
  <c r="G59" i="18" s="1"/>
  <c r="G799" i="18" s="1"/>
  <c r="Q240" i="2"/>
  <c r="G60" i="18" s="1"/>
  <c r="G800" i="18" s="1"/>
  <c r="Q242" i="2"/>
  <c r="G65" i="18" s="1"/>
  <c r="G805" i="18" s="1"/>
  <c r="Q244" i="2"/>
  <c r="G52" i="18" s="1"/>
  <c r="G792" i="18" s="1"/>
  <c r="Q245" i="2"/>
  <c r="G64" i="18" s="1"/>
  <c r="G804" i="18" s="1"/>
  <c r="Q247" i="2"/>
  <c r="P247" i="2" s="1"/>
  <c r="Q226" i="2"/>
  <c r="P226" i="2" s="1"/>
  <c r="Q212" i="2"/>
  <c r="Q213" i="2"/>
  <c r="Q218" i="2"/>
  <c r="Q219" i="2"/>
  <c r="P219" i="2" s="1"/>
  <c r="Q221" i="2"/>
  <c r="Q223" i="2"/>
  <c r="P223" i="2" s="1"/>
  <c r="Q210" i="2"/>
  <c r="Q137" i="2"/>
  <c r="Q138" i="2"/>
  <c r="Q139" i="2"/>
  <c r="Q140" i="2"/>
  <c r="P140" i="2" s="1"/>
  <c r="Q141" i="2"/>
  <c r="Q142" i="2"/>
  <c r="Q143" i="2"/>
  <c r="P143" i="2" s="1"/>
  <c r="Q144" i="2"/>
  <c r="P144" i="2" s="1"/>
  <c r="Q145" i="2"/>
  <c r="P145" i="2" s="1"/>
  <c r="Q146" i="2"/>
  <c r="P146" i="2" s="1"/>
  <c r="Q147" i="2"/>
  <c r="Q148" i="2"/>
  <c r="P148" i="2" s="1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P194" i="2" s="1"/>
  <c r="Q195" i="2"/>
  <c r="Q196" i="2"/>
  <c r="P196" i="2" s="1"/>
  <c r="Q197" i="2"/>
  <c r="P197" i="2" s="1"/>
  <c r="Q200" i="2"/>
  <c r="P200" i="2" s="1"/>
  <c r="Q202" i="2"/>
  <c r="P202" i="2" s="1"/>
  <c r="Q203" i="2"/>
  <c r="P203" i="2" s="1"/>
  <c r="Q204" i="2"/>
  <c r="P204" i="2" s="1"/>
  <c r="Q205" i="2"/>
  <c r="P205" i="2" s="1"/>
  <c r="Q206" i="2"/>
  <c r="P206" i="2" s="1"/>
  <c r="Q136" i="2"/>
  <c r="P136" i="2" s="1"/>
  <c r="Q110" i="2"/>
  <c r="Q111" i="2"/>
  <c r="P111" i="2" s="1"/>
  <c r="Q112" i="2"/>
  <c r="Q113" i="2"/>
  <c r="Q114" i="2"/>
  <c r="Q115" i="2"/>
  <c r="P115" i="2" s="1"/>
  <c r="Q116" i="2"/>
  <c r="P116" i="2" s="1"/>
  <c r="Q117" i="2"/>
  <c r="Q118" i="2"/>
  <c r="P118" i="2" s="1"/>
  <c r="Q119" i="2"/>
  <c r="P119" i="2" s="1"/>
  <c r="Q120" i="2"/>
  <c r="P120" i="2" s="1"/>
  <c r="Q122" i="2"/>
  <c r="P122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1" i="2"/>
  <c r="P131" i="2" s="1"/>
  <c r="Q133" i="2"/>
  <c r="P133" i="2" s="1"/>
  <c r="Q109" i="2"/>
  <c r="P109" i="2" s="1"/>
  <c r="Q94" i="2"/>
  <c r="P94" i="2" s="1"/>
  <c r="Q95" i="2"/>
  <c r="P95" i="2" s="1"/>
  <c r="Q96" i="2"/>
  <c r="P96" i="2" s="1"/>
  <c r="Q97" i="2"/>
  <c r="P97" i="2" s="1"/>
  <c r="Q93" i="2"/>
  <c r="P93" i="2" s="1"/>
  <c r="Q89" i="2"/>
  <c r="P89" i="2" s="1"/>
  <c r="Q88" i="2"/>
  <c r="P88" i="2" s="1"/>
  <c r="Q59" i="2"/>
  <c r="P59" i="2" s="1"/>
  <c r="Q60" i="2"/>
  <c r="P60" i="2" s="1"/>
  <c r="Q61" i="2"/>
  <c r="P61" i="2" s="1"/>
  <c r="Q62" i="2"/>
  <c r="Q64" i="2"/>
  <c r="Q65" i="2"/>
  <c r="P65" i="2" s="1"/>
  <c r="Q66" i="2"/>
  <c r="P66" i="2" s="1"/>
  <c r="Q67" i="2"/>
  <c r="P67" i="2" s="1"/>
  <c r="Q68" i="2"/>
  <c r="P68" i="2" s="1"/>
  <c r="Q69" i="2"/>
  <c r="P69" i="2" s="1"/>
  <c r="Q70" i="2"/>
  <c r="P70" i="2" s="1"/>
  <c r="Q71" i="2"/>
  <c r="P71" i="2" s="1"/>
  <c r="Q75" i="2"/>
  <c r="Q76" i="2"/>
  <c r="P76" i="2" s="1"/>
  <c r="Q77" i="2"/>
  <c r="P77" i="2" s="1"/>
  <c r="Q78" i="2"/>
  <c r="P78" i="2" s="1"/>
  <c r="Q79" i="2"/>
  <c r="P79" i="2" s="1"/>
  <c r="Q58" i="2"/>
  <c r="P58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6" i="2"/>
  <c r="P46" i="2" s="1"/>
  <c r="Q47" i="2"/>
  <c r="P47" i="2" s="1"/>
  <c r="Q51" i="2"/>
  <c r="P51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05" i="2"/>
  <c r="S12" i="2"/>
  <c r="S13" i="2"/>
  <c r="S21" i="2"/>
  <c r="S26" i="2"/>
  <c r="S31" i="2"/>
  <c r="S42" i="2"/>
  <c r="S45" i="2"/>
  <c r="S46" i="2"/>
  <c r="S47" i="2"/>
  <c r="S54" i="2"/>
  <c r="S55" i="2"/>
  <c r="S56" i="2"/>
  <c r="S57" i="2"/>
  <c r="S63" i="2"/>
  <c r="S70" i="2"/>
  <c r="S74" i="2"/>
  <c r="S82" i="2"/>
  <c r="S83" i="2"/>
  <c r="S84" i="2"/>
  <c r="S86" i="2"/>
  <c r="S87" i="2"/>
  <c r="S91" i="2"/>
  <c r="S92" i="2"/>
  <c r="S100" i="2"/>
  <c r="S101" i="2"/>
  <c r="S102" i="2"/>
  <c r="S103" i="2"/>
  <c r="Q103" i="2" s="1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2" i="2"/>
  <c r="S123" i="2"/>
  <c r="S124" i="2"/>
  <c r="S125" i="2"/>
  <c r="S126" i="2"/>
  <c r="S127" i="2"/>
  <c r="S128" i="2"/>
  <c r="S129" i="2"/>
  <c r="S130" i="2"/>
  <c r="S131" i="2"/>
  <c r="S133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5" i="2"/>
  <c r="S196" i="2"/>
  <c r="S197" i="2"/>
  <c r="S200" i="2"/>
  <c r="S202" i="2"/>
  <c r="S203" i="2"/>
  <c r="S204" i="2"/>
  <c r="S205" i="2"/>
  <c r="S206" i="2"/>
  <c r="S209" i="2"/>
  <c r="S210" i="2"/>
  <c r="S211" i="2"/>
  <c r="S223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1" i="2"/>
  <c r="S282" i="2"/>
  <c r="S286" i="2"/>
  <c r="S287" i="2"/>
  <c r="S288" i="2"/>
  <c r="S289" i="2"/>
  <c r="S290" i="2"/>
  <c r="S291" i="2"/>
  <c r="S292" i="2"/>
  <c r="S293" i="2"/>
  <c r="S295" i="2"/>
  <c r="S296" i="2"/>
  <c r="S297" i="2"/>
  <c r="S298" i="2"/>
  <c r="S299" i="2"/>
  <c r="S300" i="2"/>
  <c r="S302" i="2"/>
  <c r="S304" i="2"/>
  <c r="P300" i="2" l="1"/>
  <c r="D107" i="18" s="1"/>
  <c r="D847" i="18" s="1"/>
  <c r="Q90" i="2"/>
  <c r="P291" i="2"/>
  <c r="D99" i="18" s="1"/>
  <c r="D839" i="18" s="1"/>
  <c r="P299" i="2"/>
  <c r="D105" i="18" s="1"/>
  <c r="K105" i="18" s="1"/>
  <c r="P290" i="2"/>
  <c r="D98" i="18" s="1"/>
  <c r="D838" i="18" s="1"/>
  <c r="K838" i="18" s="1"/>
  <c r="G32" i="18"/>
  <c r="G772" i="18" s="1"/>
  <c r="P210" i="2"/>
  <c r="D32" i="18" s="1"/>
  <c r="K32" i="18" s="1"/>
  <c r="P296" i="2"/>
  <c r="D103" i="18" s="1"/>
  <c r="D843" i="18" s="1"/>
  <c r="K843" i="18" s="1"/>
  <c r="P288" i="2"/>
  <c r="D95" i="18" s="1"/>
  <c r="P295" i="2"/>
  <c r="D102" i="18" s="1"/>
  <c r="D842" i="18" s="1"/>
  <c r="G838" i="18"/>
  <c r="G848" i="18" s="1"/>
  <c r="G108" i="18"/>
  <c r="G862" i="18" s="1"/>
  <c r="P298" i="2"/>
  <c r="D106" i="18" s="1"/>
  <c r="K106" i="18" s="1"/>
  <c r="P293" i="2"/>
  <c r="D101" i="18" s="1"/>
  <c r="K101" i="18" s="1"/>
  <c r="Q301" i="2"/>
  <c r="P297" i="2"/>
  <c r="D104" i="18" s="1"/>
  <c r="K104" i="18" s="1"/>
  <c r="P292" i="2"/>
  <c r="D100" i="18" s="1"/>
  <c r="K100" i="18" s="1"/>
  <c r="P251" i="2"/>
  <c r="D71" i="18" s="1"/>
  <c r="K71" i="18" s="1"/>
  <c r="P289" i="2"/>
  <c r="P261" i="2"/>
  <c r="D85" i="18" s="1"/>
  <c r="D825" i="18" s="1"/>
  <c r="P238" i="2"/>
  <c r="D59" i="18" s="1"/>
  <c r="D799" i="18" s="1"/>
  <c r="K799" i="18" s="1"/>
  <c r="P242" i="2"/>
  <c r="D65" i="18" s="1"/>
  <c r="K65" i="18" s="1"/>
  <c r="P229" i="2"/>
  <c r="D47" i="18" s="1"/>
  <c r="K47" i="18" s="1"/>
  <c r="P266" i="2"/>
  <c r="D83" i="18" s="1"/>
  <c r="D823" i="18" s="1"/>
  <c r="K823" i="18" s="1"/>
  <c r="P230" i="2"/>
  <c r="D48" i="18" s="1"/>
  <c r="D788" i="18" s="1"/>
  <c r="K788" i="18" s="1"/>
  <c r="P278" i="2"/>
  <c r="D56" i="18" s="1"/>
  <c r="D796" i="18" s="1"/>
  <c r="K796" i="18" s="1"/>
  <c r="P256" i="2"/>
  <c r="D75" i="18" s="1"/>
  <c r="K75" i="18" s="1"/>
  <c r="G45" i="18"/>
  <c r="G785" i="18" s="1"/>
  <c r="G807" i="18" s="1"/>
  <c r="P245" i="2"/>
  <c r="D64" i="18" s="1"/>
  <c r="P233" i="2"/>
  <c r="D51" i="18" s="1"/>
  <c r="K51" i="18" s="1"/>
  <c r="P282" i="2"/>
  <c r="D57" i="18" s="1"/>
  <c r="K57" i="18" s="1"/>
  <c r="P265" i="2"/>
  <c r="D82" i="18" s="1"/>
  <c r="D822" i="18" s="1"/>
  <c r="G22" i="18"/>
  <c r="G762" i="18" s="1"/>
  <c r="G18" i="18"/>
  <c r="G758" i="18" s="1"/>
  <c r="P253" i="2"/>
  <c r="D70" i="18" s="1"/>
  <c r="K70" i="18" s="1"/>
  <c r="Q249" i="2"/>
  <c r="P237" i="2"/>
  <c r="D58" i="18" s="1"/>
  <c r="D798" i="18" s="1"/>
  <c r="K798" i="18" s="1"/>
  <c r="P252" i="2"/>
  <c r="D41" i="18" s="1"/>
  <c r="K41" i="18" s="1"/>
  <c r="Q98" i="2"/>
  <c r="Q99" i="2" s="1"/>
  <c r="G81" i="18"/>
  <c r="G821" i="18" s="1"/>
  <c r="Q285" i="2"/>
  <c r="P244" i="2"/>
  <c r="D52" i="18" s="1"/>
  <c r="D792" i="18" s="1"/>
  <c r="P240" i="2"/>
  <c r="D60" i="18" s="1"/>
  <c r="K60" i="18" s="1"/>
  <c r="P236" i="2"/>
  <c r="D55" i="18" s="1"/>
  <c r="K55" i="18" s="1"/>
  <c r="P232" i="2"/>
  <c r="D50" i="18" s="1"/>
  <c r="D790" i="18" s="1"/>
  <c r="K790" i="18" s="1"/>
  <c r="P228" i="2"/>
  <c r="D46" i="18" s="1"/>
  <c r="K46" i="18" s="1"/>
  <c r="P276" i="2"/>
  <c r="D77" i="18" s="1"/>
  <c r="K77" i="18" s="1"/>
  <c r="P268" i="2"/>
  <c r="D86" i="18" s="1"/>
  <c r="D826" i="18" s="1"/>
  <c r="K826" i="18" s="1"/>
  <c r="P264" i="2"/>
  <c r="D62" i="18" s="1"/>
  <c r="K62" i="18" s="1"/>
  <c r="P255" i="2"/>
  <c r="D84" i="18" s="1"/>
  <c r="D824" i="18" s="1"/>
  <c r="K824" i="18" s="1"/>
  <c r="G810" i="18"/>
  <c r="Q11" i="2"/>
  <c r="Q34" i="2"/>
  <c r="G10" i="18"/>
  <c r="G750" i="18" s="1"/>
  <c r="G87" i="18"/>
  <c r="G827" i="18" s="1"/>
  <c r="P112" i="2"/>
  <c r="D10" i="18" s="1"/>
  <c r="P231" i="2"/>
  <c r="D49" i="18" s="1"/>
  <c r="K49" i="18" s="1"/>
  <c r="P227" i="2"/>
  <c r="D45" i="18" s="1"/>
  <c r="P271" i="2"/>
  <c r="D89" i="18" s="1"/>
  <c r="G8" i="18"/>
  <c r="P110" i="2"/>
  <c r="D8" i="18" s="1"/>
  <c r="G34" i="18"/>
  <c r="P212" i="2"/>
  <c r="Q224" i="2"/>
  <c r="G12" i="18"/>
  <c r="G752" i="18" s="1"/>
  <c r="P117" i="2"/>
  <c r="D12" i="18" s="1"/>
  <c r="G11" i="18"/>
  <c r="G751" i="18" s="1"/>
  <c r="P113" i="2"/>
  <c r="D11" i="18" s="1"/>
  <c r="D751" i="18" s="1"/>
  <c r="Q134" i="2"/>
  <c r="G21" i="18"/>
  <c r="G761" i="18" s="1"/>
  <c r="P141" i="2"/>
  <c r="D21" i="18" s="1"/>
  <c r="Q207" i="2"/>
  <c r="P137" i="2"/>
  <c r="G40" i="18"/>
  <c r="P221" i="2"/>
  <c r="D40" i="18" s="1"/>
  <c r="P142" i="2"/>
  <c r="D22" i="18" s="1"/>
  <c r="G14" i="18"/>
  <c r="G754" i="18" s="1"/>
  <c r="P114" i="2"/>
  <c r="Q52" i="2"/>
  <c r="Q80" i="2"/>
  <c r="P75" i="2"/>
  <c r="P80" i="2" s="1"/>
  <c r="Q72" i="2"/>
  <c r="Q73" i="2" s="1"/>
  <c r="P64" i="2"/>
  <c r="P72" i="2" s="1"/>
  <c r="G35" i="18"/>
  <c r="G775" i="18" s="1"/>
  <c r="P213" i="2"/>
  <c r="D35" i="18" s="1"/>
  <c r="D775" i="18" s="1"/>
  <c r="P138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8" i="2"/>
  <c r="D39" i="18" s="1"/>
  <c r="P195" i="2"/>
  <c r="D23" i="18" s="1"/>
  <c r="D763" i="18" s="1"/>
  <c r="P147" i="2"/>
  <c r="D24" i="18" s="1"/>
  <c r="P139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90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D772" i="18"/>
  <c r="K839" i="18"/>
  <c r="K842" i="18"/>
  <c r="K33" i="18"/>
  <c r="D773" i="18"/>
  <c r="K847" i="18"/>
  <c r="K76" i="18"/>
  <c r="D816" i="18"/>
  <c r="K79" i="18"/>
  <c r="D819" i="18"/>
  <c r="K38" i="18"/>
  <c r="D778" i="18"/>
  <c r="K793" i="18"/>
  <c r="K803" i="18"/>
  <c r="P62" i="2"/>
  <c r="P34" i="2"/>
  <c r="P98" i="2"/>
  <c r="P52" i="2"/>
  <c r="AE301" i="2"/>
  <c r="AE78" i="2" s="1"/>
  <c r="AD301" i="2"/>
  <c r="AD78" i="2" s="1"/>
  <c r="AC301" i="2"/>
  <c r="AC78" i="2" s="1"/>
  <c r="AB301" i="2"/>
  <c r="AB78" i="2" s="1"/>
  <c r="AA301" i="2"/>
  <c r="AA78" i="2" s="1"/>
  <c r="Z301" i="2"/>
  <c r="Z78" i="2" s="1"/>
  <c r="Y301" i="2"/>
  <c r="Y78" i="2" s="1"/>
  <c r="X301" i="2"/>
  <c r="X78" i="2" s="1"/>
  <c r="W301" i="2"/>
  <c r="W78" i="2" s="1"/>
  <c r="V301" i="2"/>
  <c r="V78" i="2" s="1"/>
  <c r="U301" i="2"/>
  <c r="U78" i="2" s="1"/>
  <c r="T301" i="2"/>
  <c r="AE285" i="2"/>
  <c r="AE77" i="2" s="1"/>
  <c r="AD285" i="2"/>
  <c r="AD77" i="2" s="1"/>
  <c r="AC285" i="2"/>
  <c r="AC77" i="2" s="1"/>
  <c r="AB285" i="2"/>
  <c r="AA285" i="2"/>
  <c r="AA77" i="2" s="1"/>
  <c r="Z285" i="2"/>
  <c r="Z77" i="2" s="1"/>
  <c r="Y285" i="2"/>
  <c r="Y77" i="2" s="1"/>
  <c r="X285" i="2"/>
  <c r="X77" i="2" s="1"/>
  <c r="V285" i="2"/>
  <c r="V77" i="2" s="1"/>
  <c r="U285" i="2"/>
  <c r="U77" i="2" s="1"/>
  <c r="T285" i="2"/>
  <c r="T77" i="2" s="1"/>
  <c r="W262" i="2"/>
  <c r="AE249" i="2"/>
  <c r="AE76" i="2" s="1"/>
  <c r="AD249" i="2"/>
  <c r="AD76" i="2" s="1"/>
  <c r="AC249" i="2"/>
  <c r="AC76" i="2" s="1"/>
  <c r="AB249" i="2"/>
  <c r="AA249" i="2"/>
  <c r="AA76" i="2" s="1"/>
  <c r="Z249" i="2"/>
  <c r="Z76" i="2" s="1"/>
  <c r="Y249" i="2"/>
  <c r="Y76" i="2" s="1"/>
  <c r="X249" i="2"/>
  <c r="W249" i="2"/>
  <c r="V249" i="2"/>
  <c r="V76" i="2" s="1"/>
  <c r="U249" i="2"/>
  <c r="U76" i="2" s="1"/>
  <c r="T249" i="2"/>
  <c r="T76" i="2" s="1"/>
  <c r="AE224" i="2"/>
  <c r="AE75" i="2" s="1"/>
  <c r="AD224" i="2"/>
  <c r="AD75" i="2" s="1"/>
  <c r="AC224" i="2"/>
  <c r="AC75" i="2" s="1"/>
  <c r="AB224" i="2"/>
  <c r="AB75" i="2" s="1"/>
  <c r="AA224" i="2"/>
  <c r="AA75" i="2" s="1"/>
  <c r="Y224" i="2"/>
  <c r="Y75" i="2" s="1"/>
  <c r="X224" i="2"/>
  <c r="W224" i="2"/>
  <c r="W75" i="2" s="1"/>
  <c r="V224" i="2"/>
  <c r="V75" i="2" s="1"/>
  <c r="U224" i="2"/>
  <c r="U75" i="2" s="1"/>
  <c r="T224" i="2"/>
  <c r="Z221" i="2"/>
  <c r="S221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Z212" i="2"/>
  <c r="S212" i="2" s="1"/>
  <c r="AE207" i="2"/>
  <c r="AD207" i="2"/>
  <c r="AC207" i="2"/>
  <c r="AB207" i="2"/>
  <c r="AA207" i="2"/>
  <c r="Z207" i="2"/>
  <c r="Y207" i="2"/>
  <c r="U207" i="2"/>
  <c r="T207" i="2"/>
  <c r="W194" i="2"/>
  <c r="S194" i="2" s="1"/>
  <c r="W179" i="2"/>
  <c r="X150" i="2"/>
  <c r="X207" i="2" s="1"/>
  <c r="V150" i="2"/>
  <c r="AE134" i="2"/>
  <c r="AD134" i="2"/>
  <c r="AC134" i="2"/>
  <c r="AB134" i="2"/>
  <c r="AA134" i="2"/>
  <c r="Z134" i="2"/>
  <c r="Y134" i="2"/>
  <c r="X134" i="2"/>
  <c r="W134" i="2"/>
  <c r="V134" i="2"/>
  <c r="U134" i="2"/>
  <c r="U208" i="2" s="1"/>
  <c r="T134" i="2"/>
  <c r="X97" i="2"/>
  <c r="AE96" i="2"/>
  <c r="AD96" i="2"/>
  <c r="AC96" i="2"/>
  <c r="AB96" i="2"/>
  <c r="AA96" i="2"/>
  <c r="Z96" i="2"/>
  <c r="Y96" i="2"/>
  <c r="X96" i="2"/>
  <c r="W96" i="2"/>
  <c r="V96" i="2"/>
  <c r="U96" i="2"/>
  <c r="T96" i="2"/>
  <c r="AE95" i="2"/>
  <c r="AD95" i="2"/>
  <c r="AC95" i="2"/>
  <c r="AB95" i="2"/>
  <c r="AA95" i="2"/>
  <c r="Z95" i="2"/>
  <c r="Y95" i="2"/>
  <c r="X95" i="2"/>
  <c r="W95" i="2"/>
  <c r="V95" i="2"/>
  <c r="U95" i="2"/>
  <c r="T95" i="2"/>
  <c r="Y94" i="2"/>
  <c r="X94" i="2"/>
  <c r="W94" i="2"/>
  <c r="V94" i="2"/>
  <c r="U94" i="2"/>
  <c r="T94" i="2"/>
  <c r="X93" i="2"/>
  <c r="X89" i="2"/>
  <c r="X88" i="2"/>
  <c r="AE79" i="2"/>
  <c r="AD79" i="2"/>
  <c r="AC79" i="2"/>
  <c r="AB79" i="2"/>
  <c r="AA79" i="2"/>
  <c r="Z79" i="2"/>
  <c r="Y79" i="2"/>
  <c r="X79" i="2"/>
  <c r="W79" i="2"/>
  <c r="V79" i="2"/>
  <c r="U79" i="2"/>
  <c r="T79" i="2"/>
  <c r="X76" i="2"/>
  <c r="W76" i="2"/>
  <c r="X75" i="2"/>
  <c r="T75" i="2"/>
  <c r="AE71" i="2"/>
  <c r="AE97" i="2" s="1"/>
  <c r="AD71" i="2"/>
  <c r="AD97" i="2" s="1"/>
  <c r="AC71" i="2"/>
  <c r="AC97" i="2" s="1"/>
  <c r="AB71" i="2"/>
  <c r="AB97" i="2" s="1"/>
  <c r="AA71" i="2"/>
  <c r="AA97" i="2" s="1"/>
  <c r="Z71" i="2"/>
  <c r="Z97" i="2" s="1"/>
  <c r="Y71" i="2"/>
  <c r="Y97" i="2" s="1"/>
  <c r="X71" i="2"/>
  <c r="W71" i="2"/>
  <c r="W97" i="2" s="1"/>
  <c r="V71" i="2"/>
  <c r="V97" i="2" s="1"/>
  <c r="U71" i="2"/>
  <c r="U97" i="2" s="1"/>
  <c r="T71" i="2"/>
  <c r="AE69" i="2"/>
  <c r="AD69" i="2"/>
  <c r="AC69" i="2"/>
  <c r="AB69" i="2"/>
  <c r="AA69" i="2"/>
  <c r="Z69" i="2"/>
  <c r="Y69" i="2"/>
  <c r="X69" i="2"/>
  <c r="W69" i="2"/>
  <c r="V69" i="2"/>
  <c r="U69" i="2"/>
  <c r="T69" i="2"/>
  <c r="AE68" i="2"/>
  <c r="AD68" i="2"/>
  <c r="AC68" i="2"/>
  <c r="AB68" i="2"/>
  <c r="AA68" i="2"/>
  <c r="Z68" i="2"/>
  <c r="Y68" i="2"/>
  <c r="X68" i="2"/>
  <c r="V68" i="2"/>
  <c r="U68" i="2"/>
  <c r="T68" i="2"/>
  <c r="AE67" i="2"/>
  <c r="AD67" i="2"/>
  <c r="AC67" i="2"/>
  <c r="AB67" i="2"/>
  <c r="AA67" i="2"/>
  <c r="Z67" i="2"/>
  <c r="Y67" i="2"/>
  <c r="X67" i="2"/>
  <c r="W67" i="2"/>
  <c r="V67" i="2"/>
  <c r="U67" i="2"/>
  <c r="T67" i="2"/>
  <c r="AE66" i="2"/>
  <c r="AD66" i="2"/>
  <c r="AC66" i="2"/>
  <c r="AB66" i="2"/>
  <c r="AA66" i="2"/>
  <c r="Z66" i="2"/>
  <c r="Y66" i="2"/>
  <c r="W66" i="2"/>
  <c r="U66" i="2"/>
  <c r="T66" i="2"/>
  <c r="AE65" i="2"/>
  <c r="AE94" i="2" s="1"/>
  <c r="AD65" i="2"/>
  <c r="AD94" i="2" s="1"/>
  <c r="AC65" i="2"/>
  <c r="AC94" i="2" s="1"/>
  <c r="AB65" i="2"/>
  <c r="AB94" i="2" s="1"/>
  <c r="AA65" i="2"/>
  <c r="AA94" i="2" s="1"/>
  <c r="Z65" i="2"/>
  <c r="Z94" i="2" s="1"/>
  <c r="Y65" i="2"/>
  <c r="X65" i="2"/>
  <c r="W65" i="2"/>
  <c r="V65" i="2"/>
  <c r="U65" i="2"/>
  <c r="T65" i="2"/>
  <c r="AE64" i="2"/>
  <c r="AD64" i="2"/>
  <c r="AD93" i="2" s="1"/>
  <c r="AC64" i="2"/>
  <c r="AC93" i="2" s="1"/>
  <c r="AB64" i="2"/>
  <c r="AB93" i="2" s="1"/>
  <c r="AA64" i="2"/>
  <c r="Z64" i="2"/>
  <c r="Y64" i="2"/>
  <c r="Y93" i="2" s="1"/>
  <c r="X64" i="2"/>
  <c r="W64" i="2"/>
  <c r="V64" i="2"/>
  <c r="U64" i="2"/>
  <c r="U93" i="2" s="1"/>
  <c r="T64" i="2"/>
  <c r="AE61" i="2"/>
  <c r="AD61" i="2"/>
  <c r="AC61" i="2"/>
  <c r="AB61" i="2"/>
  <c r="AA61" i="2"/>
  <c r="Z61" i="2"/>
  <c r="Y61" i="2"/>
  <c r="X61" i="2"/>
  <c r="W61" i="2"/>
  <c r="V61" i="2"/>
  <c r="U61" i="2"/>
  <c r="T61" i="2"/>
  <c r="AE60" i="2"/>
  <c r="AD60" i="2"/>
  <c r="AC60" i="2"/>
  <c r="AB60" i="2"/>
  <c r="AA60" i="2"/>
  <c r="Z60" i="2"/>
  <c r="Y60" i="2"/>
  <c r="X60" i="2"/>
  <c r="W60" i="2"/>
  <c r="V60" i="2"/>
  <c r="U60" i="2"/>
  <c r="T60" i="2"/>
  <c r="AE59" i="2"/>
  <c r="AE89" i="2" s="1"/>
  <c r="AD59" i="2"/>
  <c r="AD89" i="2" s="1"/>
  <c r="AC59" i="2"/>
  <c r="AC89" i="2" s="1"/>
  <c r="AB59" i="2"/>
  <c r="AB89" i="2" s="1"/>
  <c r="AA59" i="2"/>
  <c r="AA89" i="2" s="1"/>
  <c r="Z59" i="2"/>
  <c r="Z89" i="2" s="1"/>
  <c r="Y59" i="2"/>
  <c r="Y89" i="2" s="1"/>
  <c r="X59" i="2"/>
  <c r="W59" i="2"/>
  <c r="W89" i="2" s="1"/>
  <c r="V59" i="2"/>
  <c r="V89" i="2" s="1"/>
  <c r="U59" i="2"/>
  <c r="U89" i="2" s="1"/>
  <c r="T59" i="2"/>
  <c r="AE58" i="2"/>
  <c r="AE62" i="2" s="1"/>
  <c r="AD58" i="2"/>
  <c r="AD62" i="2" s="1"/>
  <c r="AC58" i="2"/>
  <c r="AC88" i="2" s="1"/>
  <c r="AC90" i="2" s="1"/>
  <c r="AB58" i="2"/>
  <c r="AB88" i="2" s="1"/>
  <c r="AB90" i="2" s="1"/>
  <c r="AA58" i="2"/>
  <c r="AA62" i="2" s="1"/>
  <c r="Z58" i="2"/>
  <c r="Z62" i="2" s="1"/>
  <c r="Y58" i="2"/>
  <c r="Y88" i="2" s="1"/>
  <c r="Y90" i="2" s="1"/>
  <c r="X58" i="2"/>
  <c r="X62" i="2" s="1"/>
  <c r="W58" i="2"/>
  <c r="W62" i="2" s="1"/>
  <c r="V58" i="2"/>
  <c r="V62" i="2" s="1"/>
  <c r="U58" i="2"/>
  <c r="U88" i="2" s="1"/>
  <c r="U90" i="2" s="1"/>
  <c r="T58" i="2"/>
  <c r="AE52" i="2"/>
  <c r="AD52" i="2"/>
  <c r="AC52" i="2"/>
  <c r="X52" i="2"/>
  <c r="U51" i="2"/>
  <c r="S51" i="2" s="1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C11" i="2" s="1"/>
  <c r="AB5" i="2"/>
  <c r="AA5" i="2"/>
  <c r="Z5" i="2"/>
  <c r="Y5" i="2"/>
  <c r="Y11" i="2" s="1"/>
  <c r="X5" i="2"/>
  <c r="W5" i="2"/>
  <c r="V5" i="2"/>
  <c r="V11" i="2" s="1"/>
  <c r="U5" i="2"/>
  <c r="U11" i="2" s="1"/>
  <c r="T5" i="2"/>
  <c r="D845" i="18" l="1"/>
  <c r="K845" i="18" s="1"/>
  <c r="AE11" i="2"/>
  <c r="AA72" i="2"/>
  <c r="AA73" i="2" s="1"/>
  <c r="AE72" i="2"/>
  <c r="AE73" i="2" s="1"/>
  <c r="S150" i="2"/>
  <c r="S79" i="2"/>
  <c r="X90" i="2"/>
  <c r="U98" i="2"/>
  <c r="U99" i="2" s="1"/>
  <c r="AC98" i="2"/>
  <c r="AC99" i="2" s="1"/>
  <c r="W68" i="2"/>
  <c r="W72" i="2" s="1"/>
  <c r="W73" i="2" s="1"/>
  <c r="S18" i="2"/>
  <c r="S19" i="2"/>
  <c r="S22" i="2"/>
  <c r="S23" i="2"/>
  <c r="S24" i="2"/>
  <c r="S25" i="2"/>
  <c r="S29" i="2"/>
  <c r="S43" i="2"/>
  <c r="Z11" i="2"/>
  <c r="AD11" i="2"/>
  <c r="Z72" i="2"/>
  <c r="AD72" i="2"/>
  <c r="AD73" i="2" s="1"/>
  <c r="K98" i="18"/>
  <c r="V52" i="2"/>
  <c r="D844" i="18"/>
  <c r="U52" i="2"/>
  <c r="K83" i="18"/>
  <c r="V34" i="2"/>
  <c r="V35" i="2" s="1"/>
  <c r="V36" i="2" s="1"/>
  <c r="Z34" i="2"/>
  <c r="AD34" i="2"/>
  <c r="X98" i="2"/>
  <c r="X99" i="2" s="1"/>
  <c r="W207" i="2"/>
  <c r="W208" i="2" s="1"/>
  <c r="S179" i="2"/>
  <c r="V207" i="2"/>
  <c r="V208" i="2" s="1"/>
  <c r="V303" i="2" s="1"/>
  <c r="S249" i="2"/>
  <c r="W285" i="2"/>
  <c r="W77" i="2" s="1"/>
  <c r="W80" i="2" s="1"/>
  <c r="S262" i="2"/>
  <c r="S301" i="2"/>
  <c r="D840" i="18"/>
  <c r="K840" i="18" s="1"/>
  <c r="V66" i="2"/>
  <c r="V93" i="2"/>
  <c r="V98" i="2" s="1"/>
  <c r="S95" i="2"/>
  <c r="S96" i="2"/>
  <c r="X11" i="2"/>
  <c r="AB11" i="2"/>
  <c r="S9" i="2"/>
  <c r="S10" i="2"/>
  <c r="S33" i="2"/>
  <c r="S39" i="2"/>
  <c r="S41" i="2"/>
  <c r="T89" i="2"/>
  <c r="S89" i="2" s="1"/>
  <c r="S59" i="2"/>
  <c r="S61" i="2"/>
  <c r="T93" i="2"/>
  <c r="S64" i="2"/>
  <c r="AB98" i="2"/>
  <c r="AB99" i="2" s="1"/>
  <c r="S65" i="2"/>
  <c r="X66" i="2"/>
  <c r="X72" i="2" s="1"/>
  <c r="X73" i="2" s="1"/>
  <c r="S67" i="2"/>
  <c r="S68" i="2"/>
  <c r="S69" i="2"/>
  <c r="Z93" i="2"/>
  <c r="Z98" i="2" s="1"/>
  <c r="AD98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1" i="2"/>
  <c r="G872" i="18"/>
  <c r="K82" i="18"/>
  <c r="K59" i="18"/>
  <c r="T88" i="2"/>
  <c r="S58" i="2"/>
  <c r="AB62" i="2"/>
  <c r="AD88" i="2"/>
  <c r="AD90" i="2" s="1"/>
  <c r="Z88" i="2"/>
  <c r="Z90" i="2" s="1"/>
  <c r="Z99" i="2" s="1"/>
  <c r="V88" i="2"/>
  <c r="V90" i="2" s="1"/>
  <c r="S60" i="2"/>
  <c r="S134" i="2"/>
  <c r="Z208" i="2"/>
  <c r="Z73" i="2"/>
  <c r="S30" i="2"/>
  <c r="W34" i="2"/>
  <c r="AE34" i="2"/>
  <c r="AE35" i="2" s="1"/>
  <c r="AE53" i="2" s="1"/>
  <c r="S32" i="2"/>
  <c r="Y34" i="2"/>
  <c r="Y35" i="2" s="1"/>
  <c r="Y36" i="2" s="1"/>
  <c r="T97" i="2"/>
  <c r="S97" i="2" s="1"/>
  <c r="S71" i="2"/>
  <c r="AA34" i="2"/>
  <c r="AA208" i="2"/>
  <c r="AA303" i="2" s="1"/>
  <c r="AE208" i="2"/>
  <c r="AE303" i="2" s="1"/>
  <c r="X208" i="2"/>
  <c r="X303" i="2" s="1"/>
  <c r="AB208" i="2"/>
  <c r="AB303" i="2" s="1"/>
  <c r="S20" i="2"/>
  <c r="Y208" i="2"/>
  <c r="Y303" i="2" s="1"/>
  <c r="AC208" i="2"/>
  <c r="AC303" i="2" s="1"/>
  <c r="AC34" i="2"/>
  <c r="AC35" i="2" s="1"/>
  <c r="AC53" i="2" s="1"/>
  <c r="T208" i="2"/>
  <c r="T303" i="2" s="1"/>
  <c r="AD208" i="2"/>
  <c r="AD303" i="2" s="1"/>
  <c r="AB76" i="2"/>
  <c r="S76" i="2" s="1"/>
  <c r="P285" i="2"/>
  <c r="AD80" i="2"/>
  <c r="X80" i="2"/>
  <c r="T78" i="2"/>
  <c r="S78" i="2" s="1"/>
  <c r="AE80" i="2"/>
  <c r="AA80" i="2"/>
  <c r="AB77" i="2"/>
  <c r="V80" i="2"/>
  <c r="U80" i="2"/>
  <c r="Y80" i="2"/>
  <c r="AC80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2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99" i="2"/>
  <c r="Y52" i="2"/>
  <c r="K763" i="18"/>
  <c r="P73" i="2"/>
  <c r="K58" i="18"/>
  <c r="K19" i="18"/>
  <c r="Q208" i="2"/>
  <c r="Q303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49" i="2"/>
  <c r="K23" i="18"/>
  <c r="K84" i="18"/>
  <c r="K50" i="18"/>
  <c r="P207" i="2"/>
  <c r="P134" i="2"/>
  <c r="D829" i="18"/>
  <c r="K829" i="18" s="1"/>
  <c r="K89" i="18"/>
  <c r="T11" i="2"/>
  <c r="S5" i="2"/>
  <c r="S7" i="2"/>
  <c r="S8" i="2"/>
  <c r="AB34" i="2"/>
  <c r="T34" i="2"/>
  <c r="X34" i="2"/>
  <c r="S94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4" i="2"/>
  <c r="G25" i="18"/>
  <c r="G854" i="18" s="1"/>
  <c r="Y98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2" i="2"/>
  <c r="W52" i="2"/>
  <c r="T52" i="2"/>
  <c r="S38" i="2"/>
  <c r="S40" i="2"/>
  <c r="AB52" i="2"/>
  <c r="T72" i="2"/>
  <c r="T62" i="2"/>
  <c r="U303" i="2"/>
  <c r="Z224" i="2"/>
  <c r="AB72" i="2"/>
  <c r="AB73" i="2" s="1"/>
  <c r="U62" i="2"/>
  <c r="Y62" i="2"/>
  <c r="AC62" i="2"/>
  <c r="U72" i="2"/>
  <c r="Y72" i="2"/>
  <c r="AC72" i="2"/>
  <c r="W88" i="2"/>
  <c r="W90" i="2" s="1"/>
  <c r="AA88" i="2"/>
  <c r="AA90" i="2" s="1"/>
  <c r="AE88" i="2"/>
  <c r="AE90" i="2" s="1"/>
  <c r="W93" i="2"/>
  <c r="W98" i="2" s="1"/>
  <c r="AA93" i="2"/>
  <c r="AA98" i="2" s="1"/>
  <c r="AE93" i="2"/>
  <c r="AE98" i="2" s="1"/>
  <c r="AD35" i="2" l="1"/>
  <c r="AD36" i="2" s="1"/>
  <c r="T90" i="2"/>
  <c r="Y73" i="2"/>
  <c r="K108" i="18"/>
  <c r="Z35" i="2"/>
  <c r="Z36" i="2" s="1"/>
  <c r="S66" i="2"/>
  <c r="S285" i="2"/>
  <c r="W303" i="2"/>
  <c r="S77" i="2"/>
  <c r="W35" i="2"/>
  <c r="W36" i="2" s="1"/>
  <c r="Z303" i="2"/>
  <c r="AB35" i="2"/>
  <c r="AB36" i="2" s="1"/>
  <c r="S207" i="2"/>
  <c r="AD99" i="2"/>
  <c r="V72" i="2"/>
  <c r="V73" i="2" s="1"/>
  <c r="V81" i="2" s="1"/>
  <c r="V305" i="2" s="1"/>
  <c r="X35" i="2"/>
  <c r="X81" i="2" s="1"/>
  <c r="X85" i="2" s="1"/>
  <c r="G866" i="18"/>
  <c r="K858" i="18"/>
  <c r="V99" i="2"/>
  <c r="S62" i="2"/>
  <c r="U73" i="2"/>
  <c r="U81" i="2" s="1"/>
  <c r="U305" i="2" s="1"/>
  <c r="AA35" i="2"/>
  <c r="AA53" i="2" s="1"/>
  <c r="T73" i="2"/>
  <c r="T98" i="2"/>
  <c r="T99" i="2" s="1"/>
  <c r="AE36" i="2"/>
  <c r="S208" i="2"/>
  <c r="AB80" i="2"/>
  <c r="T80" i="2"/>
  <c r="AE81" i="2"/>
  <c r="AE305" i="2" s="1"/>
  <c r="O52" i="18"/>
  <c r="Q81" i="2"/>
  <c r="Q305" i="2" s="1"/>
  <c r="U53" i="2"/>
  <c r="U36" i="2"/>
  <c r="Y81" i="2"/>
  <c r="Y305" i="2" s="1"/>
  <c r="P81" i="2"/>
  <c r="W81" i="2"/>
  <c r="AC36" i="2"/>
  <c r="V53" i="2"/>
  <c r="P208" i="2"/>
  <c r="P303" i="2" s="1"/>
  <c r="Y53" i="2"/>
  <c r="AA81" i="2"/>
  <c r="AA305" i="2" s="1"/>
  <c r="K67" i="18"/>
  <c r="D830" i="18"/>
  <c r="D870" i="18" s="1"/>
  <c r="Q53" i="2"/>
  <c r="K779" i="18"/>
  <c r="P53" i="2"/>
  <c r="G767" i="18"/>
  <c r="K780" i="18"/>
  <c r="S88" i="2"/>
  <c r="AD53" i="2"/>
  <c r="W53" i="2"/>
  <c r="D15" i="18"/>
  <c r="D853" i="18" s="1"/>
  <c r="G870" i="18"/>
  <c r="K25" i="18"/>
  <c r="AE99" i="2"/>
  <c r="AD81" i="2"/>
  <c r="AD305" i="2" s="1"/>
  <c r="D754" i="18"/>
  <c r="K754" i="18" s="1"/>
  <c r="G92" i="18"/>
  <c r="G857" i="18"/>
  <c r="Y99" i="2"/>
  <c r="S90" i="2"/>
  <c r="D774" i="18"/>
  <c r="K34" i="18"/>
  <c r="K42" i="18" s="1"/>
  <c r="D42" i="18"/>
  <c r="K90" i="18"/>
  <c r="G782" i="18"/>
  <c r="G832" i="18" s="1"/>
  <c r="G27" i="18"/>
  <c r="G853" i="18"/>
  <c r="S93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5" i="2"/>
  <c r="S224" i="2"/>
  <c r="S52" i="2"/>
  <c r="AA99" i="2"/>
  <c r="W99" i="2"/>
  <c r="AC73" i="2"/>
  <c r="AC81" i="2" s="1"/>
  <c r="AB53" i="2" l="1"/>
  <c r="Z53" i="2"/>
  <c r="W305" i="2"/>
  <c r="X53" i="2"/>
  <c r="X36" i="2"/>
  <c r="AB81" i="2"/>
  <c r="AB85" i="2" s="1"/>
  <c r="S303" i="2"/>
  <c r="S72" i="2"/>
  <c r="X305" i="2"/>
  <c r="AA36" i="2"/>
  <c r="K92" i="18"/>
  <c r="S73" i="2"/>
  <c r="AA85" i="2"/>
  <c r="S98" i="2"/>
  <c r="Y85" i="2"/>
  <c r="U85" i="2"/>
  <c r="W85" i="2"/>
  <c r="V85" i="2"/>
  <c r="G110" i="18"/>
  <c r="AB305" i="2"/>
  <c r="K27" i="18"/>
  <c r="G850" i="18"/>
  <c r="D27" i="18"/>
  <c r="S99" i="2"/>
  <c r="S35" i="2"/>
  <c r="T36" i="2"/>
  <c r="D92" i="18"/>
  <c r="D857" i="18"/>
  <c r="T53" i="2"/>
  <c r="S53" i="2" s="1"/>
  <c r="D755" i="18"/>
  <c r="D767" i="18" s="1"/>
  <c r="G860" i="18"/>
  <c r="G871" i="18" s="1"/>
  <c r="G868" i="18"/>
  <c r="T81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80" i="2"/>
  <c r="S75" i="2"/>
  <c r="AC305" i="2"/>
  <c r="AC85" i="2"/>
  <c r="K110" i="18" l="1"/>
  <c r="D110" i="18"/>
  <c r="K866" i="18"/>
  <c r="K767" i="18"/>
  <c r="D865" i="18"/>
  <c r="K865" i="18"/>
  <c r="D850" i="18"/>
  <c r="K782" i="18"/>
  <c r="K832" i="18" s="1"/>
  <c r="T85" i="2"/>
  <c r="T305" i="2"/>
  <c r="D868" i="18"/>
  <c r="D860" i="18"/>
  <c r="D863" i="18" s="1"/>
  <c r="K857" i="18"/>
  <c r="G867" i="18"/>
  <c r="G863" i="18"/>
  <c r="G873" i="18" s="1"/>
  <c r="D867" i="18"/>
  <c r="K855" i="18"/>
  <c r="S80" i="2"/>
  <c r="Z81" i="2"/>
  <c r="K850" i="18" l="1"/>
  <c r="K867" i="18"/>
  <c r="D873" i="18"/>
  <c r="D871" i="18"/>
  <c r="K860" i="18"/>
  <c r="K871" i="18" s="1"/>
  <c r="K868" i="18"/>
  <c r="S81" i="2"/>
  <c r="Z85" i="2"/>
  <c r="S85" i="2" s="1"/>
  <c r="Z305" i="2"/>
  <c r="S305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0" i="5"/>
  <c r="D38" i="12" s="1"/>
  <c r="C245" i="18" s="1"/>
  <c r="B39" i="5"/>
  <c r="M245" i="18" l="1"/>
  <c r="O245" i="18" s="1"/>
  <c r="E245" i="18"/>
  <c r="C81" i="11"/>
  <c r="C92" i="12"/>
  <c r="C187" i="18" s="1"/>
  <c r="C33" i="11"/>
  <c r="C38" i="12"/>
  <c r="C139" i="18" s="1"/>
  <c r="D33" i="11"/>
  <c r="I300" i="12"/>
  <c r="M187" i="18" l="1"/>
  <c r="O187" i="18" s="1"/>
  <c r="E187" i="18"/>
  <c r="M139" i="18"/>
  <c r="O139" i="18" s="1"/>
  <c r="E139" i="18"/>
  <c r="N109" i="2"/>
  <c r="N110" i="2"/>
  <c r="C224" i="2"/>
  <c r="C75" i="2" s="1"/>
  <c r="C80" i="2" s="1"/>
  <c r="D224" i="2"/>
  <c r="D75" i="2" s="1"/>
  <c r="D80" i="2" s="1"/>
  <c r="G224" i="2"/>
  <c r="G75" i="2" s="1"/>
  <c r="H224" i="2"/>
  <c r="H75" i="2" s="1"/>
  <c r="I224" i="2"/>
  <c r="I75" i="2" s="1"/>
  <c r="J224" i="2"/>
  <c r="J75" i="2" s="1"/>
  <c r="K224" i="2"/>
  <c r="K75" i="2" s="1"/>
  <c r="L224" i="2"/>
  <c r="L75" i="2" s="1"/>
  <c r="M224" i="2"/>
  <c r="M75" i="2" s="1"/>
  <c r="C207" i="2"/>
  <c r="G207" i="2"/>
  <c r="H207" i="2"/>
  <c r="J207" i="2"/>
  <c r="K207" i="2"/>
  <c r="L207" i="2"/>
  <c r="M207" i="2"/>
  <c r="C134" i="2"/>
  <c r="E134" i="2"/>
  <c r="E208" i="2" s="1"/>
  <c r="F134" i="2"/>
  <c r="G134" i="2"/>
  <c r="H134" i="2"/>
  <c r="I134" i="2"/>
  <c r="I208" i="2" s="1"/>
  <c r="K134" i="2"/>
  <c r="L134" i="2"/>
  <c r="I175" i="12" l="1"/>
  <c r="N29" i="5" l="1"/>
  <c r="N85" i="5"/>
  <c r="N83" i="5"/>
  <c r="M23" i="5"/>
  <c r="L23" i="5"/>
  <c r="K23" i="5"/>
  <c r="J23" i="5"/>
  <c r="I23" i="5"/>
  <c r="H23" i="5"/>
  <c r="G23" i="5"/>
  <c r="F23" i="5"/>
  <c r="E23" i="5"/>
  <c r="D23" i="5"/>
  <c r="C23" i="5"/>
  <c r="B23" i="5"/>
  <c r="N8" i="10"/>
  <c r="N86" i="5" l="1"/>
  <c r="N82" i="10"/>
  <c r="N81" i="10"/>
  <c r="N80" i="10"/>
  <c r="N78" i="10"/>
  <c r="N77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2" i="10"/>
  <c r="N11" i="10"/>
  <c r="N10" i="10"/>
  <c r="N9" i="10"/>
  <c r="K397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E83" i="12" l="1"/>
  <c r="E39" i="16" s="1"/>
  <c r="I39" i="16" s="1"/>
  <c r="M350" i="18"/>
  <c r="O350" i="18" s="1"/>
  <c r="E350" i="18"/>
  <c r="N19" i="10"/>
  <c r="F33" i="11"/>
  <c r="N83" i="10"/>
  <c r="N72" i="10"/>
  <c r="N58" i="10"/>
  <c r="N34" i="10"/>
  <c r="K351" i="12"/>
  <c r="I83" i="12" l="1"/>
  <c r="G397" i="12" s="1"/>
  <c r="C495" i="18"/>
  <c r="M495" i="18" s="1"/>
  <c r="C812" i="18"/>
  <c r="N21" i="10"/>
  <c r="N74" i="10"/>
  <c r="C397" i="12"/>
  <c r="N223" i="2"/>
  <c r="M301" i="2"/>
  <c r="M78" i="2" s="1"/>
  <c r="M80" i="2" s="1"/>
  <c r="N77" i="2"/>
  <c r="E495" i="18" l="1"/>
  <c r="E812" i="18"/>
  <c r="M812" i="18"/>
  <c r="O812" i="18" s="1"/>
  <c r="O495" i="18"/>
  <c r="N85" i="10"/>
  <c r="M208" i="2"/>
  <c r="M303" i="2" s="1"/>
  <c r="B126" i="12"/>
  <c r="I126" i="12" s="1"/>
  <c r="B313" i="12"/>
  <c r="I313" i="12" s="1"/>
  <c r="F28" i="12"/>
  <c r="C341" i="18" s="1"/>
  <c r="B260" i="12"/>
  <c r="I307" i="12"/>
  <c r="I121" i="12"/>
  <c r="G441" i="12" s="1"/>
  <c r="F116" i="11" l="1"/>
  <c r="N88" i="10"/>
  <c r="F65" i="16"/>
  <c r="E341" i="18"/>
  <c r="E342" i="18" s="1"/>
  <c r="M341" i="18"/>
  <c r="C342" i="18"/>
  <c r="I211" i="12"/>
  <c r="E341" i="12" s="1"/>
  <c r="B213" i="12"/>
  <c r="M342" i="18" l="1"/>
  <c r="O341" i="18"/>
  <c r="O342" i="18" s="1"/>
  <c r="L28" i="17"/>
  <c r="L17" i="17"/>
  <c r="L12" i="17"/>
  <c r="L31" i="14"/>
  <c r="L19" i="14"/>
  <c r="L21" i="14" s="1"/>
  <c r="L83" i="10"/>
  <c r="L72" i="10"/>
  <c r="L58" i="10"/>
  <c r="L34" i="10"/>
  <c r="L19" i="10"/>
  <c r="L15" i="10"/>
  <c r="L20" i="7"/>
  <c r="L22" i="7" s="1"/>
  <c r="L80" i="6"/>
  <c r="L61" i="6"/>
  <c r="L37" i="6"/>
  <c r="L17" i="6"/>
  <c r="L86" i="5"/>
  <c r="L78" i="5"/>
  <c r="L61" i="5"/>
  <c r="L39" i="5"/>
  <c r="L17" i="5"/>
  <c r="L25" i="5" s="1"/>
  <c r="L39" i="6" l="1"/>
  <c r="L88" i="6"/>
  <c r="L33" i="14"/>
  <c r="L74" i="10"/>
  <c r="L21" i="10"/>
  <c r="L19" i="17"/>
  <c r="L80" i="5"/>
  <c r="L88" i="5" s="1"/>
  <c r="L30" i="17"/>
  <c r="L301" i="2"/>
  <c r="L78" i="2" s="1"/>
  <c r="L80" i="2" s="1"/>
  <c r="N47" i="2"/>
  <c r="N46" i="2"/>
  <c r="AF46" i="2" s="1"/>
  <c r="AG46" i="2" s="1"/>
  <c r="K301" i="2"/>
  <c r="K78" i="2" s="1"/>
  <c r="K80" i="2" s="1"/>
  <c r="N243" i="2"/>
  <c r="N242" i="2"/>
  <c r="B70" i="12" s="1"/>
  <c r="C65" i="18" s="1"/>
  <c r="N239" i="2"/>
  <c r="N206" i="2"/>
  <c r="L90" i="6" l="1"/>
  <c r="L85" i="10"/>
  <c r="L88" i="10" s="1"/>
  <c r="B71" i="12"/>
  <c r="C66" i="18" s="1"/>
  <c r="E65" i="18"/>
  <c r="M65" i="18"/>
  <c r="O65" i="18" s="1"/>
  <c r="B146" i="12"/>
  <c r="B145" i="12"/>
  <c r="B133" i="12"/>
  <c r="B134" i="12"/>
  <c r="B132" i="12"/>
  <c r="B131" i="12"/>
  <c r="B130" i="12"/>
  <c r="E66" i="18" l="1"/>
  <c r="M66" i="18"/>
  <c r="O66" i="18" s="1"/>
  <c r="B140" i="12"/>
  <c r="D140" i="12"/>
  <c r="C140" i="12"/>
  <c r="D139" i="12" l="1"/>
  <c r="D162" i="12" s="1"/>
  <c r="C139" i="12"/>
  <c r="C162" i="12" s="1"/>
  <c r="B139" i="12"/>
  <c r="B162" i="12" s="1"/>
  <c r="C138" i="12"/>
  <c r="C161" i="12" s="1"/>
  <c r="B138" i="12"/>
  <c r="B161" i="12" s="1"/>
  <c r="C137" i="12"/>
  <c r="B137" i="12"/>
  <c r="B160" i="12" s="1"/>
  <c r="C136" i="12"/>
  <c r="C159" i="12" s="1"/>
  <c r="B136" i="12"/>
  <c r="B159" i="12" s="1"/>
  <c r="B135" i="12"/>
  <c r="B158" i="12" s="1"/>
  <c r="D164" i="12"/>
  <c r="C164" i="12"/>
  <c r="E162" i="12"/>
  <c r="D161" i="12"/>
  <c r="D160" i="12"/>
  <c r="D159" i="12"/>
  <c r="D158" i="12"/>
  <c r="C158" i="12"/>
  <c r="D157" i="12"/>
  <c r="C157" i="12"/>
  <c r="B157" i="12"/>
  <c r="B156" i="12"/>
  <c r="D155" i="12"/>
  <c r="C155" i="12"/>
  <c r="B155" i="12"/>
  <c r="D154" i="12"/>
  <c r="C154" i="12"/>
  <c r="B154" i="12"/>
  <c r="D153" i="12"/>
  <c r="C153" i="12"/>
  <c r="B153" i="12"/>
  <c r="I148" i="12"/>
  <c r="D147" i="12"/>
  <c r="C147" i="12"/>
  <c r="B147" i="12"/>
  <c r="H142" i="12"/>
  <c r="G142" i="12"/>
  <c r="F142" i="12"/>
  <c r="E142" i="12"/>
  <c r="B164" i="12"/>
  <c r="J140" i="12"/>
  <c r="D163" i="12"/>
  <c r="C163" i="12"/>
  <c r="I140" i="12"/>
  <c r="J139" i="12"/>
  <c r="J138" i="12"/>
  <c r="J137" i="12"/>
  <c r="J136" i="12"/>
  <c r="I134" i="12"/>
  <c r="D156" i="12"/>
  <c r="I133" i="12"/>
  <c r="I132" i="12"/>
  <c r="I131" i="12"/>
  <c r="I130" i="12"/>
  <c r="I135" i="12" l="1"/>
  <c r="I154" i="12"/>
  <c r="I137" i="12"/>
  <c r="I164" i="12"/>
  <c r="I139" i="12"/>
  <c r="I138" i="12"/>
  <c r="C142" i="12"/>
  <c r="C160" i="12"/>
  <c r="I160" i="12" s="1"/>
  <c r="I162" i="12"/>
  <c r="I161" i="12"/>
  <c r="I158" i="12"/>
  <c r="I157" i="12"/>
  <c r="I155" i="12"/>
  <c r="I153" i="12"/>
  <c r="I159" i="12"/>
  <c r="D165" i="12"/>
  <c r="B142" i="12"/>
  <c r="I136" i="12"/>
  <c r="C156" i="12"/>
  <c r="I141" i="12"/>
  <c r="D142" i="12"/>
  <c r="B163" i="12"/>
  <c r="I163" i="12" s="1"/>
  <c r="I142" i="12" l="1"/>
  <c r="C165" i="12"/>
  <c r="B165" i="12"/>
  <c r="I156" i="12"/>
  <c r="D170" i="12"/>
  <c r="B166" i="12"/>
  <c r="I165" i="12" l="1"/>
  <c r="C169" i="12"/>
  <c r="B167" i="12"/>
  <c r="B168" i="12"/>
  <c r="M86" i="5" l="1"/>
  <c r="K86" i="5"/>
  <c r="K78" i="5"/>
  <c r="K61" i="5"/>
  <c r="K17" i="5"/>
  <c r="K25" i="5" s="1"/>
  <c r="K80" i="6"/>
  <c r="K61" i="6"/>
  <c r="K37" i="6"/>
  <c r="K17" i="6"/>
  <c r="K20" i="7"/>
  <c r="K22" i="7" s="1"/>
  <c r="M83" i="10"/>
  <c r="K83" i="10"/>
  <c r="K72" i="10"/>
  <c r="K58" i="10"/>
  <c r="K34" i="10"/>
  <c r="K19" i="10"/>
  <c r="K15" i="10"/>
  <c r="K31" i="14"/>
  <c r="K19" i="14"/>
  <c r="K28" i="17"/>
  <c r="K17" i="17"/>
  <c r="K12" i="17"/>
  <c r="K88" i="6" l="1"/>
  <c r="K21" i="14"/>
  <c r="K33" i="14" s="1"/>
  <c r="K19" i="17"/>
  <c r="K30" i="17" s="1"/>
  <c r="K39" i="6"/>
  <c r="K80" i="5"/>
  <c r="K88" i="5" s="1"/>
  <c r="K74" i="10"/>
  <c r="K21" i="10"/>
  <c r="K90" i="6" l="1"/>
  <c r="K85" i="10"/>
  <c r="K88" i="10" s="1"/>
  <c r="C42" i="12"/>
  <c r="C143" i="18" s="1"/>
  <c r="M143" i="18" l="1"/>
  <c r="O143" i="18" s="1"/>
  <c r="E143" i="18"/>
  <c r="C37" i="11"/>
  <c r="N75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7" i="12"/>
  <c r="I209" i="12"/>
  <c r="I196" i="12"/>
  <c r="I200" i="12"/>
  <c r="I210" i="12"/>
  <c r="N289" i="2"/>
  <c r="N290" i="2"/>
  <c r="N291" i="2"/>
  <c r="N292" i="2"/>
  <c r="N293" i="2"/>
  <c r="B113" i="12" s="1"/>
  <c r="C101" i="18" s="1"/>
  <c r="N295" i="2"/>
  <c r="N296" i="2"/>
  <c r="N297" i="2"/>
  <c r="N298" i="2"/>
  <c r="B119" i="12" s="1"/>
  <c r="N299" i="2"/>
  <c r="B120" i="12" s="1"/>
  <c r="N300" i="2"/>
  <c r="N252" i="2"/>
  <c r="N253" i="2"/>
  <c r="N254" i="2"/>
  <c r="N255" i="2"/>
  <c r="N256" i="2"/>
  <c r="N257" i="2"/>
  <c r="N258" i="2"/>
  <c r="N259" i="2"/>
  <c r="N260" i="2"/>
  <c r="N261" i="2"/>
  <c r="N264" i="2"/>
  <c r="N265" i="2"/>
  <c r="N266" i="2"/>
  <c r="N268" i="2"/>
  <c r="N269" i="2"/>
  <c r="N270" i="2"/>
  <c r="N271" i="2"/>
  <c r="B101" i="12" s="1"/>
  <c r="N272" i="2"/>
  <c r="N273" i="2"/>
  <c r="N274" i="2"/>
  <c r="N275" i="2"/>
  <c r="N276" i="2"/>
  <c r="N277" i="2"/>
  <c r="N278" i="2"/>
  <c r="N279" i="2"/>
  <c r="N281" i="2"/>
  <c r="N282" i="2"/>
  <c r="N227" i="2"/>
  <c r="N228" i="2"/>
  <c r="B51" i="12" s="1"/>
  <c r="N229" i="2"/>
  <c r="N230" i="2"/>
  <c r="N231" i="2"/>
  <c r="N232" i="2"/>
  <c r="N233" i="2"/>
  <c r="N234" i="2"/>
  <c r="N235" i="2"/>
  <c r="N236" i="2"/>
  <c r="N237" i="2"/>
  <c r="N238" i="2"/>
  <c r="N240" i="2"/>
  <c r="N241" i="2"/>
  <c r="N244" i="2"/>
  <c r="N245" i="2"/>
  <c r="B69" i="12" s="1"/>
  <c r="C64" i="18" s="1"/>
  <c r="N246" i="2"/>
  <c r="N247" i="2"/>
  <c r="N211" i="2"/>
  <c r="N187" i="2"/>
  <c r="N188" i="2"/>
  <c r="N189" i="2"/>
  <c r="N190" i="2"/>
  <c r="N191" i="2"/>
  <c r="N192" i="2"/>
  <c r="N193" i="2"/>
  <c r="N195" i="2"/>
  <c r="N196" i="2"/>
  <c r="N197" i="2"/>
  <c r="N200" i="2"/>
  <c r="N202" i="2"/>
  <c r="N203" i="2"/>
  <c r="N204" i="2"/>
  <c r="N205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80" i="2"/>
  <c r="N181" i="2"/>
  <c r="N182" i="2"/>
  <c r="N183" i="2"/>
  <c r="N184" i="2"/>
  <c r="N111" i="2"/>
  <c r="N112" i="2"/>
  <c r="N113" i="2"/>
  <c r="B15" i="12" s="1"/>
  <c r="N114" i="2"/>
  <c r="N115" i="2"/>
  <c r="N116" i="2"/>
  <c r="N117" i="2"/>
  <c r="N118" i="2"/>
  <c r="N119" i="2"/>
  <c r="N120" i="2"/>
  <c r="N122" i="2"/>
  <c r="N123" i="2"/>
  <c r="N124" i="2"/>
  <c r="N125" i="2"/>
  <c r="N126" i="2"/>
  <c r="N127" i="2"/>
  <c r="N128" i="2"/>
  <c r="N129" i="2"/>
  <c r="N130" i="2"/>
  <c r="N131" i="2"/>
  <c r="N133" i="2"/>
  <c r="N70" i="2"/>
  <c r="N42" i="2"/>
  <c r="N45" i="2"/>
  <c r="J28" i="17"/>
  <c r="J17" i="17"/>
  <c r="J12" i="17"/>
  <c r="J31" i="14"/>
  <c r="J19" i="14"/>
  <c r="J83" i="10"/>
  <c r="J72" i="10"/>
  <c r="J58" i="10"/>
  <c r="J34" i="10"/>
  <c r="J19" i="10"/>
  <c r="J15" i="10"/>
  <c r="J20" i="7"/>
  <c r="J80" i="6"/>
  <c r="J61" i="6"/>
  <c r="J37" i="6"/>
  <c r="J17" i="6"/>
  <c r="N72" i="5"/>
  <c r="J86" i="5"/>
  <c r="J78" i="5"/>
  <c r="J17" i="5"/>
  <c r="B27" i="12" l="1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8" i="12"/>
  <c r="M605" i="18"/>
  <c r="O605" i="18" s="1"/>
  <c r="E605" i="18"/>
  <c r="E101" i="18"/>
  <c r="E64" i="18"/>
  <c r="M101" i="18"/>
  <c r="O101" i="18" s="1"/>
  <c r="M64" i="18"/>
  <c r="O64" i="18" s="1"/>
  <c r="J88" i="6"/>
  <c r="N134" i="2"/>
  <c r="J39" i="6"/>
  <c r="I198" i="12"/>
  <c r="I206" i="12"/>
  <c r="I208" i="12"/>
  <c r="I199" i="12"/>
  <c r="I197" i="12"/>
  <c r="I205" i="12"/>
  <c r="J21" i="10"/>
  <c r="J74" i="10"/>
  <c r="I212" i="12"/>
  <c r="J25" i="5"/>
  <c r="J61" i="5"/>
  <c r="J80" i="5" s="1"/>
  <c r="J22" i="7"/>
  <c r="J21" i="14"/>
  <c r="J33" i="14" s="1"/>
  <c r="I195" i="12"/>
  <c r="E325" i="12" s="1"/>
  <c r="J19" i="17"/>
  <c r="J30" i="17" s="1"/>
  <c r="I201" i="12"/>
  <c r="I38" i="12" l="1"/>
  <c r="G351" i="12" s="1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C351" i="12"/>
  <c r="J88" i="5"/>
  <c r="J85" i="10"/>
  <c r="J88" i="10" s="1"/>
  <c r="N26" i="14"/>
  <c r="E773" i="18" l="1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4" i="5"/>
  <c r="N73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6" i="5"/>
  <c r="D86" i="11"/>
  <c r="D97" i="12"/>
  <c r="C298" i="18" s="1"/>
  <c r="D83" i="11"/>
  <c r="D94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8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5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4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1" i="2"/>
  <c r="I78" i="2" s="1"/>
  <c r="I80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2" i="2"/>
  <c r="M15" i="18" l="1"/>
  <c r="O15" i="18"/>
  <c r="E15" i="18"/>
  <c r="N69" i="5"/>
  <c r="C97" i="12" l="1"/>
  <c r="C192" i="18" s="1"/>
  <c r="C86" i="11"/>
  <c r="M192" i="18" l="1"/>
  <c r="O192" i="18" s="1"/>
  <c r="E192" i="18"/>
  <c r="J301" i="2"/>
  <c r="J78" i="2" s="1"/>
  <c r="J80" i="2" s="1"/>
  <c r="I28" i="17"/>
  <c r="I17" i="17"/>
  <c r="I12" i="17"/>
  <c r="N13" i="14"/>
  <c r="I31" i="14"/>
  <c r="I19" i="14"/>
  <c r="M72" i="10"/>
  <c r="I83" i="10"/>
  <c r="I72" i="10"/>
  <c r="I58" i="10"/>
  <c r="I34" i="10"/>
  <c r="I19" i="10"/>
  <c r="I15" i="10"/>
  <c r="I20" i="7"/>
  <c r="I80" i="6"/>
  <c r="I61" i="6"/>
  <c r="I37" i="6"/>
  <c r="I17" i="6"/>
  <c r="I86" i="5"/>
  <c r="I78" i="5"/>
  <c r="I61" i="5"/>
  <c r="I17" i="5"/>
  <c r="G56" i="11" l="1"/>
  <c r="G67" i="12"/>
  <c r="I88" i="6"/>
  <c r="I39" i="6"/>
  <c r="I22" i="7"/>
  <c r="I21" i="10"/>
  <c r="I74" i="10"/>
  <c r="I19" i="17"/>
  <c r="I30" i="17" s="1"/>
  <c r="I21" i="14"/>
  <c r="I33" i="14" s="1"/>
  <c r="I25" i="5"/>
  <c r="I80" i="5"/>
  <c r="I90" i="6" l="1"/>
  <c r="I88" i="5"/>
  <c r="I85" i="10"/>
  <c r="I88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2" i="2"/>
  <c r="M753" i="18" l="1"/>
  <c r="O753" i="18" s="1"/>
  <c r="E753" i="18"/>
  <c r="H301" i="2"/>
  <c r="H78" i="2" s="1"/>
  <c r="H80" i="2" s="1"/>
  <c r="N221" i="2"/>
  <c r="N219" i="2"/>
  <c r="N218" i="2"/>
  <c r="N217" i="2"/>
  <c r="N216" i="2"/>
  <c r="N215" i="2"/>
  <c r="N214" i="2"/>
  <c r="N213" i="2"/>
  <c r="N212" i="2"/>
  <c r="H28" i="17"/>
  <c r="H17" i="17"/>
  <c r="H12" i="17"/>
  <c r="H31" i="14"/>
  <c r="H19" i="14"/>
  <c r="H21" i="14" s="1"/>
  <c r="H83" i="10"/>
  <c r="H72" i="10"/>
  <c r="H58" i="10"/>
  <c r="H34" i="10"/>
  <c r="H19" i="10"/>
  <c r="H15" i="10"/>
  <c r="H20" i="7"/>
  <c r="H22" i="7" s="1"/>
  <c r="H80" i="6"/>
  <c r="H61" i="6"/>
  <c r="H37" i="6"/>
  <c r="H17" i="6"/>
  <c r="H86" i="5"/>
  <c r="H78" i="5"/>
  <c r="H61" i="5"/>
  <c r="H17" i="5"/>
  <c r="E442" i="12"/>
  <c r="I306" i="12"/>
  <c r="E439" i="12" s="1"/>
  <c r="I305" i="12"/>
  <c r="E438" i="12" s="1"/>
  <c r="I304" i="12"/>
  <c r="H88" i="6" l="1"/>
  <c r="B44" i="12"/>
  <c r="C39" i="18" s="1"/>
  <c r="H80" i="5"/>
  <c r="H21" i="10"/>
  <c r="H25" i="5"/>
  <c r="H39" i="6"/>
  <c r="H11" i="2"/>
  <c r="H208" i="2"/>
  <c r="H74" i="10"/>
  <c r="H19" i="17"/>
  <c r="H30" i="17" s="1"/>
  <c r="H52" i="2"/>
  <c r="H34" i="2"/>
  <c r="H33" i="14"/>
  <c r="H90" i="6" l="1"/>
  <c r="E39" i="18"/>
  <c r="M39" i="18"/>
  <c r="O39" i="18" s="1"/>
  <c r="H88" i="5"/>
  <c r="H85" i="10"/>
  <c r="H88" i="10" s="1"/>
  <c r="H35" i="2"/>
  <c r="H303" i="2"/>
  <c r="E301" i="2"/>
  <c r="F301" i="2"/>
  <c r="F78" i="2" s="1"/>
  <c r="F80" i="2" s="1"/>
  <c r="G301" i="2"/>
  <c r="G78" i="2" s="1"/>
  <c r="G80" i="2" s="1"/>
  <c r="E78" i="2" l="1"/>
  <c r="E80" i="2" s="1"/>
  <c r="H36" i="2"/>
  <c r="H81" i="2"/>
  <c r="H85" i="2" s="1"/>
  <c r="E303" i="2"/>
  <c r="H53" i="2"/>
  <c r="H305" i="2" l="1"/>
  <c r="B122" i="12"/>
  <c r="C107" i="18" s="1"/>
  <c r="G86" i="5"/>
  <c r="G78" i="5"/>
  <c r="G61" i="5"/>
  <c r="G17" i="5"/>
  <c r="C847" i="18" l="1"/>
  <c r="E107" i="18"/>
  <c r="B110" i="11"/>
  <c r="I110" i="11" s="1"/>
  <c r="G25" i="5"/>
  <c r="G80" i="5"/>
  <c r="I122" i="12"/>
  <c r="G442" i="12" s="1"/>
  <c r="M847" i="18" l="1"/>
  <c r="O847" i="18" s="1"/>
  <c r="E847" i="18"/>
  <c r="M107" i="18"/>
  <c r="O107" i="18" s="1"/>
  <c r="C23" i="11"/>
  <c r="G88" i="5"/>
  <c r="C129" i="18"/>
  <c r="E129" i="18" l="1"/>
  <c r="M129" i="18"/>
  <c r="O129" i="18" s="1"/>
  <c r="C763" i="18"/>
  <c r="N288" i="2"/>
  <c r="N301" i="2" s="1"/>
  <c r="M763" i="18" l="1"/>
  <c r="O763" i="18" s="1"/>
  <c r="E763" i="18"/>
  <c r="I11" i="2"/>
  <c r="I34" i="2"/>
  <c r="G58" i="10"/>
  <c r="G83" i="10"/>
  <c r="G72" i="10"/>
  <c r="G34" i="10"/>
  <c r="G19" i="10"/>
  <c r="G15" i="10"/>
  <c r="G21" i="10" l="1"/>
  <c r="I35" i="2"/>
  <c r="I81" i="2" s="1"/>
  <c r="G74" i="10"/>
  <c r="I220" i="12"/>
  <c r="E350" i="12" s="1"/>
  <c r="G20" i="7"/>
  <c r="G22" i="7" s="1"/>
  <c r="G80" i="6"/>
  <c r="G61" i="6"/>
  <c r="G37" i="6"/>
  <c r="G17" i="6"/>
  <c r="E338" i="12"/>
  <c r="G17" i="17"/>
  <c r="G12" i="17"/>
  <c r="G230" i="12"/>
  <c r="G31" i="14"/>
  <c r="G19" i="14"/>
  <c r="G27" i="16"/>
  <c r="I69" i="11"/>
  <c r="N68" i="5"/>
  <c r="D89" i="12" s="1"/>
  <c r="C290" i="18" s="1"/>
  <c r="N22" i="5"/>
  <c r="N16" i="5"/>
  <c r="N15" i="5"/>
  <c r="C17" i="5"/>
  <c r="D17" i="5"/>
  <c r="E17" i="5"/>
  <c r="F17" i="5"/>
  <c r="B17" i="5"/>
  <c r="B25" i="5" s="1"/>
  <c r="M17" i="5"/>
  <c r="M20" i="7"/>
  <c r="N12" i="7"/>
  <c r="N13" i="7"/>
  <c r="F28" i="17"/>
  <c r="F17" i="17"/>
  <c r="F12" i="17"/>
  <c r="F31" i="14"/>
  <c r="F19" i="14"/>
  <c r="F83" i="10"/>
  <c r="F72" i="10"/>
  <c r="F58" i="10"/>
  <c r="F34" i="10"/>
  <c r="F19" i="10"/>
  <c r="F15" i="10"/>
  <c r="N10" i="7"/>
  <c r="F20" i="7"/>
  <c r="F22" i="7" s="1"/>
  <c r="M61" i="6"/>
  <c r="M88" i="6" s="1"/>
  <c r="C12" i="12"/>
  <c r="C114" i="18" s="1"/>
  <c r="F80" i="6"/>
  <c r="F61" i="6"/>
  <c r="F17" i="6"/>
  <c r="N65" i="5"/>
  <c r="N66" i="5"/>
  <c r="D95" i="12" s="1"/>
  <c r="C296" i="18" s="1"/>
  <c r="N67" i="5"/>
  <c r="D92" i="12" s="1"/>
  <c r="C293" i="18" s="1"/>
  <c r="D87" i="12"/>
  <c r="C288" i="18" s="1"/>
  <c r="N70" i="5"/>
  <c r="N76" i="5"/>
  <c r="D56" i="11" s="1"/>
  <c r="D27" i="16" s="1"/>
  <c r="N77" i="5"/>
  <c r="N64" i="5"/>
  <c r="N45" i="5"/>
  <c r="N46" i="5"/>
  <c r="D50" i="11" s="1"/>
  <c r="N47" i="5"/>
  <c r="N48" i="5"/>
  <c r="N50" i="5"/>
  <c r="N51" i="5"/>
  <c r="N52" i="5"/>
  <c r="N54" i="5"/>
  <c r="N55" i="5"/>
  <c r="N56" i="5"/>
  <c r="D61" i="11" s="1"/>
  <c r="D30" i="16" s="1"/>
  <c r="N58" i="5"/>
  <c r="N59" i="5"/>
  <c r="N60" i="5"/>
  <c r="N32" i="5"/>
  <c r="N33" i="5"/>
  <c r="N34" i="5"/>
  <c r="D42" i="12" s="1"/>
  <c r="C249" i="18" s="1"/>
  <c r="N35" i="5"/>
  <c r="N20" i="5"/>
  <c r="N9" i="5"/>
  <c r="N10" i="5"/>
  <c r="N14" i="5"/>
  <c r="N11" i="5"/>
  <c r="N13" i="5"/>
  <c r="N8" i="5"/>
  <c r="M78" i="5"/>
  <c r="M61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0" i="12"/>
  <c r="Q31" i="15" s="1"/>
  <c r="G213" i="12"/>
  <c r="Q24" i="15" s="1"/>
  <c r="Q25" i="15" s="1"/>
  <c r="G202" i="12"/>
  <c r="Q20" i="15" s="1"/>
  <c r="Q21" i="15" s="1"/>
  <c r="N11" i="17"/>
  <c r="N23" i="17"/>
  <c r="N24" i="17"/>
  <c r="N26" i="17"/>
  <c r="H112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5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1" i="11" s="1"/>
  <c r="G58" i="16" s="1"/>
  <c r="N28" i="14"/>
  <c r="G104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0" i="12"/>
  <c r="P30" i="15" s="1"/>
  <c r="F213" i="12"/>
  <c r="P24" i="15" s="1"/>
  <c r="P25" i="15" s="1"/>
  <c r="F202" i="12"/>
  <c r="H47" i="12"/>
  <c r="H30" i="15" s="1"/>
  <c r="H43" i="16"/>
  <c r="P32" i="15"/>
  <c r="N30" i="14"/>
  <c r="G113" i="12" s="1"/>
  <c r="C736" i="18" s="1"/>
  <c r="E361" i="12"/>
  <c r="E431" i="12"/>
  <c r="E437" i="12"/>
  <c r="E440" i="12"/>
  <c r="I297" i="12"/>
  <c r="E430" i="12" s="1"/>
  <c r="I272" i="12"/>
  <c r="E404" i="12" s="1"/>
  <c r="N19" i="2"/>
  <c r="B117" i="12"/>
  <c r="C103" i="18" s="1"/>
  <c r="C106" i="18"/>
  <c r="B27" i="16"/>
  <c r="B87" i="12"/>
  <c r="C76" i="18" s="1"/>
  <c r="I264" i="12"/>
  <c r="E396" i="12" s="1"/>
  <c r="I255" i="12"/>
  <c r="E387" i="12" s="1"/>
  <c r="I273" i="12"/>
  <c r="E405" i="12" s="1"/>
  <c r="N71" i="5"/>
  <c r="N43" i="5"/>
  <c r="E86" i="5"/>
  <c r="E78" i="5"/>
  <c r="E61" i="5"/>
  <c r="C20" i="7"/>
  <c r="E20" i="7"/>
  <c r="N18" i="7"/>
  <c r="E102" i="11" s="1"/>
  <c r="E59" i="16" s="1"/>
  <c r="M37" i="6"/>
  <c r="M39" i="6" s="1"/>
  <c r="C37" i="6"/>
  <c r="C213" i="12"/>
  <c r="E61" i="6"/>
  <c r="E37" i="6"/>
  <c r="E17" i="6"/>
  <c r="H260" i="12"/>
  <c r="R31" i="15" s="1"/>
  <c r="I274" i="12"/>
  <c r="E406" i="12" s="1"/>
  <c r="I311" i="12"/>
  <c r="E444" i="12" s="1"/>
  <c r="I124" i="12"/>
  <c r="N35" i="15"/>
  <c r="M35" i="15"/>
  <c r="I302" i="12"/>
  <c r="E435" i="12" s="1"/>
  <c r="E433" i="12"/>
  <c r="I299" i="12"/>
  <c r="E432" i="12" s="1"/>
  <c r="I296" i="12"/>
  <c r="E429" i="12" s="1"/>
  <c r="I285" i="12"/>
  <c r="E417" i="12" s="1"/>
  <c r="I103" i="12"/>
  <c r="O32" i="15"/>
  <c r="N32" i="15"/>
  <c r="M32" i="15"/>
  <c r="L32" i="15"/>
  <c r="I283" i="12"/>
  <c r="E415" i="12" s="1"/>
  <c r="I282" i="12"/>
  <c r="E414" i="12" s="1"/>
  <c r="I280" i="12"/>
  <c r="E412" i="12" s="1"/>
  <c r="I279" i="12"/>
  <c r="E411" i="12" s="1"/>
  <c r="I278" i="12"/>
  <c r="E410" i="12" s="1"/>
  <c r="I277" i="12"/>
  <c r="E409" i="12" s="1"/>
  <c r="C95" i="12"/>
  <c r="C190" i="18" s="1"/>
  <c r="I276" i="12"/>
  <c r="E408" i="12" s="1"/>
  <c r="C94" i="12"/>
  <c r="C189" i="18" s="1"/>
  <c r="I275" i="12"/>
  <c r="E407" i="12" s="1"/>
  <c r="I271" i="12"/>
  <c r="E403" i="12" s="1"/>
  <c r="I270" i="12"/>
  <c r="E402" i="12" s="1"/>
  <c r="I269" i="12"/>
  <c r="I268" i="12"/>
  <c r="E400" i="12" s="1"/>
  <c r="I267" i="12"/>
  <c r="E399" i="12" s="1"/>
  <c r="I266" i="12"/>
  <c r="E398" i="12" s="1"/>
  <c r="I263" i="12"/>
  <c r="E395" i="12" s="1"/>
  <c r="E260" i="12"/>
  <c r="O31" i="15" s="1"/>
  <c r="C260" i="12"/>
  <c r="M31" i="15" s="1"/>
  <c r="I259" i="12"/>
  <c r="E391" i="12" s="1"/>
  <c r="I258" i="12"/>
  <c r="E390" i="12" s="1"/>
  <c r="I257" i="12"/>
  <c r="I256" i="12"/>
  <c r="E388" i="12" s="1"/>
  <c r="I254" i="12"/>
  <c r="E386" i="12" s="1"/>
  <c r="I253" i="12"/>
  <c r="E385" i="12" s="1"/>
  <c r="I252" i="12"/>
  <c r="E384" i="12" s="1"/>
  <c r="I251" i="12"/>
  <c r="E383" i="12" s="1"/>
  <c r="I250" i="12"/>
  <c r="E382" i="12" s="1"/>
  <c r="I249" i="12"/>
  <c r="E381" i="12" s="1"/>
  <c r="I248" i="12"/>
  <c r="I247" i="12"/>
  <c r="E379" i="12" s="1"/>
  <c r="I246" i="12"/>
  <c r="E378" i="12" s="1"/>
  <c r="I243" i="12"/>
  <c r="E375" i="12" s="1"/>
  <c r="I242" i="12"/>
  <c r="E374" i="12" s="1"/>
  <c r="I241" i="12"/>
  <c r="I240" i="12"/>
  <c r="E372" i="12" s="1"/>
  <c r="I239" i="12"/>
  <c r="E371" i="12" s="1"/>
  <c r="D260" i="12"/>
  <c r="N31" i="15" s="1"/>
  <c r="L31" i="15"/>
  <c r="E230" i="12"/>
  <c r="O30" i="15" s="1"/>
  <c r="D230" i="12"/>
  <c r="N30" i="15" s="1"/>
  <c r="C230" i="12"/>
  <c r="M30" i="15" s="1"/>
  <c r="E47" i="12"/>
  <c r="C47" i="12"/>
  <c r="C30" i="15" s="1"/>
  <c r="I229" i="12"/>
  <c r="E359" i="12" s="1"/>
  <c r="I228" i="12"/>
  <c r="E358" i="12" s="1"/>
  <c r="I227" i="12"/>
  <c r="E357" i="12" s="1"/>
  <c r="B230" i="12"/>
  <c r="I226" i="12"/>
  <c r="E356" i="12" s="1"/>
  <c r="I225" i="12"/>
  <c r="E355" i="12" s="1"/>
  <c r="I224" i="12"/>
  <c r="E354" i="12" s="1"/>
  <c r="I223" i="12"/>
  <c r="E353" i="12" s="1"/>
  <c r="I222" i="12"/>
  <c r="E352" i="12" s="1"/>
  <c r="H230" i="12"/>
  <c r="R30" i="15" s="1"/>
  <c r="I219" i="12"/>
  <c r="I36" i="12"/>
  <c r="I218" i="12"/>
  <c r="I35" i="12"/>
  <c r="I33" i="12"/>
  <c r="H213" i="12"/>
  <c r="R24" i="15" s="1"/>
  <c r="R25" i="15" s="1"/>
  <c r="E213" i="12"/>
  <c r="O24" i="15" s="1"/>
  <c r="O25" i="15" s="1"/>
  <c r="D213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9" i="12"/>
  <c r="C26" i="12"/>
  <c r="C128" i="18" s="1"/>
  <c r="E337" i="12"/>
  <c r="I203" i="12"/>
  <c r="I20" i="12"/>
  <c r="H202" i="12"/>
  <c r="R20" i="15" s="1"/>
  <c r="R21" i="15" s="1"/>
  <c r="E202" i="12"/>
  <c r="D202" i="12"/>
  <c r="N20" i="15" s="1"/>
  <c r="N21" i="15" s="1"/>
  <c r="E19" i="12"/>
  <c r="E20" i="15" s="1"/>
  <c r="E21" i="15" s="1"/>
  <c r="E331" i="12"/>
  <c r="H19" i="12"/>
  <c r="H20" i="15" s="1"/>
  <c r="H21" i="15" s="1"/>
  <c r="E330" i="12"/>
  <c r="E329" i="12"/>
  <c r="C16" i="12"/>
  <c r="C118" i="18" s="1"/>
  <c r="E328" i="12"/>
  <c r="E327" i="12"/>
  <c r="C202" i="12"/>
  <c r="M20" i="15" s="1"/>
  <c r="M21" i="15" s="1"/>
  <c r="E326" i="12"/>
  <c r="L35" i="15"/>
  <c r="R32" i="15"/>
  <c r="E335" i="12"/>
  <c r="B202" i="12"/>
  <c r="I244" i="12"/>
  <c r="E376" i="12" s="1"/>
  <c r="E336" i="12"/>
  <c r="I238" i="12"/>
  <c r="E370" i="12" s="1"/>
  <c r="E342" i="12"/>
  <c r="I112" i="11"/>
  <c r="I92" i="11"/>
  <c r="D49" i="16"/>
  <c r="C49" i="16"/>
  <c r="C84" i="11"/>
  <c r="C47" i="16" s="1"/>
  <c r="C83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5" i="12"/>
  <c r="C419" i="18" s="1"/>
  <c r="F107" i="12"/>
  <c r="C412" i="18" s="1"/>
  <c r="F84" i="12"/>
  <c r="C390" i="18" s="1"/>
  <c r="F74" i="11"/>
  <c r="F41" i="16" s="1"/>
  <c r="F95" i="12"/>
  <c r="C401" i="18" s="1"/>
  <c r="F81" i="11"/>
  <c r="F48" i="16"/>
  <c r="F76" i="11"/>
  <c r="F93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7" i="12"/>
  <c r="C58" i="10"/>
  <c r="B34" i="10"/>
  <c r="E83" i="10"/>
  <c r="D83" i="10"/>
  <c r="C83" i="10"/>
  <c r="B83" i="10"/>
  <c r="E72" i="10"/>
  <c r="D72" i="10"/>
  <c r="C72" i="10"/>
  <c r="B72" i="10"/>
  <c r="E58" i="10"/>
  <c r="E34" i="10"/>
  <c r="D34" i="10"/>
  <c r="C34" i="10"/>
  <c r="E19" i="10"/>
  <c r="E21" i="10" s="1"/>
  <c r="D19" i="10"/>
  <c r="C19" i="10"/>
  <c r="B19" i="10"/>
  <c r="C21" i="10"/>
  <c r="N17" i="7"/>
  <c r="D22" i="7"/>
  <c r="N11" i="7"/>
  <c r="E56" i="11" s="1"/>
  <c r="E27" i="16" s="1"/>
  <c r="C27" i="16"/>
  <c r="C82" i="11"/>
  <c r="N83" i="6"/>
  <c r="D61" i="6"/>
  <c r="C61" i="6"/>
  <c r="B61" i="6"/>
  <c r="B88" i="6" s="1"/>
  <c r="D37" i="6"/>
  <c r="B37" i="6"/>
  <c r="N19" i="6"/>
  <c r="D17" i="6"/>
  <c r="C17" i="6"/>
  <c r="B17" i="6"/>
  <c r="D61" i="5"/>
  <c r="C61" i="5"/>
  <c r="C78" i="5"/>
  <c r="D78" i="5"/>
  <c r="B78" i="5"/>
  <c r="C86" i="5"/>
  <c r="D86" i="5"/>
  <c r="F86" i="5"/>
  <c r="B86" i="5"/>
  <c r="N18" i="2"/>
  <c r="B208" i="2"/>
  <c r="AF304" i="2"/>
  <c r="AG304" i="2" s="1"/>
  <c r="AF302" i="2"/>
  <c r="AG302" i="2" s="1"/>
  <c r="AF295" i="2"/>
  <c r="AG295" i="2" s="1"/>
  <c r="AF293" i="2"/>
  <c r="AG293" i="2" s="1"/>
  <c r="B111" i="12"/>
  <c r="C99" i="18" s="1"/>
  <c r="AF287" i="2"/>
  <c r="AG287" i="2" s="1"/>
  <c r="AF286" i="2"/>
  <c r="AG286" i="2" s="1"/>
  <c r="AF270" i="2"/>
  <c r="AG270" i="2" s="1"/>
  <c r="C87" i="18"/>
  <c r="AF266" i="2"/>
  <c r="AG266" i="2" s="1"/>
  <c r="AF265" i="2"/>
  <c r="AG265" i="2" s="1"/>
  <c r="I66" i="12"/>
  <c r="N262" i="2"/>
  <c r="B96" i="12"/>
  <c r="C85" i="18" s="1"/>
  <c r="AF259" i="2"/>
  <c r="AG259" i="2" s="1"/>
  <c r="AF258" i="2"/>
  <c r="AG258" i="2" s="1"/>
  <c r="AF257" i="2"/>
  <c r="AG257" i="2" s="1"/>
  <c r="B86" i="12"/>
  <c r="C75" i="18" s="1"/>
  <c r="AF255" i="2"/>
  <c r="AG255" i="2" s="1"/>
  <c r="AF254" i="2"/>
  <c r="AG254" i="2" s="1"/>
  <c r="B81" i="12"/>
  <c r="C70" i="18" s="1"/>
  <c r="N251" i="2"/>
  <c r="AF250" i="2"/>
  <c r="AG250" i="2" s="1"/>
  <c r="AF245" i="2"/>
  <c r="AG245" i="2" s="1"/>
  <c r="AF244" i="2"/>
  <c r="AG244" i="2" s="1"/>
  <c r="B31" i="16"/>
  <c r="AF237" i="2"/>
  <c r="AG237" i="2" s="1"/>
  <c r="AF235" i="2"/>
  <c r="AG235" i="2" s="1"/>
  <c r="AF234" i="2"/>
  <c r="AG234" i="2" s="1"/>
  <c r="AF233" i="2"/>
  <c r="AG233" i="2" s="1"/>
  <c r="AF229" i="2"/>
  <c r="AG229" i="2" s="1"/>
  <c r="N226" i="2"/>
  <c r="N249" i="2" s="1"/>
  <c r="AF225" i="2"/>
  <c r="AG225" i="2" s="1"/>
  <c r="AF219" i="2"/>
  <c r="AG219" i="2" s="1"/>
  <c r="AF218" i="2"/>
  <c r="AG218" i="2" s="1"/>
  <c r="AF217" i="2"/>
  <c r="AG217" i="2" s="1"/>
  <c r="AF211" i="2"/>
  <c r="AG211" i="2" s="1"/>
  <c r="N210" i="2"/>
  <c r="N224" i="2" s="1"/>
  <c r="AF209" i="2"/>
  <c r="AG209" i="2" s="1"/>
  <c r="AF193" i="2"/>
  <c r="AG193" i="2" s="1"/>
  <c r="AF192" i="2"/>
  <c r="AG192" i="2" s="1"/>
  <c r="AF191" i="2"/>
  <c r="AG191" i="2" s="1"/>
  <c r="AF190" i="2"/>
  <c r="AG190" i="2" s="1"/>
  <c r="AF188" i="2"/>
  <c r="AG188" i="2" s="1"/>
  <c r="AF187" i="2"/>
  <c r="AG187" i="2" s="1"/>
  <c r="N186" i="2"/>
  <c r="AF186" i="2" s="1"/>
  <c r="AG186" i="2" s="1"/>
  <c r="N185" i="2"/>
  <c r="AF184" i="2"/>
  <c r="AG184" i="2" s="1"/>
  <c r="AF183" i="2"/>
  <c r="AG183" i="2" s="1"/>
  <c r="AF182" i="2"/>
  <c r="AG182" i="2" s="1"/>
  <c r="AF181" i="2"/>
  <c r="AG181" i="2" s="1"/>
  <c r="AF180" i="2"/>
  <c r="AG180" i="2" s="1"/>
  <c r="N179" i="2"/>
  <c r="B25" i="12" s="1"/>
  <c r="AF178" i="2"/>
  <c r="AG178" i="2" s="1"/>
  <c r="AF177" i="2"/>
  <c r="AG177" i="2" s="1"/>
  <c r="AF176" i="2"/>
  <c r="AG176" i="2" s="1"/>
  <c r="AF174" i="2"/>
  <c r="AG174" i="2" s="1"/>
  <c r="AF172" i="2"/>
  <c r="AG172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2" i="2"/>
  <c r="AG162" i="2" s="1"/>
  <c r="AF160" i="2"/>
  <c r="AG160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52" i="2"/>
  <c r="AG152" i="2" s="1"/>
  <c r="AF148" i="2"/>
  <c r="AG148" i="2" s="1"/>
  <c r="AF147" i="2"/>
  <c r="AG147" i="2" s="1"/>
  <c r="N136" i="2"/>
  <c r="AF135" i="2"/>
  <c r="AG135" i="2" s="1"/>
  <c r="J208" i="2"/>
  <c r="G208" i="2"/>
  <c r="AF128" i="2"/>
  <c r="AG128" i="2" s="1"/>
  <c r="AF127" i="2"/>
  <c r="AG127" i="2" s="1"/>
  <c r="AF126" i="2"/>
  <c r="AG126" i="2" s="1"/>
  <c r="AF125" i="2"/>
  <c r="AG125" i="2" s="1"/>
  <c r="AF124" i="2"/>
  <c r="AG124" i="2" s="1"/>
  <c r="AF120" i="2"/>
  <c r="AG120" i="2" s="1"/>
  <c r="AF119" i="2"/>
  <c r="AG119" i="2" s="1"/>
  <c r="AF118" i="2"/>
  <c r="AG118" i="2" s="1"/>
  <c r="AF116" i="2"/>
  <c r="AG116" i="2" s="1"/>
  <c r="AF115" i="2"/>
  <c r="AG115" i="2" s="1"/>
  <c r="AF114" i="2"/>
  <c r="AG114" i="2" s="1"/>
  <c r="AF111" i="2"/>
  <c r="AG111" i="2" s="1"/>
  <c r="AF110" i="2"/>
  <c r="AG110" i="2" s="1"/>
  <c r="AF108" i="2"/>
  <c r="AG108" i="2" s="1"/>
  <c r="AF107" i="2"/>
  <c r="AG107" i="2" s="1"/>
  <c r="AF106" i="2"/>
  <c r="AG106" i="2" s="1"/>
  <c r="AF105" i="2"/>
  <c r="AG105" i="2" s="1"/>
  <c r="AF104" i="2"/>
  <c r="AG104" i="2" s="1"/>
  <c r="N103" i="2"/>
  <c r="AF103" i="2" s="1"/>
  <c r="AG103" i="2" s="1"/>
  <c r="AF102" i="2"/>
  <c r="AG102" i="2" s="1"/>
  <c r="AF101" i="2"/>
  <c r="AG101" i="2" s="1"/>
  <c r="AF100" i="2"/>
  <c r="AG100" i="2" s="1"/>
  <c r="AF92" i="2"/>
  <c r="AG92" i="2" s="1"/>
  <c r="AF91" i="2"/>
  <c r="AG91" i="2" s="1"/>
  <c r="AF87" i="2"/>
  <c r="AG87" i="2" s="1"/>
  <c r="AF86" i="2"/>
  <c r="AG86" i="2" s="1"/>
  <c r="AF85" i="2"/>
  <c r="AG85" i="2" s="1"/>
  <c r="AF83" i="2"/>
  <c r="AG83" i="2" s="1"/>
  <c r="AF82" i="2"/>
  <c r="AG82" i="2" s="1"/>
  <c r="AF74" i="2"/>
  <c r="AG74" i="2" s="1"/>
  <c r="AF70" i="2"/>
  <c r="AG70" i="2" s="1"/>
  <c r="N65" i="2"/>
  <c r="AF63" i="2"/>
  <c r="AG63" i="2" s="1"/>
  <c r="AF57" i="2"/>
  <c r="AG57" i="2" s="1"/>
  <c r="AF56" i="2"/>
  <c r="AG56" i="2" s="1"/>
  <c r="AF55" i="2"/>
  <c r="AG55" i="2" s="1"/>
  <c r="AF54" i="2"/>
  <c r="AG54" i="2" s="1"/>
  <c r="M52" i="2"/>
  <c r="F52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8" i="2"/>
  <c r="AF288" i="2"/>
  <c r="AG288" i="2" s="1"/>
  <c r="B107" i="12"/>
  <c r="I34" i="12"/>
  <c r="H58" i="16" l="1"/>
  <c r="H101" i="11"/>
  <c r="N28" i="17"/>
  <c r="H115" i="12"/>
  <c r="G27" i="11"/>
  <c r="C95" i="18"/>
  <c r="E95" i="18" s="1"/>
  <c r="N285" i="2"/>
  <c r="AF285" i="2" s="1"/>
  <c r="AG285" i="2" s="1"/>
  <c r="E428" i="12"/>
  <c r="G85" i="10"/>
  <c r="G88" i="10" s="1"/>
  <c r="M90" i="6"/>
  <c r="B39" i="6"/>
  <c r="B90" i="6" s="1"/>
  <c r="G65" i="12"/>
  <c r="C696" i="18" s="1"/>
  <c r="M696" i="18" s="1"/>
  <c r="N21" i="14"/>
  <c r="E112" i="12"/>
  <c r="C523" i="18" s="1"/>
  <c r="M523" i="18" s="1"/>
  <c r="N20" i="7"/>
  <c r="D88" i="6"/>
  <c r="E88" i="6"/>
  <c r="B37" i="12"/>
  <c r="C32" i="18" s="1"/>
  <c r="C21" i="14"/>
  <c r="C33" i="14" s="1"/>
  <c r="C112" i="12"/>
  <c r="C206" i="18" s="1"/>
  <c r="M206" i="18" s="1"/>
  <c r="O206" i="18" s="1"/>
  <c r="C101" i="11"/>
  <c r="C110" i="12"/>
  <c r="C204" i="18" s="1"/>
  <c r="M204" i="18" s="1"/>
  <c r="O204" i="18" s="1"/>
  <c r="C99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2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3" i="5"/>
  <c r="D28" i="12" s="1"/>
  <c r="C236" i="18" s="1"/>
  <c r="B21" i="10"/>
  <c r="B96" i="11"/>
  <c r="B56" i="16" s="1"/>
  <c r="B85" i="11"/>
  <c r="B48" i="16" s="1"/>
  <c r="I48" i="16" s="1"/>
  <c r="B76" i="11"/>
  <c r="B70" i="11"/>
  <c r="B100" i="11"/>
  <c r="I100" i="11" s="1"/>
  <c r="G21" i="14"/>
  <c r="G33" i="14" s="1"/>
  <c r="G115" i="12"/>
  <c r="F19" i="17"/>
  <c r="F30" i="17" s="1"/>
  <c r="E84" i="12"/>
  <c r="C496" i="18" s="1"/>
  <c r="N14" i="7"/>
  <c r="C28" i="12"/>
  <c r="C130" i="18" s="1"/>
  <c r="N78" i="5"/>
  <c r="B75" i="11"/>
  <c r="I178" i="12"/>
  <c r="B61" i="5"/>
  <c r="B80" i="5" s="1"/>
  <c r="B88" i="5" s="1"/>
  <c r="B89" i="5" s="1"/>
  <c r="N42" i="5"/>
  <c r="N61" i="5" s="1"/>
  <c r="D55" i="11"/>
  <c r="D26" i="16" s="1"/>
  <c r="L30" i="15"/>
  <c r="L33" i="15" s="1"/>
  <c r="B286" i="12"/>
  <c r="B50" i="12"/>
  <c r="C45" i="18" s="1"/>
  <c r="AF249" i="2"/>
  <c r="AG249" i="2" s="1"/>
  <c r="AF179" i="2"/>
  <c r="AG179" i="2" s="1"/>
  <c r="N23" i="2"/>
  <c r="AF23" i="2" s="1"/>
  <c r="AG23" i="2" s="1"/>
  <c r="B21" i="11"/>
  <c r="AF185" i="2"/>
  <c r="AG185" i="2" s="1"/>
  <c r="M24" i="15"/>
  <c r="M25" i="15" s="1"/>
  <c r="M27" i="15" s="1"/>
  <c r="C215" i="12"/>
  <c r="D25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4" i="11"/>
  <c r="F57" i="16" s="1"/>
  <c r="E67" i="11"/>
  <c r="N20" i="2"/>
  <c r="N28" i="2"/>
  <c r="AF28" i="2" s="1"/>
  <c r="AG28" i="2" s="1"/>
  <c r="N60" i="2"/>
  <c r="AF60" i="2" s="1"/>
  <c r="AG60" i="2" s="1"/>
  <c r="N78" i="2"/>
  <c r="AF78" i="2" s="1"/>
  <c r="AG78" i="2" s="1"/>
  <c r="N17" i="2"/>
  <c r="AF17" i="2" s="1"/>
  <c r="AG17" i="2" s="1"/>
  <c r="N69" i="2"/>
  <c r="AF69" i="2" s="1"/>
  <c r="AG69" i="2" s="1"/>
  <c r="N7" i="2"/>
  <c r="N9" i="2"/>
  <c r="AF9" i="2" s="1"/>
  <c r="AG9" i="2" s="1"/>
  <c r="N24" i="2"/>
  <c r="AF24" i="2" s="1"/>
  <c r="AG24" i="2" s="1"/>
  <c r="N67" i="2"/>
  <c r="AF67" i="2" s="1"/>
  <c r="AG67" i="2" s="1"/>
  <c r="N79" i="2"/>
  <c r="AF79" i="2" s="1"/>
  <c r="AG79" i="2" s="1"/>
  <c r="AF77" i="2"/>
  <c r="AG77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1" i="2"/>
  <c r="AF61" i="2" s="1"/>
  <c r="AG61" i="2" s="1"/>
  <c r="N76" i="2"/>
  <c r="E27" i="11"/>
  <c r="E39" i="6"/>
  <c r="D67" i="12"/>
  <c r="C274" i="18" s="1"/>
  <c r="I31" i="16"/>
  <c r="E18" i="16"/>
  <c r="N59" i="2"/>
  <c r="AF59" i="2" s="1"/>
  <c r="AG59" i="2" s="1"/>
  <c r="N96" i="2"/>
  <c r="AF96" i="2" s="1"/>
  <c r="AG96" i="2" s="1"/>
  <c r="N150" i="2"/>
  <c r="B19" i="17"/>
  <c r="B30" i="17" s="1"/>
  <c r="C19" i="17"/>
  <c r="C30" i="17" s="1"/>
  <c r="N95" i="2"/>
  <c r="AF95" i="2" s="1"/>
  <c r="AG95" i="2" s="1"/>
  <c r="N51" i="2"/>
  <c r="AF51" i="2" s="1"/>
  <c r="AG51" i="2" s="1"/>
  <c r="N39" i="2"/>
  <c r="E21" i="14"/>
  <c r="E33" i="14" s="1"/>
  <c r="E19" i="17"/>
  <c r="E30" i="17" s="1"/>
  <c r="F21" i="14"/>
  <c r="F33" i="14" s="1"/>
  <c r="N58" i="2"/>
  <c r="AF58" i="2" s="1"/>
  <c r="AG58" i="2" s="1"/>
  <c r="N68" i="2"/>
  <c r="AF68" i="2" s="1"/>
  <c r="AG68" i="2" s="1"/>
  <c r="N194" i="2"/>
  <c r="AF194" i="2" s="1"/>
  <c r="AG194" i="2" s="1"/>
  <c r="N43" i="2"/>
  <c r="AF43" i="2" s="1"/>
  <c r="AG43" i="2" s="1"/>
  <c r="B58" i="10"/>
  <c r="B74" i="10" s="1"/>
  <c r="H67" i="12"/>
  <c r="C585" i="18" s="1"/>
  <c r="D19" i="17"/>
  <c r="D30" i="17" s="1"/>
  <c r="H102" i="11"/>
  <c r="H59" i="16" s="1"/>
  <c r="H113" i="12"/>
  <c r="C630" i="18" s="1"/>
  <c r="F21" i="10"/>
  <c r="N64" i="2"/>
  <c r="N71" i="2"/>
  <c r="AF71" i="2" s="1"/>
  <c r="AG71" i="2" s="1"/>
  <c r="D55" i="12"/>
  <c r="G76" i="11"/>
  <c r="G91" i="11" s="1"/>
  <c r="G87" i="12"/>
  <c r="N17" i="17"/>
  <c r="N40" i="2"/>
  <c r="AF40" i="2" s="1"/>
  <c r="AG40" i="2" s="1"/>
  <c r="H96" i="11"/>
  <c r="H56" i="16"/>
  <c r="H107" i="12"/>
  <c r="C624" i="18" s="1"/>
  <c r="G96" i="11"/>
  <c r="G56" i="16" s="1"/>
  <c r="G107" i="12"/>
  <c r="C730" i="18" s="1"/>
  <c r="N31" i="14"/>
  <c r="C50" i="12"/>
  <c r="C151" i="18" s="1"/>
  <c r="C45" i="11"/>
  <c r="C21" i="16" s="1"/>
  <c r="N61" i="6"/>
  <c r="N86" i="6"/>
  <c r="D65" i="12"/>
  <c r="C273" i="18" s="1"/>
  <c r="D84" i="11"/>
  <c r="D47" i="16" s="1"/>
  <c r="D60" i="12"/>
  <c r="C267" i="18" s="1"/>
  <c r="C25" i="5"/>
  <c r="C18" i="16"/>
  <c r="C98" i="11"/>
  <c r="I98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78" i="5"/>
  <c r="D65" i="11"/>
  <c r="I65" i="11" s="1"/>
  <c r="D69" i="12"/>
  <c r="C276" i="18" s="1"/>
  <c r="D53" i="11"/>
  <c r="D24" i="16" s="1"/>
  <c r="D96" i="11"/>
  <c r="D80" i="5"/>
  <c r="D63" i="11"/>
  <c r="D62" i="12"/>
  <c r="D56" i="12"/>
  <c r="C263" i="18" s="1"/>
  <c r="D93" i="12"/>
  <c r="C294" i="18" s="1"/>
  <c r="D81" i="11"/>
  <c r="D44" i="16" s="1"/>
  <c r="D112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68" i="2"/>
  <c r="AG268" i="2" s="1"/>
  <c r="AF267" i="2"/>
  <c r="AG267" i="2" s="1"/>
  <c r="AF262" i="2"/>
  <c r="AG262" i="2" s="1"/>
  <c r="B68" i="12"/>
  <c r="C63" i="18" s="1"/>
  <c r="AF252" i="2"/>
  <c r="AG252" i="2" s="1"/>
  <c r="AF236" i="2"/>
  <c r="AG236" i="2" s="1"/>
  <c r="B60" i="12"/>
  <c r="C55" i="18" s="1"/>
  <c r="AF216" i="2"/>
  <c r="AG216" i="2" s="1"/>
  <c r="B41" i="12"/>
  <c r="C36" i="18" s="1"/>
  <c r="B40" i="12"/>
  <c r="C35" i="18" s="1"/>
  <c r="Q27" i="15"/>
  <c r="G32" i="12"/>
  <c r="I117" i="12"/>
  <c r="C437" i="12" s="1"/>
  <c r="B106" i="11"/>
  <c r="I106" i="11" s="1"/>
  <c r="I111" i="12"/>
  <c r="G432" i="12" s="1"/>
  <c r="I120" i="12"/>
  <c r="B109" i="11"/>
  <c r="I109" i="11" s="1"/>
  <c r="C8" i="11"/>
  <c r="I98" i="12"/>
  <c r="B87" i="11"/>
  <c r="I87" i="11" s="1"/>
  <c r="AF137" i="2"/>
  <c r="AG137" i="2" s="1"/>
  <c r="AF151" i="2"/>
  <c r="AG151" i="2" s="1"/>
  <c r="AF143" i="2"/>
  <c r="AG143" i="2" s="1"/>
  <c r="AF189" i="2"/>
  <c r="AG189" i="2" s="1"/>
  <c r="AF144" i="2"/>
  <c r="AG144" i="2" s="1"/>
  <c r="AF161" i="2"/>
  <c r="AG161" i="2" s="1"/>
  <c r="B112" i="12"/>
  <c r="C100" i="18" s="1"/>
  <c r="B108" i="12"/>
  <c r="C96" i="18" s="1"/>
  <c r="AF271" i="2"/>
  <c r="AG271" i="2" s="1"/>
  <c r="B92" i="12"/>
  <c r="C81" i="18" s="1"/>
  <c r="C18" i="12"/>
  <c r="H215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3" i="12"/>
  <c r="C188" i="18" s="1"/>
  <c r="N17" i="6"/>
  <c r="C15" i="12"/>
  <c r="M22" i="7"/>
  <c r="H73" i="11"/>
  <c r="H40" i="16" s="1"/>
  <c r="H51" i="16" s="1"/>
  <c r="AF256" i="2"/>
  <c r="AG256" i="2" s="1"/>
  <c r="D52" i="2"/>
  <c r="B82" i="12"/>
  <c r="C71" i="18" s="1"/>
  <c r="B102" i="11"/>
  <c r="B59" i="16" s="1"/>
  <c r="B46" i="12"/>
  <c r="C41" i="18" s="1"/>
  <c r="E11" i="2"/>
  <c r="AF136" i="2"/>
  <c r="AG136" i="2" s="1"/>
  <c r="AF18" i="2"/>
  <c r="AG18" i="2" s="1"/>
  <c r="F208" i="2"/>
  <c r="F303" i="2" s="1"/>
  <c r="C208" i="2"/>
  <c r="C303" i="2" s="1"/>
  <c r="G11" i="2"/>
  <c r="J303" i="2"/>
  <c r="B30" i="16"/>
  <c r="AF213" i="2"/>
  <c r="AG213" i="2" s="1"/>
  <c r="D51" i="12"/>
  <c r="C258" i="18" s="1"/>
  <c r="D46" i="11"/>
  <c r="D22" i="16" s="1"/>
  <c r="K303" i="2"/>
  <c r="F70" i="12"/>
  <c r="C382" i="18" s="1"/>
  <c r="E286" i="12"/>
  <c r="D21" i="14"/>
  <c r="D33" i="14" s="1"/>
  <c r="H27" i="11"/>
  <c r="G18" i="16"/>
  <c r="D51" i="11"/>
  <c r="F85" i="11"/>
  <c r="F82" i="11"/>
  <c r="F45" i="16" s="1"/>
  <c r="E22" i="7"/>
  <c r="F61" i="5"/>
  <c r="B21" i="14"/>
  <c r="B33" i="14" s="1"/>
  <c r="G39" i="6"/>
  <c r="AF272" i="2"/>
  <c r="AG272" i="2" s="1"/>
  <c r="C22" i="7"/>
  <c r="F58" i="11"/>
  <c r="I41" i="16"/>
  <c r="F74" i="10"/>
  <c r="L20" i="15"/>
  <c r="L21" i="15" s="1"/>
  <c r="I204" i="12"/>
  <c r="N27" i="15"/>
  <c r="D215" i="12"/>
  <c r="B93" i="12"/>
  <c r="C82" i="18" s="1"/>
  <c r="B97" i="12"/>
  <c r="C86" i="18" s="1"/>
  <c r="AF269" i="2"/>
  <c r="AG269" i="2" s="1"/>
  <c r="AF260" i="2"/>
  <c r="AG260" i="2" s="1"/>
  <c r="C89" i="18"/>
  <c r="AF251" i="2"/>
  <c r="AG251" i="2" s="1"/>
  <c r="I64" i="12"/>
  <c r="G384" i="12" s="1"/>
  <c r="B39" i="12"/>
  <c r="C34" i="18" s="1"/>
  <c r="AF292" i="2"/>
  <c r="AG292" i="2" s="1"/>
  <c r="B43" i="12"/>
  <c r="C38" i="18" s="1"/>
  <c r="N32" i="2"/>
  <c r="AF32" i="2" s="1"/>
  <c r="AG32" i="2" s="1"/>
  <c r="L208" i="2"/>
  <c r="L303" i="2" s="1"/>
  <c r="D208" i="2"/>
  <c r="D303" i="2" s="1"/>
  <c r="M19" i="17"/>
  <c r="M30" i="17" s="1"/>
  <c r="G102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4" i="10"/>
  <c r="C85" i="10" s="1"/>
  <c r="C88" i="10" s="1"/>
  <c r="E74" i="10"/>
  <c r="E85" i="10" s="1"/>
  <c r="E88" i="10" s="1"/>
  <c r="D21" i="10"/>
  <c r="F35" i="11"/>
  <c r="F16" i="16" s="1"/>
  <c r="M21" i="10"/>
  <c r="E113" i="12"/>
  <c r="E101" i="11"/>
  <c r="C109" i="12"/>
  <c r="C34" i="16"/>
  <c r="C23" i="12"/>
  <c r="C125" i="18" s="1"/>
  <c r="C76" i="11"/>
  <c r="C61" i="11"/>
  <c r="C30" i="16" s="1"/>
  <c r="C24" i="11"/>
  <c r="C39" i="6"/>
  <c r="C90" i="6" s="1"/>
  <c r="D101" i="11"/>
  <c r="D58" i="16" s="1"/>
  <c r="D58" i="11"/>
  <c r="D28" i="16" s="1"/>
  <c r="D36" i="11"/>
  <c r="D82" i="11"/>
  <c r="D45" i="16" s="1"/>
  <c r="F25" i="5"/>
  <c r="I95" i="12"/>
  <c r="E25" i="5"/>
  <c r="I213" i="12"/>
  <c r="R33" i="15"/>
  <c r="M33" i="15"/>
  <c r="C286" i="12"/>
  <c r="H286" i="12"/>
  <c r="N33" i="15"/>
  <c r="D286" i="12"/>
  <c r="I284" i="12"/>
  <c r="J281" i="12" s="1"/>
  <c r="S32" i="15"/>
  <c r="Y32" i="15" s="1"/>
  <c r="G386" i="12"/>
  <c r="I230" i="12"/>
  <c r="J221" i="12" s="1"/>
  <c r="L24" i="15"/>
  <c r="L25" i="15" s="1"/>
  <c r="B215" i="12"/>
  <c r="I216" i="12" s="1"/>
  <c r="F11" i="2"/>
  <c r="I23" i="11"/>
  <c r="B118" i="12"/>
  <c r="C104" i="18" s="1"/>
  <c r="H18" i="16"/>
  <c r="E35" i="16"/>
  <c r="O33" i="15"/>
  <c r="R27" i="15"/>
  <c r="AF240" i="2"/>
  <c r="AG240" i="2" s="1"/>
  <c r="B94" i="12"/>
  <c r="C83" i="18" s="1"/>
  <c r="AF212" i="2"/>
  <c r="AG212" i="2" s="1"/>
  <c r="AF289" i="2"/>
  <c r="AG289" i="2" s="1"/>
  <c r="AF261" i="2"/>
  <c r="AG261" i="2" s="1"/>
  <c r="C105" i="18"/>
  <c r="B100" i="12"/>
  <c r="C88" i="18" s="1"/>
  <c r="B115" i="12"/>
  <c r="C102" i="18" s="1"/>
  <c r="AF230" i="2"/>
  <c r="AG230" i="2" s="1"/>
  <c r="AF215" i="2"/>
  <c r="AG215" i="2" s="1"/>
  <c r="I60" i="11"/>
  <c r="I22" i="11"/>
  <c r="C34" i="2"/>
  <c r="N14" i="2"/>
  <c r="B42" i="12"/>
  <c r="C37" i="18" s="1"/>
  <c r="AF123" i="2"/>
  <c r="AG123" i="2" s="1"/>
  <c r="G52" i="2"/>
  <c r="D56" i="16"/>
  <c r="D107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5" i="5"/>
  <c r="C80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4" i="2"/>
  <c r="AG264" i="2" s="1"/>
  <c r="AF232" i="2"/>
  <c r="AG232" i="2" s="1"/>
  <c r="AF227" i="2"/>
  <c r="AG227" i="2" s="1"/>
  <c r="AF241" i="2"/>
  <c r="AG241" i="2" s="1"/>
  <c r="B24" i="16"/>
  <c r="AF238" i="2"/>
  <c r="AG238" i="2" s="1"/>
  <c r="B29" i="16"/>
  <c r="B39" i="11"/>
  <c r="AF214" i="2"/>
  <c r="AG214" i="2" s="1"/>
  <c r="G303" i="2"/>
  <c r="J34" i="2"/>
  <c r="K34" i="2"/>
  <c r="C11" i="2"/>
  <c r="AF149" i="2"/>
  <c r="AG149" i="2" s="1"/>
  <c r="C386" i="12"/>
  <c r="I386" i="12"/>
  <c r="K386" i="12" s="1"/>
  <c r="L11" i="2"/>
  <c r="AF112" i="2"/>
  <c r="AG112" i="2" s="1"/>
  <c r="AF146" i="2"/>
  <c r="AG146" i="2" s="1"/>
  <c r="C52" i="2"/>
  <c r="K11" i="2"/>
  <c r="D34" i="2"/>
  <c r="N27" i="2"/>
  <c r="AF27" i="2" s="1"/>
  <c r="AG27" i="2" s="1"/>
  <c r="N22" i="2"/>
  <c r="AF22" i="2" s="1"/>
  <c r="AG22" i="2" s="1"/>
  <c r="M11" i="2"/>
  <c r="M35" i="2" s="1"/>
  <c r="M81" i="2" s="1"/>
  <c r="M305" i="2" s="1"/>
  <c r="J11" i="2"/>
  <c r="F34" i="2"/>
  <c r="L34" i="2"/>
  <c r="AF25" i="2"/>
  <c r="AG25" i="2" s="1"/>
  <c r="I303" i="2"/>
  <c r="F85" i="12"/>
  <c r="F55" i="11"/>
  <c r="F37" i="11"/>
  <c r="F36" i="11"/>
  <c r="F56" i="16"/>
  <c r="F44" i="16"/>
  <c r="F92" i="12"/>
  <c r="C398" i="18" s="1"/>
  <c r="F52" i="11"/>
  <c r="I52" i="11" s="1"/>
  <c r="F37" i="12"/>
  <c r="C349" i="18" s="1"/>
  <c r="F84" i="11"/>
  <c r="F32" i="11"/>
  <c r="F15" i="16" s="1"/>
  <c r="F96" i="12"/>
  <c r="F49" i="11"/>
  <c r="F24" i="11"/>
  <c r="F25" i="11" s="1"/>
  <c r="F102" i="11"/>
  <c r="F14" i="11"/>
  <c r="F15" i="11" s="1"/>
  <c r="F66" i="11"/>
  <c r="AF210" i="2"/>
  <c r="AG210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09" i="2"/>
  <c r="AG109" i="2" s="1"/>
  <c r="AF134" i="2"/>
  <c r="AG134" i="2" s="1"/>
  <c r="AF113" i="2"/>
  <c r="AG113" i="2" s="1"/>
  <c r="AF65" i="2"/>
  <c r="AG65" i="2" s="1"/>
  <c r="B52" i="2"/>
  <c r="B34" i="2"/>
  <c r="B11" i="2"/>
  <c r="G34" i="2"/>
  <c r="E34" i="2"/>
  <c r="AF122" i="2"/>
  <c r="AG122" i="2" s="1"/>
  <c r="AF145" i="2"/>
  <c r="AG145" i="2" s="1"/>
  <c r="AF117" i="2"/>
  <c r="AG117" i="2" s="1"/>
  <c r="I12" i="11"/>
  <c r="I16" i="12"/>
  <c r="I13" i="11"/>
  <c r="I17" i="12"/>
  <c r="I330" i="12" s="1"/>
  <c r="K330" i="12" s="1"/>
  <c r="AF175" i="2"/>
  <c r="AG175" i="2" s="1"/>
  <c r="AF253" i="2"/>
  <c r="AG253" i="2" s="1"/>
  <c r="D11" i="2"/>
  <c r="E52" i="2"/>
  <c r="AF221" i="2"/>
  <c r="AG221" i="2" s="1"/>
  <c r="B45" i="12"/>
  <c r="C40" i="18" s="1"/>
  <c r="AF228" i="2"/>
  <c r="AG228" i="2" s="1"/>
  <c r="D58" i="10"/>
  <c r="D74" i="10" s="1"/>
  <c r="E67" i="12"/>
  <c r="E7" i="16"/>
  <c r="E11" i="16" s="1"/>
  <c r="E27" i="15"/>
  <c r="E340" i="12"/>
  <c r="E30" i="15"/>
  <c r="I74" i="11"/>
  <c r="F56" i="11"/>
  <c r="F38" i="11"/>
  <c r="F43" i="12"/>
  <c r="C355" i="18" s="1"/>
  <c r="M74" i="10"/>
  <c r="E380" i="12"/>
  <c r="E401" i="12"/>
  <c r="P20" i="15"/>
  <c r="P21" i="15" s="1"/>
  <c r="P27" i="15" s="1"/>
  <c r="F215" i="12"/>
  <c r="F53" i="12"/>
  <c r="F48" i="11"/>
  <c r="F81" i="12"/>
  <c r="C387" i="18" s="1"/>
  <c r="F70" i="11"/>
  <c r="F88" i="12"/>
  <c r="C394" i="18" s="1"/>
  <c r="F77" i="11"/>
  <c r="F43" i="16" s="1"/>
  <c r="E373" i="12"/>
  <c r="B110" i="12"/>
  <c r="C98" i="18" s="1"/>
  <c r="F37" i="6"/>
  <c r="F39" i="6" s="1"/>
  <c r="C18" i="11"/>
  <c r="F113" i="12"/>
  <c r="C418" i="18" s="1"/>
  <c r="C425" i="18" s="1"/>
  <c r="H7" i="16"/>
  <c r="H11" i="16" s="1"/>
  <c r="H27" i="15"/>
  <c r="O20" i="15"/>
  <c r="O21" i="15" s="1"/>
  <c r="O27" i="15" s="1"/>
  <c r="E215" i="12"/>
  <c r="I202" i="12"/>
  <c r="E389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6" i="11"/>
  <c r="H32" i="12"/>
  <c r="E32" i="12"/>
  <c r="C20" i="11"/>
  <c r="C24" i="12"/>
  <c r="C126" i="18" s="1"/>
  <c r="G215" i="12"/>
  <c r="H27" i="16"/>
  <c r="N17" i="5"/>
  <c r="M80" i="5"/>
  <c r="N37" i="5"/>
  <c r="D41" i="11" s="1"/>
  <c r="E80" i="5"/>
  <c r="B88" i="12"/>
  <c r="C77" i="18" s="1"/>
  <c r="G112" i="12"/>
  <c r="C735" i="18" s="1"/>
  <c r="G286" i="12"/>
  <c r="Q30" i="15"/>
  <c r="Q33" i="15" s="1"/>
  <c r="F260" i="12"/>
  <c r="F286" i="12" s="1"/>
  <c r="I245" i="12"/>
  <c r="P35" i="15"/>
  <c r="I301" i="12"/>
  <c r="E434" i="12" s="1"/>
  <c r="C77" i="11"/>
  <c r="B28" i="12" l="1"/>
  <c r="C24" i="18" s="1"/>
  <c r="C764" i="18" s="1"/>
  <c r="C409" i="12"/>
  <c r="I409" i="12"/>
  <c r="G412" i="12"/>
  <c r="I412" i="12"/>
  <c r="H104" i="11"/>
  <c r="H57" i="16"/>
  <c r="H62" i="16" s="1"/>
  <c r="E416" i="12"/>
  <c r="J265" i="12"/>
  <c r="B123" i="12"/>
  <c r="J310" i="12"/>
  <c r="C702" i="18"/>
  <c r="E696" i="18"/>
  <c r="E702" i="18" s="1"/>
  <c r="G72" i="12"/>
  <c r="G31" i="15" s="1"/>
  <c r="D90" i="6"/>
  <c r="AF39" i="2"/>
  <c r="AG39" i="2" s="1"/>
  <c r="N52" i="2"/>
  <c r="AF52" i="2" s="1"/>
  <c r="AG52" i="2" s="1"/>
  <c r="G90" i="6"/>
  <c r="E523" i="18"/>
  <c r="N207" i="2"/>
  <c r="AF207" i="2" s="1"/>
  <c r="AG207" i="2" s="1"/>
  <c r="N33" i="14"/>
  <c r="E90" i="6"/>
  <c r="C590" i="18"/>
  <c r="E590" i="18" s="1"/>
  <c r="N88" i="6"/>
  <c r="E206" i="18"/>
  <c r="N39" i="5"/>
  <c r="N80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3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3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2" i="12"/>
  <c r="G32" i="15" s="1"/>
  <c r="C711" i="18"/>
  <c r="C816" i="18" s="1"/>
  <c r="M274" i="18"/>
  <c r="O274" i="18" s="1"/>
  <c r="E274" i="18"/>
  <c r="C802" i="18"/>
  <c r="I61" i="12"/>
  <c r="G381" i="12" s="1"/>
  <c r="C374" i="18"/>
  <c r="M292" i="18"/>
  <c r="O292" i="18" s="1"/>
  <c r="E292" i="18"/>
  <c r="C820" i="18"/>
  <c r="E364" i="18"/>
  <c r="M364" i="18"/>
  <c r="O364" i="18" s="1"/>
  <c r="C787" i="18"/>
  <c r="I86" i="12"/>
  <c r="G400" i="12" s="1"/>
  <c r="C392" i="18"/>
  <c r="M349" i="18"/>
  <c r="C359" i="18"/>
  <c r="E349" i="18"/>
  <c r="I85" i="12"/>
  <c r="G399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4" i="12" s="1"/>
  <c r="K374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6" i="12"/>
  <c r="I410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79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3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5" i="12" s="1"/>
  <c r="K375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3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2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E10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102" i="18"/>
  <c r="O102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88" i="5"/>
  <c r="D89" i="5" s="1"/>
  <c r="B85" i="10"/>
  <c r="B88" i="10" s="1"/>
  <c r="B99" i="11"/>
  <c r="I99" i="11" s="1"/>
  <c r="B36" i="11"/>
  <c r="I36" i="11" s="1"/>
  <c r="B38" i="11"/>
  <c r="I38" i="11" s="1"/>
  <c r="B37" i="11"/>
  <c r="I37" i="11" s="1"/>
  <c r="B82" i="11"/>
  <c r="B45" i="16" s="1"/>
  <c r="I45" i="16" s="1"/>
  <c r="B81" i="11"/>
  <c r="B44" i="16" s="1"/>
  <c r="I44" i="16" s="1"/>
  <c r="B101" i="11"/>
  <c r="B58" i="16" s="1"/>
  <c r="B79" i="11"/>
  <c r="I79" i="11" s="1"/>
  <c r="B77" i="11"/>
  <c r="I77" i="11" s="1"/>
  <c r="B32" i="11"/>
  <c r="B15" i="16" s="1"/>
  <c r="B73" i="11"/>
  <c r="B40" i="16" s="1"/>
  <c r="I40" i="16" s="1"/>
  <c r="B107" i="11"/>
  <c r="I107" i="11" s="1"/>
  <c r="B35" i="11"/>
  <c r="B16" i="16" s="1"/>
  <c r="I16" i="16" s="1"/>
  <c r="B45" i="11"/>
  <c r="B21" i="16" s="1"/>
  <c r="M45" i="18"/>
  <c r="O45" i="18" s="1"/>
  <c r="B78" i="11"/>
  <c r="J227" i="12"/>
  <c r="C312" i="12"/>
  <c r="S25" i="15"/>
  <c r="Y25" i="15" s="1"/>
  <c r="N62" i="2"/>
  <c r="C440" i="12"/>
  <c r="G440" i="12"/>
  <c r="J205" i="12"/>
  <c r="J211" i="12"/>
  <c r="E35" i="2"/>
  <c r="N11" i="2"/>
  <c r="I82" i="12"/>
  <c r="I396" i="12" s="1"/>
  <c r="K396" i="12" s="1"/>
  <c r="B71" i="11"/>
  <c r="I71" i="11" s="1"/>
  <c r="H111" i="11"/>
  <c r="G43" i="16"/>
  <c r="G51" i="16" s="1"/>
  <c r="G53" i="16" s="1"/>
  <c r="C88" i="5"/>
  <c r="F57" i="11"/>
  <c r="I57" i="11" s="1"/>
  <c r="N19" i="17"/>
  <c r="N30" i="17" s="1"/>
  <c r="AF7" i="2"/>
  <c r="AG7" i="2" s="1"/>
  <c r="N88" i="2"/>
  <c r="AF76" i="2"/>
  <c r="AG76" i="2" s="1"/>
  <c r="H123" i="12"/>
  <c r="H35" i="15" s="1"/>
  <c r="F85" i="10"/>
  <c r="F88" i="10" s="1"/>
  <c r="I69" i="12"/>
  <c r="I389" i="12" s="1"/>
  <c r="K389" i="12" s="1"/>
  <c r="C412" i="12"/>
  <c r="N66" i="2"/>
  <c r="N72" i="2" s="1"/>
  <c r="N93" i="2"/>
  <c r="N97" i="2"/>
  <c r="AF97" i="2" s="1"/>
  <c r="AG97" i="2" s="1"/>
  <c r="I90" i="12"/>
  <c r="I60" i="12"/>
  <c r="C380" i="12" s="1"/>
  <c r="N94" i="2"/>
  <c r="AF94" i="2" s="1"/>
  <c r="AG94" i="2" s="1"/>
  <c r="AF14" i="2"/>
  <c r="AG14" i="2" s="1"/>
  <c r="N34" i="2"/>
  <c r="AF34" i="2" s="1"/>
  <c r="AG34" i="2" s="1"/>
  <c r="N89" i="2"/>
  <c r="AF89" i="2" s="1"/>
  <c r="AG89" i="2" s="1"/>
  <c r="I68" i="12"/>
  <c r="C388" i="12" s="1"/>
  <c r="I40" i="12"/>
  <c r="C353" i="12" s="1"/>
  <c r="E43" i="16"/>
  <c r="C111" i="11"/>
  <c r="C61" i="16"/>
  <c r="I61" i="16" s="1"/>
  <c r="D46" i="12"/>
  <c r="I41" i="12"/>
  <c r="G354" i="12" s="1"/>
  <c r="I14" i="12"/>
  <c r="G327" i="12" s="1"/>
  <c r="C72" i="12"/>
  <c r="C31" i="15" s="1"/>
  <c r="I57" i="12"/>
  <c r="C377" i="12" s="1"/>
  <c r="I13" i="12"/>
  <c r="G326" i="12" s="1"/>
  <c r="I54" i="11"/>
  <c r="F80" i="5"/>
  <c r="F88" i="5" s="1"/>
  <c r="D62" i="16"/>
  <c r="D34" i="16"/>
  <c r="I89" i="12"/>
  <c r="B64" i="11"/>
  <c r="B33" i="16" s="1"/>
  <c r="I33" i="16" s="1"/>
  <c r="B63" i="11"/>
  <c r="I63" i="11" s="1"/>
  <c r="B55" i="11"/>
  <c r="B26" i="16" s="1"/>
  <c r="H312" i="12"/>
  <c r="H314" i="12" s="1"/>
  <c r="Q37" i="15"/>
  <c r="G437" i="12"/>
  <c r="I109" i="12"/>
  <c r="C430" i="12" s="1"/>
  <c r="D312" i="12"/>
  <c r="D314" i="12" s="1"/>
  <c r="C432" i="12"/>
  <c r="I119" i="12"/>
  <c r="G439" i="12" s="1"/>
  <c r="B108" i="11"/>
  <c r="I108" i="11" s="1"/>
  <c r="I39" i="12"/>
  <c r="I352" i="12" s="1"/>
  <c r="K352" i="12" s="1"/>
  <c r="B34" i="11"/>
  <c r="I34" i="11" s="1"/>
  <c r="I97" i="12"/>
  <c r="B86" i="11"/>
  <c r="B49" i="16" s="1"/>
  <c r="I49" i="16" s="1"/>
  <c r="I100" i="12"/>
  <c r="B89" i="11"/>
  <c r="I89" i="11" s="1"/>
  <c r="I101" i="12"/>
  <c r="B90" i="11"/>
  <c r="I90" i="11" s="1"/>
  <c r="I45" i="12"/>
  <c r="C358" i="12" s="1"/>
  <c r="B40" i="11"/>
  <c r="I40" i="11" s="1"/>
  <c r="I115" i="12"/>
  <c r="C435" i="12" s="1"/>
  <c r="B104" i="11"/>
  <c r="I104" i="11" s="1"/>
  <c r="I94" i="12"/>
  <c r="B83" i="11"/>
  <c r="I70" i="12"/>
  <c r="B41" i="11"/>
  <c r="I41" i="11" s="1"/>
  <c r="I108" i="12"/>
  <c r="B97" i="11"/>
  <c r="C19" i="12"/>
  <c r="I92" i="12"/>
  <c r="I406" i="12" s="1"/>
  <c r="K406" i="12" s="1"/>
  <c r="E102" i="12"/>
  <c r="E32" i="15" s="1"/>
  <c r="N37" i="15"/>
  <c r="I84" i="12"/>
  <c r="C398" i="12" s="1"/>
  <c r="M85" i="10"/>
  <c r="M88" i="10" s="1"/>
  <c r="F27" i="11"/>
  <c r="C102" i="12"/>
  <c r="C32" i="15" s="1"/>
  <c r="I15" i="12"/>
  <c r="C328" i="12" s="1"/>
  <c r="D23" i="16"/>
  <c r="D111" i="11"/>
  <c r="I93" i="12"/>
  <c r="C407" i="12" s="1"/>
  <c r="I87" i="12"/>
  <c r="G401" i="12" s="1"/>
  <c r="H91" i="11"/>
  <c r="H93" i="11" s="1"/>
  <c r="F35" i="2"/>
  <c r="G35" i="2"/>
  <c r="C384" i="12"/>
  <c r="D35" i="2"/>
  <c r="D81" i="2" s="1"/>
  <c r="I85" i="11"/>
  <c r="B25" i="16"/>
  <c r="I25" i="16" s="1"/>
  <c r="I76" i="11"/>
  <c r="AF150" i="2"/>
  <c r="AG150" i="2" s="1"/>
  <c r="E312" i="12"/>
  <c r="E314" i="12" s="1"/>
  <c r="I113" i="12"/>
  <c r="G434" i="12" s="1"/>
  <c r="I43" i="12"/>
  <c r="C356" i="12" s="1"/>
  <c r="G409" i="12"/>
  <c r="I19" i="11"/>
  <c r="I66" i="11"/>
  <c r="G67" i="11"/>
  <c r="G93" i="11" s="1"/>
  <c r="F111" i="11"/>
  <c r="I48" i="11"/>
  <c r="I384" i="12"/>
  <c r="K384" i="12" s="1"/>
  <c r="I8" i="11"/>
  <c r="M37" i="15"/>
  <c r="J206" i="12"/>
  <c r="J212" i="12"/>
  <c r="S35" i="15"/>
  <c r="Y35" i="15" s="1"/>
  <c r="R37" i="15"/>
  <c r="I71" i="12"/>
  <c r="I53" i="11"/>
  <c r="I42" i="12"/>
  <c r="G355" i="12" s="1"/>
  <c r="I23" i="12"/>
  <c r="C336" i="12" s="1"/>
  <c r="I107" i="12"/>
  <c r="G111" i="11"/>
  <c r="G123" i="12"/>
  <c r="F123" i="12"/>
  <c r="F35" i="15" s="1"/>
  <c r="D85" i="10"/>
  <c r="D88" i="10" s="1"/>
  <c r="N22" i="7"/>
  <c r="E58" i="16"/>
  <c r="E62" i="16" s="1"/>
  <c r="E111" i="11"/>
  <c r="C67" i="11"/>
  <c r="C23" i="16"/>
  <c r="C35" i="16" s="1"/>
  <c r="D123" i="12"/>
  <c r="D35" i="15" s="1"/>
  <c r="E88" i="5"/>
  <c r="E89" i="5" s="1"/>
  <c r="J210" i="12"/>
  <c r="J208" i="12"/>
  <c r="J209" i="12"/>
  <c r="J207" i="12"/>
  <c r="E343" i="12"/>
  <c r="J220" i="12"/>
  <c r="J269" i="12"/>
  <c r="J280" i="12"/>
  <c r="J273" i="12"/>
  <c r="J277" i="12"/>
  <c r="J274" i="12"/>
  <c r="J271" i="12"/>
  <c r="J275" i="12"/>
  <c r="J282" i="12"/>
  <c r="J267" i="12"/>
  <c r="J272" i="12"/>
  <c r="J266" i="12"/>
  <c r="J279" i="12"/>
  <c r="J276" i="12"/>
  <c r="J278" i="12"/>
  <c r="J263" i="12"/>
  <c r="J270" i="12"/>
  <c r="J283" i="12"/>
  <c r="J268" i="12"/>
  <c r="J264" i="12"/>
  <c r="I286" i="12"/>
  <c r="E418" i="12" s="1"/>
  <c r="J225" i="12"/>
  <c r="B312" i="12"/>
  <c r="E360" i="12"/>
  <c r="J229" i="12"/>
  <c r="J228" i="12"/>
  <c r="J222" i="12"/>
  <c r="J226" i="12"/>
  <c r="J223" i="12"/>
  <c r="J224" i="12"/>
  <c r="S24" i="15"/>
  <c r="Y24" i="15" s="1"/>
  <c r="AF301" i="2"/>
  <c r="AG301" i="2" s="1"/>
  <c r="I118" i="12"/>
  <c r="G438" i="12" s="1"/>
  <c r="I21" i="11"/>
  <c r="I112" i="12"/>
  <c r="C433" i="12" s="1"/>
  <c r="I24" i="16"/>
  <c r="J35" i="2"/>
  <c r="I25" i="12"/>
  <c r="C338" i="12" s="1"/>
  <c r="AF224" i="2"/>
  <c r="AG224" i="2" s="1"/>
  <c r="C35" i="2"/>
  <c r="I26" i="12"/>
  <c r="G339" i="12" s="1"/>
  <c r="I27" i="12"/>
  <c r="I340" i="12" s="1"/>
  <c r="K340" i="12" s="1"/>
  <c r="I58" i="12"/>
  <c r="G378" i="12" s="1"/>
  <c r="I29" i="16"/>
  <c r="I49" i="11"/>
  <c r="M88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2" i="12" s="1"/>
  <c r="N208" i="2"/>
  <c r="N303" i="2" s="1"/>
  <c r="L35" i="2"/>
  <c r="L81" i="2" s="1"/>
  <c r="K35" i="2"/>
  <c r="K81" i="2" s="1"/>
  <c r="F26" i="16"/>
  <c r="F34" i="16"/>
  <c r="F18" i="12"/>
  <c r="F22" i="16"/>
  <c r="F47" i="12"/>
  <c r="F30" i="15" s="1"/>
  <c r="F59" i="16"/>
  <c r="I102" i="11"/>
  <c r="I84" i="11"/>
  <c r="F47" i="16"/>
  <c r="I47" i="16" s="1"/>
  <c r="I80" i="11"/>
  <c r="D91" i="11"/>
  <c r="D43" i="16"/>
  <c r="D51" i="16" s="1"/>
  <c r="F102" i="12"/>
  <c r="F32" i="15" s="1"/>
  <c r="I81" i="12"/>
  <c r="B22" i="16"/>
  <c r="I46" i="11"/>
  <c r="B15" i="11"/>
  <c r="H30" i="16"/>
  <c r="I61" i="11"/>
  <c r="E332" i="12"/>
  <c r="J199" i="12"/>
  <c r="J201" i="12"/>
  <c r="J196" i="12"/>
  <c r="J198" i="12"/>
  <c r="J200" i="12"/>
  <c r="J197" i="12"/>
  <c r="J195" i="12"/>
  <c r="I110" i="12"/>
  <c r="E42" i="16"/>
  <c r="I75" i="11"/>
  <c r="F51" i="11"/>
  <c r="F23" i="16" s="1"/>
  <c r="F56" i="12"/>
  <c r="I51" i="12"/>
  <c r="C371" i="12" s="1"/>
  <c r="B72" i="12"/>
  <c r="G330" i="12"/>
  <c r="C330" i="12"/>
  <c r="I12" i="12"/>
  <c r="B20" i="15"/>
  <c r="B47" i="12"/>
  <c r="I37" i="12"/>
  <c r="E377" i="12"/>
  <c r="H72" i="12"/>
  <c r="H104" i="12" s="1"/>
  <c r="I65" i="12"/>
  <c r="B23" i="16"/>
  <c r="I88" i="12"/>
  <c r="B102" i="12"/>
  <c r="C43" i="16"/>
  <c r="C51" i="16" s="1"/>
  <c r="C91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4" i="2"/>
  <c r="AG64" i="2" s="1"/>
  <c r="B38" i="16"/>
  <c r="I70" i="11"/>
  <c r="I24" i="12"/>
  <c r="P31" i="15"/>
  <c r="I260" i="12"/>
  <c r="D18" i="12"/>
  <c r="C226" i="18" s="1"/>
  <c r="D14" i="11"/>
  <c r="N25" i="5"/>
  <c r="G312" i="12"/>
  <c r="G314" i="12" s="1"/>
  <c r="I96" i="11"/>
  <c r="I91" i="12"/>
  <c r="I405" i="12" s="1"/>
  <c r="K405" i="12" s="1"/>
  <c r="D102" i="12"/>
  <c r="D32" i="15" s="1"/>
  <c r="O37" i="15"/>
  <c r="S30" i="15"/>
  <c r="F38" i="16"/>
  <c r="F91" i="11"/>
  <c r="F312" i="12"/>
  <c r="F314" i="12" s="1"/>
  <c r="F27" i="16"/>
  <c r="I27" i="16" s="1"/>
  <c r="I56" i="11"/>
  <c r="L27" i="15"/>
  <c r="S21" i="15"/>
  <c r="Y21" i="15" s="1"/>
  <c r="E91" i="11"/>
  <c r="E93" i="11" s="1"/>
  <c r="C58" i="16"/>
  <c r="I215" i="12"/>
  <c r="I67" i="12"/>
  <c r="I18" i="11"/>
  <c r="C329" i="12"/>
  <c r="G329" i="12"/>
  <c r="I329" i="12"/>
  <c r="K329" i="12" s="1"/>
  <c r="I20" i="11"/>
  <c r="B35" i="2"/>
  <c r="B81" i="2" s="1"/>
  <c r="B91" i="11" l="1"/>
  <c r="I91" i="11" s="1"/>
  <c r="B42" i="16"/>
  <c r="C801" i="18"/>
  <c r="M801" i="18" s="1"/>
  <c r="O801" i="18" s="1"/>
  <c r="G36" i="2"/>
  <c r="G81" i="2"/>
  <c r="G305" i="2" s="1"/>
  <c r="F53" i="2"/>
  <c r="F81" i="2"/>
  <c r="F85" i="2" s="1"/>
  <c r="J36" i="2"/>
  <c r="J81" i="2"/>
  <c r="E36" i="2"/>
  <c r="E81" i="2"/>
  <c r="E85" i="2" s="1"/>
  <c r="C53" i="2"/>
  <c r="C81" i="2"/>
  <c r="C85" i="2" s="1"/>
  <c r="M53" i="2"/>
  <c r="G404" i="12"/>
  <c r="I404" i="12"/>
  <c r="K404" i="12" s="1"/>
  <c r="G408" i="12"/>
  <c r="I408" i="12"/>
  <c r="K408" i="12" s="1"/>
  <c r="C390" i="12"/>
  <c r="I390" i="12"/>
  <c r="K390" i="12" s="1"/>
  <c r="G415" i="12"/>
  <c r="I415" i="12"/>
  <c r="C411" i="12"/>
  <c r="I411" i="12"/>
  <c r="K411" i="12" s="1"/>
  <c r="G414" i="12"/>
  <c r="I414" i="12"/>
  <c r="K414" i="12" s="1"/>
  <c r="C403" i="12"/>
  <c r="I403" i="12"/>
  <c r="K403" i="12" s="1"/>
  <c r="C391" i="12"/>
  <c r="I391" i="12"/>
  <c r="K391" i="12" s="1"/>
  <c r="G428" i="12"/>
  <c r="I123" i="12"/>
  <c r="G443" i="12" s="1"/>
  <c r="C198" i="18"/>
  <c r="N90" i="6"/>
  <c r="C381" i="12"/>
  <c r="I28" i="12"/>
  <c r="I341" i="12" s="1"/>
  <c r="K341" i="12" s="1"/>
  <c r="M590" i="18"/>
  <c r="O590" i="18" s="1"/>
  <c r="G104" i="12"/>
  <c r="G176" i="12" s="1"/>
  <c r="G33" i="15"/>
  <c r="C596" i="18"/>
  <c r="C621" i="18" s="1"/>
  <c r="C639" i="18" s="1"/>
  <c r="B24" i="11"/>
  <c r="B25" i="11" s="1"/>
  <c r="B27" i="11" s="1"/>
  <c r="E214" i="18"/>
  <c r="I373" i="12"/>
  <c r="K373" i="12" s="1"/>
  <c r="C373" i="12"/>
  <c r="C400" i="12"/>
  <c r="I381" i="12"/>
  <c r="K381" i="12" s="1"/>
  <c r="D36" i="2"/>
  <c r="D305" i="2"/>
  <c r="I400" i="12"/>
  <c r="K400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0" i="12"/>
  <c r="C407" i="18"/>
  <c r="E816" i="18"/>
  <c r="M816" i="18"/>
  <c r="O816" i="18" s="1"/>
  <c r="I73" i="11"/>
  <c r="I379" i="12"/>
  <c r="K379" i="12" s="1"/>
  <c r="C379" i="12"/>
  <c r="C375" i="12"/>
  <c r="I35" i="11"/>
  <c r="E33" i="15"/>
  <c r="E37" i="15" s="1"/>
  <c r="E40" i="15" s="1"/>
  <c r="I82" i="11"/>
  <c r="C383" i="12"/>
  <c r="E596" i="18"/>
  <c r="E621" i="18" s="1"/>
  <c r="C214" i="18"/>
  <c r="E302" i="18"/>
  <c r="O425" i="18"/>
  <c r="E359" i="18"/>
  <c r="E320" i="18"/>
  <c r="I383" i="12"/>
  <c r="K383" i="12" s="1"/>
  <c r="I382" i="12"/>
  <c r="K382" i="12" s="1"/>
  <c r="M203" i="18"/>
  <c r="O203" i="18" s="1"/>
  <c r="O214" i="18" s="1"/>
  <c r="C227" i="18"/>
  <c r="C239" i="18" s="1"/>
  <c r="M226" i="18"/>
  <c r="E226" i="18"/>
  <c r="E227" i="18" s="1"/>
  <c r="I56" i="12"/>
  <c r="C376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0" i="12"/>
  <c r="C30" i="12"/>
  <c r="C24" i="15" s="1"/>
  <c r="C25" i="15" s="1"/>
  <c r="C9" i="16" s="1"/>
  <c r="C124" i="18"/>
  <c r="C15" i="11"/>
  <c r="C27" i="11" s="1"/>
  <c r="G374" i="12"/>
  <c r="E835" i="18"/>
  <c r="E801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2" i="12"/>
  <c r="F19" i="12"/>
  <c r="F20" i="15" s="1"/>
  <c r="F21" i="15" s="1"/>
  <c r="F27" i="15" s="1"/>
  <c r="C331" i="18"/>
  <c r="C399" i="12"/>
  <c r="G375" i="12"/>
  <c r="I399" i="12"/>
  <c r="K399" i="12" s="1"/>
  <c r="I46" i="12"/>
  <c r="G359" i="12" s="1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4" i="12"/>
  <c r="B43" i="16"/>
  <c r="I43" i="16" s="1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1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88" i="5"/>
  <c r="I32" i="11"/>
  <c r="I101" i="11"/>
  <c r="I78" i="11"/>
  <c r="B42" i="11"/>
  <c r="G65" i="16"/>
  <c r="G116" i="11"/>
  <c r="H176" i="12"/>
  <c r="H113" i="11"/>
  <c r="H65" i="16"/>
  <c r="H116" i="11"/>
  <c r="E65" i="16"/>
  <c r="E116" i="11"/>
  <c r="C35" i="15"/>
  <c r="E53" i="2"/>
  <c r="B104" i="12"/>
  <c r="C33" i="15"/>
  <c r="C314" i="12"/>
  <c r="B314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89" i="12"/>
  <c r="G389" i="12"/>
  <c r="C396" i="12"/>
  <c r="F36" i="2"/>
  <c r="G396" i="12"/>
  <c r="AF66" i="2"/>
  <c r="AG66" i="2" s="1"/>
  <c r="N98" i="2"/>
  <c r="AF98" i="2" s="1"/>
  <c r="AG98" i="2" s="1"/>
  <c r="I97" i="11"/>
  <c r="B57" i="16"/>
  <c r="B62" i="16" s="1"/>
  <c r="I42" i="16"/>
  <c r="G380" i="12"/>
  <c r="I380" i="12"/>
  <c r="K380" i="12" s="1"/>
  <c r="G388" i="12"/>
  <c r="B67" i="11"/>
  <c r="C404" i="12"/>
  <c r="B34" i="16"/>
  <c r="I34" i="16" s="1"/>
  <c r="I64" i="11"/>
  <c r="G353" i="12"/>
  <c r="I353" i="12"/>
  <c r="K353" i="12" s="1"/>
  <c r="C354" i="12"/>
  <c r="I388" i="12"/>
  <c r="K388" i="12" s="1"/>
  <c r="I327" i="12"/>
  <c r="K327" i="12" s="1"/>
  <c r="C327" i="12"/>
  <c r="I354" i="12"/>
  <c r="K354" i="12" s="1"/>
  <c r="I377" i="12"/>
  <c r="K377" i="12" s="1"/>
  <c r="G377" i="12"/>
  <c r="G113" i="11"/>
  <c r="I326" i="12"/>
  <c r="K326" i="12" s="1"/>
  <c r="C326" i="12"/>
  <c r="G403" i="12"/>
  <c r="I26" i="16"/>
  <c r="G430" i="12"/>
  <c r="I86" i="11"/>
  <c r="G435" i="12"/>
  <c r="G411" i="12"/>
  <c r="G390" i="12"/>
  <c r="C408" i="12"/>
  <c r="E104" i="12"/>
  <c r="C415" i="12"/>
  <c r="K358" i="12"/>
  <c r="B17" i="16"/>
  <c r="B18" i="16" s="1"/>
  <c r="C414" i="12"/>
  <c r="G358" i="12"/>
  <c r="C352" i="12"/>
  <c r="B111" i="11"/>
  <c r="G352" i="12"/>
  <c r="C406" i="12"/>
  <c r="G429" i="12"/>
  <c r="C429" i="12"/>
  <c r="B46" i="16"/>
  <c r="I46" i="16" s="1"/>
  <c r="I83" i="11"/>
  <c r="B50" i="16"/>
  <c r="I50" i="16" s="1"/>
  <c r="G406" i="12"/>
  <c r="G398" i="12"/>
  <c r="I398" i="12"/>
  <c r="K398" i="12" s="1"/>
  <c r="C93" i="11"/>
  <c r="I407" i="12"/>
  <c r="K407" i="12" s="1"/>
  <c r="C401" i="12"/>
  <c r="E113" i="11"/>
  <c r="C104" i="12"/>
  <c r="G328" i="12"/>
  <c r="I328" i="12"/>
  <c r="K328" i="12" s="1"/>
  <c r="G407" i="12"/>
  <c r="C20" i="15"/>
  <c r="C21" i="15" s="1"/>
  <c r="C7" i="16" s="1"/>
  <c r="I21" i="12"/>
  <c r="I401" i="12"/>
  <c r="K401" i="12" s="1"/>
  <c r="E51" i="16"/>
  <c r="E53" i="16" s="1"/>
  <c r="E64" i="16" s="1"/>
  <c r="G53" i="2"/>
  <c r="D53" i="2"/>
  <c r="C434" i="12"/>
  <c r="G391" i="12"/>
  <c r="J85" i="2"/>
  <c r="I356" i="12"/>
  <c r="K356" i="12" s="1"/>
  <c r="G356" i="12"/>
  <c r="C428" i="12"/>
  <c r="J53" i="2"/>
  <c r="J213" i="12"/>
  <c r="C355" i="12"/>
  <c r="I355" i="12"/>
  <c r="K355" i="12" s="1"/>
  <c r="G336" i="12"/>
  <c r="I336" i="12"/>
  <c r="K336" i="12" s="1"/>
  <c r="G64" i="16"/>
  <c r="G35" i="15"/>
  <c r="G433" i="12"/>
  <c r="I372" i="12"/>
  <c r="K372" i="12" s="1"/>
  <c r="G372" i="12"/>
  <c r="C53" i="16"/>
  <c r="I23" i="16"/>
  <c r="I338" i="12"/>
  <c r="K338" i="12" s="1"/>
  <c r="J284" i="12"/>
  <c r="J286" i="12"/>
  <c r="J230" i="12"/>
  <c r="F51" i="16"/>
  <c r="G338" i="12"/>
  <c r="I29" i="12"/>
  <c r="G342" i="12" s="1"/>
  <c r="I22" i="12"/>
  <c r="I335" i="12" s="1"/>
  <c r="K335" i="12" s="1"/>
  <c r="I50" i="12"/>
  <c r="C36" i="2"/>
  <c r="I339" i="12"/>
  <c r="K339" i="12" s="1"/>
  <c r="C339" i="12"/>
  <c r="G340" i="12"/>
  <c r="C340" i="12"/>
  <c r="C378" i="12"/>
  <c r="I378" i="12"/>
  <c r="K378" i="12" s="1"/>
  <c r="D21" i="16"/>
  <c r="D67" i="11"/>
  <c r="I45" i="11"/>
  <c r="AF208" i="2"/>
  <c r="AG208" i="2" s="1"/>
  <c r="I85" i="2"/>
  <c r="I305" i="2"/>
  <c r="K53" i="2"/>
  <c r="K36" i="2"/>
  <c r="L305" i="2"/>
  <c r="L36" i="2"/>
  <c r="L53" i="2"/>
  <c r="I36" i="2"/>
  <c r="I53" i="2"/>
  <c r="F72" i="12"/>
  <c r="F31" i="15" s="1"/>
  <c r="F33" i="15" s="1"/>
  <c r="I51" i="11"/>
  <c r="I59" i="16"/>
  <c r="F62" i="16"/>
  <c r="L37" i="15"/>
  <c r="S27" i="15"/>
  <c r="Y27" i="15" s="1"/>
  <c r="C405" i="12"/>
  <c r="G405" i="12"/>
  <c r="B30" i="15"/>
  <c r="G325" i="12"/>
  <c r="C325" i="12"/>
  <c r="I325" i="12"/>
  <c r="K325" i="12" s="1"/>
  <c r="E345" i="12"/>
  <c r="I14" i="11"/>
  <c r="D15" i="11"/>
  <c r="D27" i="11" s="1"/>
  <c r="J255" i="12"/>
  <c r="J251" i="12"/>
  <c r="J249" i="12"/>
  <c r="J252" i="12"/>
  <c r="J244" i="12"/>
  <c r="J253" i="12"/>
  <c r="J256" i="12"/>
  <c r="J258" i="12"/>
  <c r="J246" i="12"/>
  <c r="J259" i="12"/>
  <c r="J254" i="12"/>
  <c r="J239" i="12"/>
  <c r="J238" i="12"/>
  <c r="J243" i="12"/>
  <c r="J240" i="12"/>
  <c r="J242" i="12"/>
  <c r="E392" i="12"/>
  <c r="J247" i="12"/>
  <c r="J250" i="12"/>
  <c r="J257" i="12"/>
  <c r="J241" i="12"/>
  <c r="J248" i="12"/>
  <c r="I337" i="12"/>
  <c r="K337" i="12" s="1"/>
  <c r="C337" i="12"/>
  <c r="G337" i="12"/>
  <c r="J245" i="12"/>
  <c r="B35" i="15"/>
  <c r="J202" i="12"/>
  <c r="E443" i="12"/>
  <c r="M36" i="2"/>
  <c r="I22" i="16"/>
  <c r="D47" i="12"/>
  <c r="I47" i="12" s="1"/>
  <c r="J38" i="12" s="1"/>
  <c r="I44" i="12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2" i="2"/>
  <c r="AG72" i="2" s="1"/>
  <c r="B32" i="15"/>
  <c r="I102" i="12"/>
  <c r="B31" i="15"/>
  <c r="C431" i="12"/>
  <c r="G431" i="12"/>
  <c r="AF62" i="2"/>
  <c r="AG62" i="2" s="1"/>
  <c r="G387" i="12"/>
  <c r="C387" i="12"/>
  <c r="I387" i="12"/>
  <c r="K387" i="12" s="1"/>
  <c r="AF11" i="2"/>
  <c r="AG11" i="2" s="1"/>
  <c r="N35" i="2"/>
  <c r="N53" i="2" s="1"/>
  <c r="H31" i="15"/>
  <c r="H33" i="15" s="1"/>
  <c r="H37" i="15" s="1"/>
  <c r="H40" i="15" s="1"/>
  <c r="H125" i="12"/>
  <c r="H127" i="12" s="1"/>
  <c r="N90" i="2"/>
  <c r="AF88" i="2"/>
  <c r="AG88" i="2" s="1"/>
  <c r="B53" i="2"/>
  <c r="B36" i="2"/>
  <c r="AF93" i="2"/>
  <c r="AG93" i="2" s="1"/>
  <c r="Y30" i="15"/>
  <c r="I312" i="12"/>
  <c r="C402" i="12"/>
  <c r="I402" i="12"/>
  <c r="K402" i="12" s="1"/>
  <c r="G402" i="12"/>
  <c r="I15" i="16"/>
  <c r="C385" i="12"/>
  <c r="G385" i="12"/>
  <c r="I385" i="12"/>
  <c r="K385" i="12" s="1"/>
  <c r="I350" i="12"/>
  <c r="K350" i="12" s="1"/>
  <c r="C350" i="12"/>
  <c r="G350" i="12"/>
  <c r="I371" i="12"/>
  <c r="K371" i="12" s="1"/>
  <c r="G371" i="12"/>
  <c r="F67" i="11"/>
  <c r="F93" i="11" s="1"/>
  <c r="F113" i="11" s="1"/>
  <c r="F117" i="11" s="1"/>
  <c r="H35" i="16"/>
  <c r="H53" i="16" s="1"/>
  <c r="H64" i="16" s="1"/>
  <c r="I30" i="16"/>
  <c r="G395" i="12"/>
  <c r="C395" i="12"/>
  <c r="I395" i="12"/>
  <c r="K395" i="12" s="1"/>
  <c r="J99" i="12" l="1"/>
  <c r="C416" i="12"/>
  <c r="J123" i="12"/>
  <c r="I416" i="12"/>
  <c r="K416" i="12" s="1"/>
  <c r="G416" i="12"/>
  <c r="F35" i="16"/>
  <c r="F53" i="16" s="1"/>
  <c r="C370" i="12"/>
  <c r="G370" i="12"/>
  <c r="H177" i="12"/>
  <c r="G177" i="12"/>
  <c r="M596" i="18"/>
  <c r="M621" i="18" s="1"/>
  <c r="M639" i="18" s="1"/>
  <c r="G125" i="12"/>
  <c r="G127" i="12" s="1"/>
  <c r="I24" i="11"/>
  <c r="I25" i="11"/>
  <c r="C341" i="12"/>
  <c r="G341" i="12"/>
  <c r="G37" i="15"/>
  <c r="G40" i="15" s="1"/>
  <c r="O596" i="18"/>
  <c r="O621" i="18" s="1"/>
  <c r="O639" i="18" s="1"/>
  <c r="E66" i="16"/>
  <c r="M25" i="18"/>
  <c r="M27" i="18" s="1"/>
  <c r="B32" i="12"/>
  <c r="I376" i="12"/>
  <c r="K376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C359" i="12"/>
  <c r="G376" i="12"/>
  <c r="I359" i="12"/>
  <c r="K359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6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1" i="11"/>
  <c r="D116" i="11"/>
  <c r="E305" i="2"/>
  <c r="F305" i="2"/>
  <c r="C92" i="18"/>
  <c r="B116" i="11"/>
  <c r="G179" i="12"/>
  <c r="G117" i="11"/>
  <c r="H179" i="12"/>
  <c r="H117" i="11"/>
  <c r="C65" i="16"/>
  <c r="C116" i="11"/>
  <c r="P41" i="15"/>
  <c r="E125" i="12"/>
  <c r="E127" i="12" s="1"/>
  <c r="E176" i="12"/>
  <c r="J91" i="12"/>
  <c r="J83" i="12"/>
  <c r="E117" i="11"/>
  <c r="S40" i="15"/>
  <c r="I314" i="12"/>
  <c r="B35" i="16"/>
  <c r="D65" i="16"/>
  <c r="B93" i="11"/>
  <c r="B113" i="11" s="1"/>
  <c r="AF303" i="2"/>
  <c r="AG303" i="2" s="1"/>
  <c r="B65" i="16"/>
  <c r="C113" i="11"/>
  <c r="I57" i="16"/>
  <c r="B51" i="16"/>
  <c r="G85" i="2"/>
  <c r="C305" i="2"/>
  <c r="J305" i="2"/>
  <c r="C27" i="15"/>
  <c r="C37" i="15" s="1"/>
  <c r="C40" i="15" s="1"/>
  <c r="C11" i="16"/>
  <c r="C64" i="16" s="1"/>
  <c r="D85" i="2"/>
  <c r="I35" i="15"/>
  <c r="W35" i="15" s="1"/>
  <c r="I370" i="12"/>
  <c r="K370" i="12" s="1"/>
  <c r="F104" i="12"/>
  <c r="I342" i="12"/>
  <c r="K342" i="12" s="1"/>
  <c r="I15" i="11"/>
  <c r="B9" i="16"/>
  <c r="I9" i="16" s="1"/>
  <c r="G335" i="12"/>
  <c r="C335" i="12"/>
  <c r="C342" i="12"/>
  <c r="I21" i="16"/>
  <c r="D35" i="16"/>
  <c r="D53" i="16" s="1"/>
  <c r="D93" i="11"/>
  <c r="K305" i="2"/>
  <c r="K85" i="2"/>
  <c r="N73" i="2"/>
  <c r="AF73" i="2" s="1"/>
  <c r="AG73" i="2" s="1"/>
  <c r="I72" i="12"/>
  <c r="J88" i="12"/>
  <c r="I31" i="15"/>
  <c r="AA31" i="15" s="1"/>
  <c r="J81" i="12"/>
  <c r="I67" i="11"/>
  <c r="I331" i="12"/>
  <c r="K331" i="12" s="1"/>
  <c r="G331" i="12"/>
  <c r="C331" i="12"/>
  <c r="I357" i="12"/>
  <c r="K357" i="12" s="1"/>
  <c r="J44" i="12"/>
  <c r="C357" i="12"/>
  <c r="G357" i="12"/>
  <c r="C443" i="12"/>
  <c r="B33" i="15"/>
  <c r="S37" i="15"/>
  <c r="AF35" i="2"/>
  <c r="AG35" i="2" s="1"/>
  <c r="N36" i="2"/>
  <c r="AF36" i="2" s="1"/>
  <c r="AG36" i="2" s="1"/>
  <c r="AF53" i="2"/>
  <c r="AG53" i="2" s="1"/>
  <c r="G360" i="12"/>
  <c r="J41" i="12"/>
  <c r="C360" i="12"/>
  <c r="I360" i="12"/>
  <c r="K360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4" i="12"/>
  <c r="I62" i="16"/>
  <c r="F37" i="15"/>
  <c r="F40" i="15" s="1"/>
  <c r="N99" i="2"/>
  <c r="AF99" i="2" s="1"/>
  <c r="AG99" i="2" s="1"/>
  <c r="AF90" i="2"/>
  <c r="AG90" i="2" s="1"/>
  <c r="J260" i="12"/>
  <c r="J37" i="12"/>
  <c r="I18" i="16"/>
  <c r="B21" i="15"/>
  <c r="E445" i="12"/>
  <c r="S33" i="15"/>
  <c r="Y33" i="15" s="1"/>
  <c r="I17" i="16"/>
  <c r="J90" i="12"/>
  <c r="J82" i="12"/>
  <c r="J96" i="12"/>
  <c r="J89" i="12"/>
  <c r="I32" i="15"/>
  <c r="J94" i="12"/>
  <c r="J100" i="12"/>
  <c r="J84" i="12"/>
  <c r="J92" i="12"/>
  <c r="J93" i="12"/>
  <c r="J85" i="12"/>
  <c r="J101" i="12"/>
  <c r="J97" i="12"/>
  <c r="J98" i="12"/>
  <c r="J95" i="12"/>
  <c r="J86" i="12"/>
  <c r="J87" i="12"/>
  <c r="I42" i="11"/>
  <c r="C66" i="16" l="1"/>
  <c r="M533" i="18"/>
  <c r="I332" i="12"/>
  <c r="K332" i="12" s="1"/>
  <c r="J67" i="12"/>
  <c r="I392" i="12"/>
  <c r="B176" i="12"/>
  <c r="E177" i="12"/>
  <c r="C177" i="12"/>
  <c r="B125" i="12"/>
  <c r="B127" i="12" s="1"/>
  <c r="F125" i="12"/>
  <c r="F127" i="12" s="1"/>
  <c r="G343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C332" i="12"/>
  <c r="J16" i="12"/>
  <c r="J17" i="12"/>
  <c r="G332" i="12"/>
  <c r="J12" i="12"/>
  <c r="J18" i="12"/>
  <c r="J15" i="12"/>
  <c r="E859" i="18"/>
  <c r="E830" i="18"/>
  <c r="E409" i="18"/>
  <c r="C872" i="18"/>
  <c r="J23" i="12"/>
  <c r="F64" i="16"/>
  <c r="C125" i="12"/>
  <c r="C127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3" i="12"/>
  <c r="K343" i="12" s="1"/>
  <c r="C343" i="12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7" i="11"/>
  <c r="O857" i="18"/>
  <c r="O862" i="18"/>
  <c r="O859" i="18"/>
  <c r="E92" i="18"/>
  <c r="E110" i="18" s="1"/>
  <c r="C110" i="18"/>
  <c r="E179" i="12"/>
  <c r="C179" i="12"/>
  <c r="C117" i="11"/>
  <c r="F176" i="12"/>
  <c r="I32" i="12"/>
  <c r="I345" i="12" s="1"/>
  <c r="K345" i="12" s="1"/>
  <c r="D176" i="12"/>
  <c r="I116" i="11"/>
  <c r="S41" i="15"/>
  <c r="B53" i="16"/>
  <c r="I65" i="16"/>
  <c r="I93" i="11"/>
  <c r="I51" i="16"/>
  <c r="AA35" i="15"/>
  <c r="AC35" i="15"/>
  <c r="AE35" i="15" s="1"/>
  <c r="I104" i="12"/>
  <c r="D113" i="11"/>
  <c r="D117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K392" i="12"/>
  <c r="J60" i="12"/>
  <c r="J64" i="12"/>
  <c r="J65" i="12"/>
  <c r="J62" i="12"/>
  <c r="C392" i="12"/>
  <c r="G392" i="12"/>
  <c r="J69" i="12"/>
  <c r="J57" i="12"/>
  <c r="J51" i="12"/>
  <c r="J102" i="12"/>
  <c r="I21" i="15"/>
  <c r="B7" i="16"/>
  <c r="B27" i="15"/>
  <c r="J47" i="12"/>
  <c r="D125" i="12"/>
  <c r="D127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B177" i="12" l="1"/>
  <c r="G418" i="12"/>
  <c r="I418" i="12"/>
  <c r="I176" i="12"/>
  <c r="B179" i="12"/>
  <c r="D177" i="12"/>
  <c r="F177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79" i="12"/>
  <c r="C345" i="12"/>
  <c r="G345" i="12"/>
  <c r="D179" i="12"/>
  <c r="I53" i="16"/>
  <c r="J104" i="12"/>
  <c r="C418" i="12"/>
  <c r="I113" i="11"/>
  <c r="I117" i="11" s="1"/>
  <c r="W20" i="15"/>
  <c r="AA20" i="15"/>
  <c r="I125" i="12"/>
  <c r="I127" i="12" s="1"/>
  <c r="AF84" i="2"/>
  <c r="AG84" i="2" s="1"/>
  <c r="J72" i="12"/>
  <c r="B37" i="15"/>
  <c r="B40" i="15" s="1"/>
  <c r="I40" i="15" s="1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I179" i="12" l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C445" i="12"/>
  <c r="C446" i="12" s="1"/>
  <c r="G445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03" i="2"/>
  <c r="B305" i="2" s="1"/>
  <c r="N75" i="2"/>
  <c r="AF75" i="2" s="1"/>
  <c r="AG75" i="2" s="1"/>
  <c r="N80" i="2" l="1"/>
  <c r="N81" i="2" s="1"/>
  <c r="N305" i="2" s="1"/>
  <c r="B85" i="2" l="1"/>
  <c r="AF80" i="2"/>
  <c r="AG80" i="2" s="1"/>
  <c r="AF305" i="2" l="1"/>
  <c r="AG305" i="2" s="1"/>
  <c r="AF81" i="2"/>
  <c r="AG8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2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3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0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0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<sst xmlns="http://schemas.openxmlformats.org/spreadsheetml/2006/main" count="2970" uniqueCount="625">
  <si>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</si>
  <si>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</si>
  <si>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</si>
  <si>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</si>
  <si>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</si>
  <si>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</si>
  <si>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</si>
  <si>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</si>
  <si>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</si>
  <si>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</si>
  <si>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</si>
  <si>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</si>
  <si>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</si>
  <si>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</si>
  <si>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</si>
  <si>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</si>
  <si>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</si>
  <si>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</si>
  <si>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</si>
  <si>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</si>
  <si>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</si>
  <si>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</si>
  <si>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</si>
  <si>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</si>
  <si>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</si>
  <si>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</si>
  <si>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</si>
  <si>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</si>
  <si>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</si>
  <si>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</si>
  <si>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</si>
  <si>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</si>
  <si>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</si>
  <si>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</si>
  <si>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</si>
  <si>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</si>
  <si>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</si>
  <si>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</si>
  <si>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</si>
  <si>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</si>
  <si>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</si>
  <si>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</si>
  <si>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</si>
  <si>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</si>
  <si>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</si>
  <si>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</si>
  <si>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</si>
  <si>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</si>
  <si>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</si>
  <si>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</si>
  <si>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</si>
  <si>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</si>
  <si>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</si>
  <si>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</si>
  <si>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</si>
  <si>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</si>
  <si>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</si>
  <si>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</si>
  <si>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</si>
  <si>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</si>
  <si>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</si>
  <si>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</si>
  <si>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</si>
  <si>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</si>
  <si>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</si>
  <si>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</si>
  <si>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</si>
  <si>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</si>
  <si>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</si>
  <si>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</si>
  <si>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</si>
  <si>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</si>
  <si>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</si>
  <si>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</si>
  <si>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</si>
  <si>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</si>
  <si>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</si>
  <si>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</si>
  <si>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</si>
  <si>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</si>
  <si>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</si>
  <si>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</si>
  <si>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</si>
  <si>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</si>
  <si>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</si>
  <si>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</si>
  <si>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</si>
  <si>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</si>
  <si>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</si>
  <si>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</si>
  <si>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</si>
  <si>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</si>
  <si>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</si>
  <si>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</si>
  <si>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</si>
  <si>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</si>
  <si>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</si>
  <si>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</si>
  <si>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</si>
  <si>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</si>
  <si>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</si>
  <si>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</si>
  <si>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</si>
  <si>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</si>
  <si>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</si>
  <si>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</si>
  <si>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</si>
  <si>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</si>
  <si>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</si>
  <si>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</si>
  <si>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</si>
  <si>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</si>
  <si>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</si>
  <si>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</si>
  <si>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</si>
  <si>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</si>
  <si>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</si>
  <si>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</si>
  <si>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</si>
  <si>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</si>
  <si>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</si>
  <si>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</si>
  <si>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</si>
  <si>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</si>
  <si>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</si>
  <si>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</si>
  <si>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</si>
  <si>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</si>
  <si>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</si>
  <si>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</si>
  <si>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</si>
  <si>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</si>
  <si>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</si>
  <si>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</si>
  <si>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</si>
  <si>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</si>
  <si>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</si>
  <si>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</si>
  <si>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</si>
  <si>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</si>
  <si>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</si>
  <si>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</si>
  <si>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</si>
  <si>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</si>
  <si>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</si>
  <si>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</si>
  <si>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</si>
  <si>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</si>
  <si>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</si>
  <si>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</si>
  <si>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</si>
  <si>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</si>
  <si>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</si>
  <si>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</si>
  <si>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</si>
  <si>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</si>
  <si>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</si>
  <si>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</si>
  <si>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</si>
  <si>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</si>
  <si>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</si>
  <si>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</si>
  <si>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</si>
  <si>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</si>
  <si>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</si>
  <si>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</si>
  <si>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</si>
  <si>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</si>
  <si>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</si>
  <si>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</si>
  <si>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</si>
  <si>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</si>
  <si>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</si>
  <si>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</si>
  <si>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</si>
  <si>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</si>
  <si>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</si>
  <si>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</si>
  <si>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</si>
  <si>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</si>
  <si>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</si>
  <si>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</si>
  <si>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</si>
  <si>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</si>
  <si>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</si>
  <si>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</si>
  <si>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</si>
  <si>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</si>
  <si>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</si>
  <si>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</si>
  <si>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</si>
  <si>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</si>
  <si>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</si>
  <si>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</si>
  <si>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</si>
  <si>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</si>
  <si>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</si>
  <si>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</si>
  <si>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</si>
  <si>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</si>
  <si>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</si>
  <si>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</si>
  <si>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</si>
  <si>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</si>
  <si>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</si>
  <si>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</si>
  <si>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</si>
  <si>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</si>
  <si>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</si>
  <si>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</si>
  <si>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</si>
  <si>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</si>
  <si>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</si>
  <si>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</si>
  <si>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</si>
  <si>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</si>
  <si>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</si>
  <si>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</si>
  <si>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</si>
  <si>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</si>
  <si>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</si>
  <si>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</si>
  <si>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</si>
  <si>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</si>
  <si>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</si>
  <si>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</si>
  <si>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</si>
  <si>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</si>
  <si>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</si>
  <si>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</si>
  <si>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</si>
  <si>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</si>
  <si>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</si>
  <si>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</si>
  <si>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</si>
  <si>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</si>
  <si>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</si>
  <si>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</si>
  <si>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</si>
  <si>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</si>
  <si>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</si>
  <si>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</si>
  <si>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</si>
  <si>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</si>
  <si>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</si>
  <si>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</si>
  <si>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</si>
  <si>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</si>
  <si>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</si>
  <si>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</si>
  <si>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</si>
  <si>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</si>
  <si>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</si>
  <si>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</si>
  <si>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</si>
  <si>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</si>
  <si>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</si>
  <si>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</si>
  <si>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</si>
  <si>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</si>
  <si>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</si>
  <si>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</si>
  <si>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</si>
  <si>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</si>
  <si>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</si>
  <si>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</si>
  <si>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</si>
  <si>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</si>
  <si>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</si>
  <si>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</si>
  <si>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</si>
  <si>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</si>
  <si>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</si>
  <si>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</si>
  <si>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</si>
  <si>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</si>
  <si>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</si>
  <si>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</si>
  <si>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</si>
  <si>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</si>
  <si>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</si>
  <si>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</si>
  <si>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</si>
  <si>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</si>
  <si>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</si>
  <si>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</si>
  <si>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</si>
  <si>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</si>
  <si>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</si>
  <si>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</si>
  <si>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</si>
  <si>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</si>
  <si>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</si>
  <si>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</si>
  <si>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</si>
  <si>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</si>
  <si>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</si>
  <si>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</si>
  <si>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</si>
  <si>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</si>
  <si>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</si>
  <si>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</si>
  <si>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</si>
  <si>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</si>
  <si>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</si>
  <si>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</si>
  <si>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</si>
  <si>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</si>
  <si>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</si>
  <si>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</si>
  <si>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</si>
  <si>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</si>
  <si>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</si>
  <si>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</si>
  <si>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</si>
  <si>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</si>
  <si>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</si>
  <si>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</si>
  <si>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</si>
  <si>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</si>
  <si>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</si>
  <si>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</si>
  <si>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</si>
  <si>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</si>
  <si>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</si>
  <si>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</si>
  <si>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</si>
  <si>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</si>
  <si>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</si>
  <si>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</si>
  <si>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</si>
  <si>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</si>
  <si>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</si>
  <si>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</si>
  <si>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</si>
  <si>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</si>
  <si>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</si>
  <si>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</si>
  <si>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</si>
  <si>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</si>
  <si>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</si>
  <si>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</si>
  <si>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</si>
  <si>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</si>
  <si>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</si>
  <si>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</si>
  <si>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</si>
  <si>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</si>
  <si>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</si>
  <si>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</si>
  <si>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</si>
  <si>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</si>
  <si>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</si>
  <si>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</si>
  <si>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</si>
  <si>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</si>
  <si>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</si>
  <si>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</si>
  <si>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</si>
  <si>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</si>
  <si>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</si>
  <si>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</si>
  <si>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</si>
  <si>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</si>
  <si>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</si>
  <si>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</si>
  <si>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</si>
  <si>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</si>
  <si>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</si>
  <si>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</si>
  <si>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</si>
  <si>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</si>
  <si>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</si>
  <si>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</si>
  <si>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</si>
  <si>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</si>
  <si>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</si>
  <si>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</si>
  <si>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</si>
  <si>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</si>
  <si>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</si>
  <si>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</si>
  <si>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</si>
  <si>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</si>
  <si>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</si>
  <si>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</si>
  <si>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</si>
  <si>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</si>
  <si>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</si>
  <si>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</si>
  <si>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</si>
  <si>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</si>
  <si>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</si>
  <si>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</si>
  <si>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</si>
  <si>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</si>
  <si>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</si>
  <si>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</si>
  <si>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</si>
  <si>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</si>
  <si>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</si>
  <si>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</si>
  <si>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</si>
  <si>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</si>
  <si>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</si>
  <si>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</si>
  <si>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</si>
  <si>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</si>
  <si>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</si>
  <si>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</si>
  <si>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</si>
  <si>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</si>
  <si>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</si>
  <si>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</si>
  <si>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</si>
  <si>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</si>
  <si>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</si>
  <si>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</si>
  <si>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</si>
  <si>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</si>
  <si>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</si>
  <si>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</si>
  <si>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</si>
  <si>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</si>
  <si>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</si>
  <si>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</si>
  <si>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</si>
  <si>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</si>
  <si>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</si>
  <si>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</si>
  <si>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</si>
  <si>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</si>
  <si>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</si>
  <si>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</si>
  <si>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</si>
  <si>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</si>
  <si>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</si>
  <si>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</si>
  <si>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</si>
  <si>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</si>
  <si>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</si>
  <si>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</si>
  <si>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</si>
  <si>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</si>
  <si>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</si>
  <si>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</si>
  <si>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</si>
  <si>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</si>
  <si>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</si>
  <si>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</si>
  <si>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</si>
  <si>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</si>
  <si>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</si>
  <si>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</si>
  <si>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</si>
  <si>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</si>
  <si>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</si>
  <si>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</si>
  <si>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</si>
  <si>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</si>
  <si>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</si>
  <si>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</si>
  <si>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</si>
  <si>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</si>
  <si>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</si>
  <si>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</si>
  <si>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</si>
  <si>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</si>
  <si>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</si>
  <si>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</si>
  <si>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</si>
  <si>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</si>
  <si>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</si>
  <si>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</si>
  <si>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</si>
  <si>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</si>
  <si>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</si>
  <si>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</si>
  <si>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</si>
  <si>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</si>
  <si>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</si>
  <si>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</si>
  <si>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</si>
  <si>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</si>
  <si>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</si>
  <si>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</si>
  <si>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</si>
  <si>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</si>
  <si>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</si>
  <si>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</si>
  <si>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</si>
  <si>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</si>
  <si>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</si>
  <si>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</si>
  <si>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</si>
  <si>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</si>
  <si>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</si>
  <si>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</si>
  <si>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</si>
  <si>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</si>
  <si>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</si>
  <si>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</si>
  <si>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</si>
  <si>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</si>
  <si>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</si>
  <si>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</si>
  <si>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</si>
  <si>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</si>
  <si>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</si>
  <si>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</si>
  <si>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</si>
  <si>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</si>
  <si>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</si>
  <si>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</si>
  <si>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</si>
  <si>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</si>
  <si>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</si>
  <si>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</si>
  <si>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</si>
  <si>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</si>
  <si>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</si>
  <si>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</si>
  <si>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</si>
  <si>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Fabrication Charge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</si>
  <si>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</si>
  <si>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</si>
  <si>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</si>
  <si>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</si>
  <si>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</si>
  <si>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</si>
  <si>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</si>
  <si>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</si>
  <si>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</si>
  <si>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</si>
  <si>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</si>
  <si>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</si>
  <si>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</si>
  <si>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</si>
  <si>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</si>
  <si>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</si>
  <si>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</si>
  <si>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</si>
  <si>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2019 and 2018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</si>
  <si>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</si>
  <si>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</si>
  <si>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</si>
  <si>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</si>
  <si>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</si>
  <si>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</si>
  <si>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</si>
  <si>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</si>
  <si>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</si>
  <si>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</si>
  <si>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</si>
  <si>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</si>
  <si>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</si>
  <si>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</si>
  <si>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</si>
  <si>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</si>
  <si>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</si>
  <si>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</si>
  <si>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</si>
  <si>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</si>
  <si>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</si>
  <si>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</si>
  <si>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</si>
  <si>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</si>
  <si>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</si>
  <si>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</si>
  <si>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</si>
  <si>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</si>
  <si>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</si>
  <si>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</si>
  <si>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</si>
  <si>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</si>
  <si>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</si>
  <si>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</si>
  <si>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</si>
  <si>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</si>
  <si>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</si>
  <si>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</si>
  <si>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</si>
  <si>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</si>
  <si>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</si>
  <si>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</si>
  <si>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</si>
  <si>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</si>
  <si>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</si>
  <si>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</si>
  <si>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</si>
  <si>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</si>
  <si>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</si>
  <si>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</si>
  <si>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</si>
  <si>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</si>
  <si>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</si>
  <si>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</si>
  <si>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>10/31/2019 to 10/31/2018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</si>
  <si>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</si>
  <si>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</si>
  <si>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</si>
  <si>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</si>
  <si>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</si>
  <si>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</si>
  <si>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</si>
  <si>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</si>
  <si>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</si>
  <si>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</si>
  <si>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</si>
  <si>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</si>
  <si>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</si>
  <si>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</si>
  <si>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</si>
  <si>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</si>
  <si>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</si>
  <si>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</si>
  <si>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>Adjustments to Unrealized Gain &amp; Premiums</t>
  </si>
  <si>
    <t xml:space="preserve">      Utilities</t>
  </si>
  <si>
    <t>Suspense Account</t>
  </si>
  <si>
    <t>Reversing Reversing entry from February</t>
  </si>
  <si>
    <t>Minting Gross Profit to April (100 oz Silver Bars) minus 1oz round contigency</t>
  </si>
  <si>
    <t>Realized Gain Loss</t>
  </si>
  <si>
    <t>Unrealized Gain Loss</t>
  </si>
  <si>
    <t xml:space="preserve">      Suspense Account</t>
  </si>
  <si>
    <t xml:space="preserve">      Sales Refunded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</si>
</sst>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7" activePane="bottomLeft" state="frozen"/>
      <selection activeCell="A297" sqref="A297"/>
      <selection pane="bottomLeft" activeCell="B78" sqref="B78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209" t="s">
        <v>538</v>
      </c>
      <c r="B1" s="209"/>
      <c r="C1" s="209"/>
      <c r="D1" s="209"/>
      <c r="E1" s="209"/>
      <c r="F1" s="209"/>
      <c r="G1" s="209"/>
      <c r="H1" s="209"/>
      <c r="I1" s="209"/>
    </row>
    <row r="2" spans="1:12" ht="33.75" x14ac:dyDescent="0.5">
      <c r="A2" s="209" t="s">
        <v>539</v>
      </c>
      <c r="B2" s="209"/>
      <c r="C2" s="209"/>
      <c r="D2" s="209"/>
      <c r="E2" s="209"/>
      <c r="F2" s="209"/>
      <c r="G2" s="209"/>
      <c r="H2" s="209"/>
      <c r="I2" s="209"/>
    </row>
    <row r="3" spans="1:12" ht="33.75" x14ac:dyDescent="0.5">
      <c r="A3" s="209" t="s">
        <v>262</v>
      </c>
      <c r="B3" s="209"/>
      <c r="C3" s="209"/>
      <c r="D3" s="209"/>
      <c r="E3" s="209"/>
      <c r="F3" s="209"/>
      <c r="G3" s="209"/>
      <c r="H3" s="209"/>
      <c r="I3" s="209"/>
    </row>
    <row r="4" spans="1:12" ht="33.75" x14ac:dyDescent="0.5">
      <c r="A4" s="210">
        <f>'Summary YTD 10.31.19'!A4:I4</f>
        <v>43951</v>
      </c>
      <c r="B4" s="211"/>
      <c r="C4" s="211"/>
      <c r="D4" s="211"/>
      <c r="E4" s="211"/>
      <c r="F4" s="211"/>
      <c r="G4" s="211"/>
      <c r="H4" s="211"/>
      <c r="I4" s="211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2451188768.6799998</v>
      </c>
      <c r="C7" s="77">
        <f>'Comp Summary YTD 2020-2019 '!C21</f>
        <v>7832892.9499999993</v>
      </c>
      <c r="D7" s="77">
        <f>'Comp Summary YTD 2020-2019 '!D21</f>
        <v>2070342.7200000002</v>
      </c>
      <c r="E7" s="77">
        <f>'Comp Summary YTD 2020-2019 '!E21</f>
        <v>0</v>
      </c>
      <c r="F7" s="77">
        <f>'Comp Summary YTD 2020-2019 '!F21</f>
        <v>283910.69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2461375915.0399995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2428789487.2700014</v>
      </c>
      <c r="C9" s="81">
        <f>'Comp Summary YTD 2020-2019 '!C25</f>
        <v>7687219.8100000005</v>
      </c>
      <c r="D9" s="81">
        <f>'Comp Summary YTD 2020-2019 '!D25</f>
        <v>49342.94</v>
      </c>
      <c r="E9" s="81">
        <f>'Comp Summary YTD 2020-2019 '!E25</f>
        <v>0</v>
      </c>
      <c r="F9" s="81">
        <f>'Comp Summary YTD 2020-2019 '!F25</f>
        <v>959.06000000000006</v>
      </c>
      <c r="G9" s="81">
        <f>'Comp Summary YTD 2020-2019 '!G25</f>
        <v>0</v>
      </c>
      <c r="H9" s="81">
        <f>'Comp Summary YTD 2020-2019 '!H25</f>
        <v>0</v>
      </c>
      <c r="I9" s="81">
        <f>SUM(B9:H9)</f>
        <v>2436527009.0800014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22399281.409998417</v>
      </c>
      <c r="C11" s="82">
        <f t="shared" si="0"/>
        <v>145673.13999999873</v>
      </c>
      <c r="D11" s="82">
        <f t="shared" si="0"/>
        <v>2020999.7800000003</v>
      </c>
      <c r="E11" s="82">
        <f t="shared" si="0"/>
        <v>0</v>
      </c>
      <c r="F11" s="82">
        <f t="shared" si="0"/>
        <v>282951.63</v>
      </c>
      <c r="G11" s="82">
        <f>G7-G9</f>
        <v>0</v>
      </c>
      <c r="H11" s="82">
        <f t="shared" si="0"/>
        <v>0</v>
      </c>
      <c r="I11" s="82">
        <f>SUM(B11:H11)</f>
        <v>24848905.959998418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4125928.87</v>
      </c>
      <c r="C15" s="26">
        <f>'Summary YTD 10.31.19'!C32+'Summary YTD 10.31.19'!C33</f>
        <v>67213.210000000006</v>
      </c>
      <c r="D15" s="26">
        <f>'Summary YTD 10.31.19'!D32+'Summary YTD 10.31.19'!D33</f>
        <v>393160.84</v>
      </c>
      <c r="E15" s="26">
        <f>'Summary YTD 10.31.19'!E32</f>
        <v>0</v>
      </c>
      <c r="F15" s="26">
        <f>'Summary YTD 10.31.19'!F32+'Comp YTD 2020-2019 '!F38</f>
        <v>112678.29000000001</v>
      </c>
      <c r="G15" s="26">
        <f>'Summary YTD 10.31.19'!G32</f>
        <v>0</v>
      </c>
      <c r="H15" s="26">
        <f>'Summary YTD 10.31.19'!H32</f>
        <v>0</v>
      </c>
      <c r="I15" s="26">
        <f>SUM(B15:H15)</f>
        <v>4698981.21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83709.73</v>
      </c>
      <c r="C16" s="26">
        <f>'Summary YTD 10.31.19'!C35</f>
        <v>6067.9600000000009</v>
      </c>
      <c r="D16" s="26">
        <f>'Summary YTD 10.31.19'!D35</f>
        <v>34727.46</v>
      </c>
      <c r="E16" s="26">
        <f>'Summary YTD 10.31.19'!E35</f>
        <v>0</v>
      </c>
      <c r="F16" s="26">
        <f>'Summary YTD 10.31.19'!F35</f>
        <v>8223.2099999999991</v>
      </c>
      <c r="G16" s="26">
        <f>'Summary YTD 10.31.19'!G35</f>
        <v>0</v>
      </c>
      <c r="H16" s="26">
        <f>'Summary YTD 10.31.19'!H35</f>
        <v>0</v>
      </c>
      <c r="I16" s="26">
        <f>SUM(B16:H16)</f>
        <v>132728.35999999999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265530.92</v>
      </c>
      <c r="C17" s="26">
        <f>'Summary YTD 10.31.19'!C34+'Summary YTD 10.31.19'!C36+'Summary YTD 10.31.19'!C37+'Summary YTD 10.31.19'!C38+'Summary YTD 10.31.19'!C39+'Summary YTD 10.31.19'!C40+'Summary YTD 10.31.19'!C41</f>
        <v>17388.02</v>
      </c>
      <c r="D17" s="26">
        <f>'Summary YTD 10.31.19'!D34+'Summary YTD 10.31.19'!D36+'Summary YTD 10.31.19'!D37+'Summary YTD 10.31.19'!D38+'Summary YTD 10.31.19'!D39+'Summary YTD 10.31.19'!D40+'Summary YTD 10.31.19'!D41</f>
        <v>82218.039999999994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17844.12</v>
      </c>
      <c r="G17" s="26">
        <v>0</v>
      </c>
      <c r="H17" s="26">
        <f>'BSC (Dome)'!O25</f>
        <v>0</v>
      </c>
      <c r="I17" s="26">
        <f>SUM(B17:H17)</f>
        <v>382981.1</v>
      </c>
      <c r="L17" s="24"/>
    </row>
    <row r="18" spans="1:12" s="22" customFormat="1" ht="30" customHeight="1" x14ac:dyDescent="0.3">
      <c r="A18" s="25" t="s">
        <v>230</v>
      </c>
      <c r="B18" s="27">
        <f>SUM(B15:B17)</f>
        <v>4475169.5200000005</v>
      </c>
      <c r="C18" s="27">
        <f t="shared" ref="C18:H18" si="1">SUM(C15:C17)</f>
        <v>90669.190000000017</v>
      </c>
      <c r="D18" s="27">
        <f t="shared" si="1"/>
        <v>510106.34</v>
      </c>
      <c r="E18" s="27">
        <f t="shared" si="1"/>
        <v>0</v>
      </c>
      <c r="F18" s="27">
        <f t="shared" si="1"/>
        <v>138745.62</v>
      </c>
      <c r="G18" s="27">
        <f t="shared" si="1"/>
        <v>0</v>
      </c>
      <c r="H18" s="27">
        <f t="shared" si="1"/>
        <v>0</v>
      </c>
      <c r="I18" s="27">
        <f>SUM(B18:H18)</f>
        <v>5214690.6700000009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166800</v>
      </c>
      <c r="C21" s="26">
        <f>'Summary YTD 10.31.19'!C45</f>
        <v>15000</v>
      </c>
      <c r="D21" s="26">
        <f>'Summary YTD 10.31.19'!D45</f>
        <v>150000</v>
      </c>
      <c r="E21" s="26">
        <f>'Summary YTD 10.31.19'!E45</f>
        <v>0</v>
      </c>
      <c r="F21" s="26">
        <f>'Summary YTD 10.31.19'!F45</f>
        <v>4000</v>
      </c>
      <c r="G21" s="26">
        <f>'Summary YTD 10.31.19'!G45</f>
        <v>0</v>
      </c>
      <c r="H21" s="26">
        <f>'Summary YTD 10.31.19'!H45</f>
        <v>0</v>
      </c>
      <c r="I21" s="26">
        <f>SUM(B21:H21)</f>
        <v>335800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18423.969999999998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2535.0400000000004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40321.909999999996</v>
      </c>
      <c r="G22" s="26">
        <f>'Summary YTD 10.31.19'!G46+'Summary YTD 10.31.19'!G47+'Summary YTD 10.31.19'!G48</f>
        <v>161.63</v>
      </c>
      <c r="H22" s="26">
        <f>'Summary YTD 10.31.19'!H46+'Summary YTD 10.31.19'!H47+'Summary YTD 10.31.19'!H48</f>
        <v>0</v>
      </c>
      <c r="I22" s="26">
        <f t="shared" ref="I22:I34" si="2">SUM(B22:H22)</f>
        <v>61442.549999999996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54987.94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20527.88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6835.9699999999993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82351.790000000008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37072.199999999997</v>
      </c>
      <c r="C24" s="26">
        <f>'Summary YTD 10.31.19'!C53</f>
        <v>0</v>
      </c>
      <c r="D24" s="26">
        <f>'Summary YTD 10.31.19'!D53</f>
        <v>24051.72</v>
      </c>
      <c r="E24" s="26">
        <f>'Summary YTD 10.31.19'!E53</f>
        <v>0</v>
      </c>
      <c r="F24" s="26">
        <f>'Summary YTD 10.31.19'!F53</f>
        <v>919.43000000000006</v>
      </c>
      <c r="G24" s="26">
        <f>'Summary YTD 10.31.19'!G53</f>
        <v>0</v>
      </c>
      <c r="H24" s="26">
        <f>'Summary YTD 10.31.19'!H53</f>
        <v>0</v>
      </c>
      <c r="I24" s="26">
        <f t="shared" si="2"/>
        <v>62043.35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11429.77</v>
      </c>
      <c r="C25" s="26">
        <f>'Summary YTD 10.31.19'!C54</f>
        <v>0</v>
      </c>
      <c r="D25" s="26">
        <f>'Summary YTD 10.31.19'!D54</f>
        <v>1673.7399999999998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13103.51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22353.66</v>
      </c>
      <c r="C26" s="26">
        <f>'Summary YTD 10.31.19'!C55</f>
        <v>300</v>
      </c>
      <c r="D26" s="26">
        <f>'Summary YTD 10.31.19'!D55</f>
        <v>90625.04</v>
      </c>
      <c r="E26" s="26">
        <f>'Summary YTD 10.31.19'!E55</f>
        <v>0</v>
      </c>
      <c r="F26" s="26">
        <f>'Summary YTD 10.31.19'!F55</f>
        <v>10594.33</v>
      </c>
      <c r="G26" s="26">
        <f>'Summary YTD 10.31.19'!G55</f>
        <v>0</v>
      </c>
      <c r="H26" s="26">
        <f>'Summary YTD 10.31.19'!H55</f>
        <v>0</v>
      </c>
      <c r="I26" s="26">
        <f t="shared" si="2"/>
        <v>123873.03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110</v>
      </c>
      <c r="C27" s="26">
        <f>'Summary YTD 10.31.19'!C56</f>
        <v>0</v>
      </c>
      <c r="D27" s="26">
        <f>'Summary YTD 10.31.19'!D56</f>
        <v>110</v>
      </c>
      <c r="E27" s="26">
        <f>'Summary YTD 10.31.19'!E56</f>
        <v>110</v>
      </c>
      <c r="F27" s="26">
        <f>'Summary YTD 10.31.19'!F56</f>
        <v>110</v>
      </c>
      <c r="G27" s="26">
        <f>'Summary YTD 10.31.19'!G56</f>
        <v>0</v>
      </c>
      <c r="H27" s="26">
        <f>'Summary YTD 10.31.19'!H56</f>
        <v>0</v>
      </c>
      <c r="I27" s="26">
        <f t="shared" si="2"/>
        <v>440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44119.18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9098.15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53217.33</v>
      </c>
      <c r="L28" s="24"/>
    </row>
    <row r="29" spans="1:12" s="22" customFormat="1" ht="30" customHeight="1" x14ac:dyDescent="0.3">
      <c r="A29" s="22" t="s">
        <v>239</v>
      </c>
      <c r="B29" s="26">
        <f>'Summary YTD 10.31.19'!B59</f>
        <v>6576.24</v>
      </c>
      <c r="C29" s="26">
        <f>'Summary YTD 10.31.19'!C59</f>
        <v>0</v>
      </c>
      <c r="D29" s="26">
        <f>'Summary YTD 10.31.19'!D59</f>
        <v>1602.28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8178.5199999999995</v>
      </c>
      <c r="L29" s="24"/>
    </row>
    <row r="30" spans="1:12" s="22" customFormat="1" ht="30" customHeight="1" x14ac:dyDescent="0.3">
      <c r="A30" s="22" t="s">
        <v>241</v>
      </c>
      <c r="B30" s="26">
        <f>'Summary YTD 10.31.19'!B61</f>
        <v>427204.03</v>
      </c>
      <c r="C30" s="26">
        <f>'Summary YTD 10.31.19'!C61</f>
        <v>1673.16</v>
      </c>
      <c r="D30" s="26">
        <f>'Summary YTD 10.31.19'!D61</f>
        <v>53828.75</v>
      </c>
      <c r="E30" s="26">
        <f>'Summary YTD 10.31.19'!E61</f>
        <v>0</v>
      </c>
      <c r="F30" s="26">
        <f>'Summary YTD 10.31.19'!F61</f>
        <v>33649.08</v>
      </c>
      <c r="G30" s="26">
        <f>'Summary YTD 10.31.19'!G61</f>
        <v>37007.090000000004</v>
      </c>
      <c r="H30" s="26">
        <f>'Summary YTD 10.31.19'!H61</f>
        <v>58185.68</v>
      </c>
      <c r="I30" s="26">
        <f t="shared" si="2"/>
        <v>611547.79</v>
      </c>
      <c r="L30" s="24"/>
    </row>
    <row r="31" spans="1:12" s="22" customFormat="1" ht="30" customHeight="1" x14ac:dyDescent="0.3">
      <c r="A31" s="22" t="s">
        <v>240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251</v>
      </c>
      <c r="B32" s="26">
        <f>'Summary YTD 10.31.19'!B62</f>
        <v>4304.5599999999995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4304.5599999999995</v>
      </c>
      <c r="L32" s="24"/>
    </row>
    <row r="33" spans="1:12" s="22" customFormat="1" ht="30" customHeight="1" x14ac:dyDescent="0.3">
      <c r="A33" s="22" t="s">
        <v>245</v>
      </c>
      <c r="B33" s="26">
        <f>'Summary YTD 10.31.19'!B64</f>
        <v>34309.08</v>
      </c>
      <c r="C33" s="26">
        <f>'Summary YTD 10.31.19'!C64</f>
        <v>1350</v>
      </c>
      <c r="D33" s="26">
        <f>'Summary YTD 10.31.19'!D64</f>
        <v>29810.33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65469.41</v>
      </c>
      <c r="L33" s="24"/>
    </row>
    <row r="34" spans="1:12" s="22" customFormat="1" ht="30" customHeight="1" x14ac:dyDescent="0.3">
      <c r="A34" s="22" t="s">
        <v>405</v>
      </c>
      <c r="B34" s="26">
        <f>'Summary YTD 10.31.19'!B63+'Summary YTD 10.31.19'!B65+'Summary YTD 10.31.19'!B66</f>
        <v>25768.15</v>
      </c>
      <c r="C34" s="26">
        <f>'Summary YTD 10.31.19'!C63+'Summary YTD 10.31.19'!C65+'Summary YTD 10.31.19'!C66</f>
        <v>5227.5999999999995</v>
      </c>
      <c r="D34" s="26">
        <f>'Summary YTD 10.31.19'!D63+'Summary YTD 10.31.19'!D65+'Summary YTD 10.31.19'!D66</f>
        <v>6916.3700000000008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3230.44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41142.560000000005</v>
      </c>
      <c r="L34" s="24"/>
    </row>
    <row r="35" spans="1:12" s="22" customFormat="1" ht="30" customHeight="1" x14ac:dyDescent="0.3">
      <c r="A35" s="25" t="s">
        <v>246</v>
      </c>
      <c r="B35" s="27">
        <f t="shared" ref="B35:H35" si="3">SUM(B21:B34)</f>
        <v>853458.78</v>
      </c>
      <c r="C35" s="27">
        <f t="shared" si="3"/>
        <v>23550.76</v>
      </c>
      <c r="D35" s="27">
        <f t="shared" si="3"/>
        <v>381681.15</v>
      </c>
      <c r="E35" s="27">
        <f t="shared" si="3"/>
        <v>110</v>
      </c>
      <c r="F35" s="27">
        <f t="shared" si="3"/>
        <v>108759.31</v>
      </c>
      <c r="G35" s="27">
        <f t="shared" si="3"/>
        <v>37168.720000000001</v>
      </c>
      <c r="H35" s="27">
        <f t="shared" si="3"/>
        <v>58185.68</v>
      </c>
      <c r="I35" s="27">
        <f>SUM(B35:H35)</f>
        <v>1462914.4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247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248</v>
      </c>
      <c r="B38" s="26">
        <f>'Summary YTD 10.31.19'!B70</f>
        <v>6102.99</v>
      </c>
      <c r="C38" s="26">
        <f>'Summary YTD 10.31.19'!C70+'Comp YTD 2020-2019 '!C82</f>
        <v>0</v>
      </c>
      <c r="D38" s="26">
        <f>'Summary YTD 10.31.19'!D70</f>
        <v>711.54000000000008</v>
      </c>
      <c r="E38" s="26">
        <f>'Summary YTD 10.31.19'!E70</f>
        <v>0</v>
      </c>
      <c r="F38" s="26">
        <f>'Summary YTD 10.31.19'!F70</f>
        <v>1551.92</v>
      </c>
      <c r="G38" s="26">
        <f>'Summary YTD 10.31.19'!G70</f>
        <v>0</v>
      </c>
      <c r="H38" s="26">
        <f>'Summary YTD 10.31.19'!H70</f>
        <v>0</v>
      </c>
      <c r="I38" s="26">
        <f>SUM(B38:H38)</f>
        <v>8366.4500000000007</v>
      </c>
      <c r="L38" s="24"/>
    </row>
    <row r="39" spans="1:12" s="22" customFormat="1" ht="30" customHeight="1" x14ac:dyDescent="0.3">
      <c r="A39" s="22" t="s">
        <v>532</v>
      </c>
      <c r="B39" s="26">
        <v>0</v>
      </c>
      <c r="C39" s="26">
        <v>0</v>
      </c>
      <c r="D39" s="26">
        <v>0</v>
      </c>
      <c r="E39" s="26">
        <f>'Comp YTD 2020-2019 '!E83</f>
        <v>0</v>
      </c>
      <c r="F39" s="26">
        <v>0</v>
      </c>
      <c r="G39" s="26">
        <v>0</v>
      </c>
      <c r="H39" s="26">
        <v>0</v>
      </c>
      <c r="I39" s="26">
        <f>SUM(B39:H39)</f>
        <v>0</v>
      </c>
      <c r="L39" s="24"/>
    </row>
    <row r="40" spans="1:12" s="22" customFormat="1" ht="30" customHeight="1" x14ac:dyDescent="0.3">
      <c r="A40" s="22" t="s">
        <v>249</v>
      </c>
      <c r="B40" s="26">
        <f>'Summary YTD 10.31.19'!B73</f>
        <v>29321.519999999997</v>
      </c>
      <c r="C40" s="26">
        <f>'Summary YTD 10.31.19'!C73</f>
        <v>391.37</v>
      </c>
      <c r="D40" s="26">
        <f>'Summary YTD 10.31.19'!D73</f>
        <v>1097.3600000000001</v>
      </c>
      <c r="E40" s="26">
        <f>'Summary YTD 10.31.19'!E73</f>
        <v>7.8900000000000006</v>
      </c>
      <c r="F40" s="26">
        <f>'Summary YTD 10.31.19'!F73</f>
        <v>0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30818.139999999996</v>
      </c>
      <c r="L40" s="24"/>
    </row>
    <row r="41" spans="1:12" s="22" customFormat="1" ht="30" customHeight="1" x14ac:dyDescent="0.3">
      <c r="A41" s="22" t="s">
        <v>356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3386.15</v>
      </c>
      <c r="G41" s="26">
        <f>'Summary YTD 10.31.19'!G74</f>
        <v>0</v>
      </c>
      <c r="H41" s="26">
        <f>'Summary YTD 10.31.19'!H74</f>
        <v>0</v>
      </c>
      <c r="I41" s="26">
        <f t="shared" si="4"/>
        <v>3386.15</v>
      </c>
      <c r="L41" s="24"/>
    </row>
    <row r="42" spans="1:12" s="22" customFormat="1" ht="30" customHeight="1" x14ac:dyDescent="0.3">
      <c r="A42" s="22" t="s">
        <v>250</v>
      </c>
      <c r="B42" s="26">
        <f>'Summary YTD 10.31.19'!B75+'Summary YTD 10.31.19'!B71+'Comp YTD 2020-2019 '!B99</f>
        <v>7887.8099999999995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179.83</v>
      </c>
      <c r="G42" s="26">
        <f>'Summary YTD 10.31.19'!G75</f>
        <v>3443.72</v>
      </c>
      <c r="H42" s="26">
        <f>'Summary YTD 10.31.19'!H75</f>
        <v>0</v>
      </c>
      <c r="I42" s="26">
        <f t="shared" si="4"/>
        <v>11511.359999999999</v>
      </c>
      <c r="L42" s="24"/>
    </row>
    <row r="43" spans="1:12" s="22" customFormat="1" ht="30" customHeight="1" x14ac:dyDescent="0.3">
      <c r="A43" s="22" t="s">
        <v>450</v>
      </c>
      <c r="B43" s="26">
        <f>'Summary YTD 10.31.19'!B76+'Summary YTD 10.31.19'!B77+'Summary YTD 10.31.19'!B78+'Summary YTD 10.31.19'!B79+'Summary YTD 10.31.19'!B80</f>
        <v>141239.92000000001</v>
      </c>
      <c r="C43" s="26">
        <f>'Summary YTD 10.31.19'!C76+'Summary YTD 10.31.19'!C77+'Summary YTD 10.31.19'!C78+'Summary YTD 10.31.19'!C79+'Summary YTD 10.31.19'!C80</f>
        <v>21484.29</v>
      </c>
      <c r="D43" s="26">
        <f>'Summary YTD 10.31.19'!D76+'Summary YTD 10.31.19'!D77+'Summary YTD 10.31.19'!D78+'Summary YTD 10.31.19'!D79+'Summary YTD 10.31.19'!D80</f>
        <v>28499.989999999998</v>
      </c>
      <c r="E43" s="26">
        <f>'Summary YTD 10.31.19'!E76+'Summary YTD 10.31.19'!E77+'Summary YTD 10.31.19'!E78+'Summary YTD 10.31.19'!E79+'Summary YTD 10.31.19'!E80</f>
        <v>1000</v>
      </c>
      <c r="F43" s="26">
        <f>'Summary YTD 10.31.19'!F76+'Summary YTD 10.31.19'!F77+'Summary YTD 10.31.19'!F78+'Summary YTD 10.31.19'!F79+'Summary YTD 10.31.19'!F80</f>
        <v>5500</v>
      </c>
      <c r="G43" s="26">
        <f>'Summary YTD 10.31.19'!G76+'Summary YTD 10.31.19'!G77+'Summary YTD 10.31.19'!G78+'Summary YTD 10.31.19'!G79+'Summary YTD 10.31.19'!G80</f>
        <v>1000</v>
      </c>
      <c r="H43" s="26">
        <f>'Summary YTD 10.31.19'!H76+'Summary YTD 10.31.19'!H77+'Summary YTD 10.31.19'!H78+'Summary YTD 10.31.19'!H79+'Summary YTD 10.31.19'!H80</f>
        <v>1333.32</v>
      </c>
      <c r="I43" s="26">
        <f t="shared" si="4"/>
        <v>200057.52000000002</v>
      </c>
      <c r="L43" s="24"/>
    </row>
    <row r="44" spans="1:12" s="22" customFormat="1" ht="30" customHeight="1" x14ac:dyDescent="0.3">
      <c r="A44" s="22" t="s">
        <v>252</v>
      </c>
      <c r="B44" s="26">
        <f>'Summary YTD 10.31.19'!B81</f>
        <v>4296.8599999999997</v>
      </c>
      <c r="C44" s="26">
        <f>'Summary YTD 10.31.19'!C81</f>
        <v>0</v>
      </c>
      <c r="D44" s="26">
        <f>'Summary YTD 10.31.19'!D81</f>
        <v>0</v>
      </c>
      <c r="E44" s="26">
        <f>'Summary YTD 10.31.19'!E81</f>
        <v>0</v>
      </c>
      <c r="F44" s="26">
        <f>'Summary YTD 10.31.19'!F81</f>
        <v>2123.89</v>
      </c>
      <c r="G44" s="26">
        <f>'Summary YTD 10.31.19'!G81</f>
        <v>0</v>
      </c>
      <c r="H44" s="26">
        <f>'Summary YTD 10.31.19'!H81</f>
        <v>0</v>
      </c>
      <c r="I44" s="26">
        <f t="shared" si="4"/>
        <v>6420.75</v>
      </c>
      <c r="L44" s="24"/>
    </row>
    <row r="45" spans="1:12" s="22" customFormat="1" ht="30" customHeight="1" x14ac:dyDescent="0.3">
      <c r="A45" s="22" t="s">
        <v>253</v>
      </c>
      <c r="B45" s="26">
        <f>'Summary YTD 10.31.19'!B82</f>
        <v>3988</v>
      </c>
      <c r="C45" s="26">
        <f>'Summary YTD 10.31.19'!C82</f>
        <v>0</v>
      </c>
      <c r="D45" s="26">
        <f>'Summary YTD 10.31.19'!D82</f>
        <v>225</v>
      </c>
      <c r="E45" s="26">
        <f>'Summary YTD 10.31.19'!E82</f>
        <v>0</v>
      </c>
      <c r="F45" s="26">
        <f>'Summary YTD 10.31.19'!F82</f>
        <v>0</v>
      </c>
      <c r="G45" s="26">
        <f>'Summary YTD 10.31.19'!G82</f>
        <v>0</v>
      </c>
      <c r="H45" s="26">
        <f>'Summary YTD 10.31.19'!H82</f>
        <v>0</v>
      </c>
      <c r="I45" s="26">
        <f t="shared" si="4"/>
        <v>4213</v>
      </c>
      <c r="L45" s="24"/>
    </row>
    <row r="46" spans="1:12" s="22" customFormat="1" ht="30" customHeight="1" x14ac:dyDescent="0.3">
      <c r="A46" s="22" t="s">
        <v>254</v>
      </c>
      <c r="B46" s="26">
        <f>'Summary YTD 10.31.19'!B83</f>
        <v>2927.44</v>
      </c>
      <c r="C46" s="26">
        <f>'Summary YTD 10.31.19'!C83</f>
        <v>0</v>
      </c>
      <c r="D46" s="26">
        <f>'Summary YTD 10.31.19'!D83</f>
        <v>2205.44</v>
      </c>
      <c r="E46" s="26">
        <f>'Summary YTD 10.31.19'!E83</f>
        <v>0</v>
      </c>
      <c r="F46" s="26">
        <f>'Summary YTD 10.31.19'!F83</f>
        <v>0</v>
      </c>
      <c r="G46" s="26">
        <f>'Summary YTD 10.31.19'!G83</f>
        <v>0</v>
      </c>
      <c r="H46" s="26">
        <f>'Summary YTD 10.31.19'!H83</f>
        <v>0</v>
      </c>
      <c r="I46" s="26">
        <f t="shared" si="4"/>
        <v>5132.88</v>
      </c>
      <c r="L46" s="24"/>
    </row>
    <row r="47" spans="1:12" s="22" customFormat="1" ht="30" customHeight="1" x14ac:dyDescent="0.3">
      <c r="A47" s="22" t="s">
        <v>291</v>
      </c>
      <c r="B47" s="26">
        <f>'Summary YTD 10.31.19'!B84</f>
        <v>0</v>
      </c>
      <c r="C47" s="26">
        <f>'Summary YTD 10.31.19'!C84</f>
        <v>0</v>
      </c>
      <c r="D47" s="26">
        <f>'Summary YTD 10.31.19'!D84</f>
        <v>300</v>
      </c>
      <c r="E47" s="26">
        <f>'Summary YTD 10.31.19'!E84</f>
        <v>0</v>
      </c>
      <c r="F47" s="26">
        <f>'Summary YTD 10.31.19'!F84</f>
        <v>0</v>
      </c>
      <c r="G47" s="26">
        <f>'Summary YTD 10.31.19'!G84</f>
        <v>0</v>
      </c>
      <c r="H47" s="26">
        <f>'Summary YTD 10.31.19'!H84</f>
        <v>0</v>
      </c>
      <c r="I47" s="26">
        <f t="shared" si="4"/>
        <v>300</v>
      </c>
      <c r="L47" s="24"/>
    </row>
    <row r="48" spans="1:12" s="22" customFormat="1" ht="30" customHeight="1" x14ac:dyDescent="0.3">
      <c r="A48" s="22" t="s">
        <v>477</v>
      </c>
      <c r="B48" s="26">
        <f>'Summary YTD 10.31.19'!B85</f>
        <v>2479.3199999999997</v>
      </c>
      <c r="C48" s="26">
        <f>BPM!N67</f>
        <v>28.69</v>
      </c>
      <c r="D48" s="26">
        <v>0</v>
      </c>
      <c r="E48" s="26">
        <v>0</v>
      </c>
      <c r="F48" s="26">
        <f>'BSC (Dome)'!N66</f>
        <v>8438.91</v>
      </c>
      <c r="G48" s="26">
        <v>0</v>
      </c>
      <c r="H48" s="26">
        <f>'BSC (Dome)'!O66</f>
        <v>0</v>
      </c>
      <c r="I48" s="26">
        <f t="shared" si="4"/>
        <v>10946.92</v>
      </c>
      <c r="L48" s="24"/>
    </row>
    <row r="49" spans="1:12" s="22" customFormat="1" ht="30" customHeight="1" x14ac:dyDescent="0.3">
      <c r="A49" s="22" t="s">
        <v>406</v>
      </c>
      <c r="B49" s="26">
        <f>'Summary YTD 10.31.19'!B86+'Summary YTD 10.31.19'!B87</f>
        <v>17337.05</v>
      </c>
      <c r="C49" s="26">
        <f>'Summary YTD 10.31.19'!C86+'Summary YTD 10.31.19'!C87</f>
        <v>0</v>
      </c>
      <c r="D49" s="26">
        <f>'Summary YTD 10.31.19'!D86+'Summary YTD 10.31.19'!D87</f>
        <v>365.96</v>
      </c>
      <c r="E49" s="26">
        <f>'Summary YTD 10.31.19'!E86+'Summary YTD 10.31.19'!E87</f>
        <v>0</v>
      </c>
      <c r="F49" s="26">
        <f>'Summary YTD 10.31.19'!F86+'Summary YTD 10.31.19'!F87</f>
        <v>0</v>
      </c>
      <c r="G49" s="26">
        <f>'Summary YTD 10.31.19'!G86+'Summary YTD 10.31.19'!G87</f>
        <v>0</v>
      </c>
      <c r="H49" s="26">
        <f>'Summary YTD 10.31.19'!H86+'Summary YTD 10.31.19'!H87</f>
        <v>0</v>
      </c>
      <c r="I49" s="26">
        <f t="shared" si="4"/>
        <v>17703.009999999998</v>
      </c>
      <c r="L49" s="24"/>
    </row>
    <row r="50" spans="1:12" s="22" customFormat="1" ht="30" customHeight="1" x14ac:dyDescent="0.3">
      <c r="A50" s="22" t="s">
        <v>452</v>
      </c>
      <c r="B50" s="26">
        <f>'Summary YTD 10.31.19'!B89+'Summary YTD 10.31.19'!B90</f>
        <v>12133.25</v>
      </c>
      <c r="C50" s="26">
        <f>'Summary YTD 10.31.19'!C89+'Summary YTD 10.31.19'!C90</f>
        <v>0</v>
      </c>
      <c r="D50" s="26">
        <f>'Summary YTD 10.31.19'!D89+'Summary YTD 10.31.19'!D90</f>
        <v>746.21</v>
      </c>
      <c r="E50" s="26">
        <f>'Summary YTD 10.31.19'!E89+'Summary YTD 10.31.19'!E90</f>
        <v>0</v>
      </c>
      <c r="F50" s="26">
        <f>'Summary YTD 10.31.19'!F89+'Summary YTD 10.31.19'!F90</f>
        <v>0</v>
      </c>
      <c r="G50" s="26">
        <f>'Summary YTD 10.31.19'!G89+'Summary YTD 10.31.19'!G90</f>
        <v>0</v>
      </c>
      <c r="H50" s="26">
        <f>'Summary YTD 10.31.19'!H89+'Summary YTD 10.31.19'!H90</f>
        <v>0</v>
      </c>
      <c r="I50" s="26">
        <f t="shared" si="4"/>
        <v>12879.46</v>
      </c>
      <c r="L50" s="24"/>
    </row>
    <row r="51" spans="1:12" s="22" customFormat="1" ht="30" customHeight="1" x14ac:dyDescent="0.3">
      <c r="A51" s="25" t="s">
        <v>260</v>
      </c>
      <c r="B51" s="27">
        <f t="shared" ref="B51:H51" si="5">SUM(B38:B50)</f>
        <v>227714.15999999997</v>
      </c>
      <c r="C51" s="27">
        <f t="shared" si="5"/>
        <v>21904.35</v>
      </c>
      <c r="D51" s="27">
        <f t="shared" si="5"/>
        <v>34151.5</v>
      </c>
      <c r="E51" s="27">
        <f t="shared" si="5"/>
        <v>1007.89</v>
      </c>
      <c r="F51" s="27">
        <f t="shared" si="5"/>
        <v>21180.699999999997</v>
      </c>
      <c r="G51" s="27">
        <f t="shared" si="5"/>
        <v>4443.7199999999993</v>
      </c>
      <c r="H51" s="27">
        <f t="shared" si="5"/>
        <v>1333.32</v>
      </c>
      <c r="I51" s="27">
        <f>SUM(B51:H51)</f>
        <v>311735.64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261</v>
      </c>
      <c r="B53" s="28">
        <f t="shared" ref="B53:H53" si="6">B18+B35+B51</f>
        <v>5556342.4600000009</v>
      </c>
      <c r="C53" s="28">
        <f t="shared" si="6"/>
        <v>136124.30000000002</v>
      </c>
      <c r="D53" s="28">
        <f t="shared" si="6"/>
        <v>925938.99</v>
      </c>
      <c r="E53" s="28">
        <f t="shared" si="6"/>
        <v>1117.8899999999999</v>
      </c>
      <c r="F53" s="28">
        <f t="shared" si="6"/>
        <v>268685.63</v>
      </c>
      <c r="G53" s="28">
        <f>G18+G35+G51</f>
        <v>41612.44</v>
      </c>
      <c r="H53" s="28">
        <f t="shared" si="6"/>
        <v>59519</v>
      </c>
      <c r="I53" s="28">
        <f>SUM(B53:H53)</f>
        <v>6989340.7100000009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453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264</v>
      </c>
      <c r="B56" s="26">
        <f>'Summary YTD 10.31.19'!B96</f>
        <v>50000</v>
      </c>
      <c r="C56" s="26">
        <v>0</v>
      </c>
      <c r="D56" s="26">
        <f>DEP!N83</f>
        <v>50000</v>
      </c>
      <c r="E56" s="26">
        <v>0</v>
      </c>
      <c r="F56" s="26">
        <f>'BSC (Dome)'!N77+'BSC (Dome)'!N78</f>
        <v>21000</v>
      </c>
      <c r="G56" s="26">
        <f>'Summary YTD 10.31.19'!G96</f>
        <v>85800</v>
      </c>
      <c r="H56" s="26">
        <f>'722 Bedford St'!N22+'722 Bedford St'!N23</f>
        <v>130000</v>
      </c>
      <c r="I56" s="26">
        <f t="shared" ref="I56:I62" si="7">SUM(B56:H56)</f>
        <v>336800</v>
      </c>
      <c r="L56" s="24"/>
    </row>
    <row r="57" spans="1:12" s="22" customFormat="1" ht="30" customHeight="1" x14ac:dyDescent="0.3">
      <c r="A57" s="22" t="s">
        <v>269</v>
      </c>
      <c r="B57" s="26">
        <f>'Summary YTD 10.31.19'!B97+'Summary YTD 10.31.19'!B99+'Summary YTD 10.31.19'!B100+'Summary YTD 10.31.19'!B104+'Summary YTD 10.31.19'!B106+'Summary YTD 10.31.19'!B109+'Summary YTD 10.31.19'!B107+'Summary YTD 10.31.19'!B108+'Summary YTD 10.31.19'!B110</f>
        <v>216014.83</v>
      </c>
      <c r="C57" s="26">
        <v>0</v>
      </c>
      <c r="D57" s="26">
        <f>'Summary YTD 10.31.19'!D97+'Summary YTD 10.31.19'!D99+'Summary YTD 10.31.19'!D100+'Summary YTD 10.31.19'!D104+'Summary YTD 10.31.19'!D106+'Summary YTD 10.31.19'!D109</f>
        <v>6587.7199999999993</v>
      </c>
      <c r="E57" s="26">
        <f>'Summary YTD 10.31.19'!E97+'Summary YTD 10.31.19'!E99+'Summary YTD 10.31.19'!E100+'Summary YTD 10.31.19'!E104+'Summary YTD 10.31.19'!E106+'Summary YTD 10.31.19'!E109</f>
        <v>0</v>
      </c>
      <c r="F57" s="26">
        <f>'Summary YTD 10.31.19'!F97+'Summary YTD 10.31.19'!F99+'Summary YTD 10.31.19'!F100+'Summary YTD 10.31.19'!F104+'Summary YTD 10.31.19'!F106+'Summary YTD 10.31.19'!F109</f>
        <v>0</v>
      </c>
      <c r="G57" s="26">
        <f>'Summary YTD 10.31.19'!G104</f>
        <v>0</v>
      </c>
      <c r="H57" s="26">
        <f>'Comp YTD 2020-2019 '!H115</f>
        <v>0</v>
      </c>
      <c r="I57" s="26">
        <f t="shared" si="7"/>
        <v>222602.55</v>
      </c>
      <c r="L57" s="24"/>
    </row>
    <row r="58" spans="1:12" s="22" customFormat="1" ht="30" customHeight="1" x14ac:dyDescent="0.3">
      <c r="A58" s="22" t="s">
        <v>267</v>
      </c>
      <c r="B58" s="26">
        <f>'Summary YTD 10.31.19'!B101</f>
        <v>87335.18</v>
      </c>
      <c r="C58" s="26">
        <f>'Summary YTD 10.31.19'!C101</f>
        <v>1190</v>
      </c>
      <c r="D58" s="26">
        <f>'Summary YTD 10.31.19'!D101</f>
        <v>57475</v>
      </c>
      <c r="E58" s="26">
        <f>'Summary YTD 10.31.19'!E101</f>
        <v>22848.980000000003</v>
      </c>
      <c r="F58" s="26">
        <f>'Summary YTD 10.31.19'!F101</f>
        <v>2520.83</v>
      </c>
      <c r="G58" s="26">
        <f>'Summary YTD 10.31.19'!G101</f>
        <v>17940.059999999998</v>
      </c>
      <c r="H58" s="26">
        <f>'Comp YTD 2020-2019 '!H112</f>
        <v>7562.5</v>
      </c>
      <c r="I58" s="26">
        <f t="shared" si="7"/>
        <v>196872.55</v>
      </c>
      <c r="L58" s="24"/>
    </row>
    <row r="59" spans="1:12" s="22" customFormat="1" ht="30" customHeight="1" x14ac:dyDescent="0.3">
      <c r="A59" s="22" t="s">
        <v>268</v>
      </c>
      <c r="B59" s="26">
        <f>'Summary YTD 10.31.19'!B102</f>
        <v>-119592.64000000001</v>
      </c>
      <c r="C59" s="26">
        <f>'Summary YTD 10.31.19'!C102</f>
        <v>0</v>
      </c>
      <c r="D59" s="26">
        <f>'Summary YTD 10.31.19'!D102</f>
        <v>0</v>
      </c>
      <c r="E59" s="26">
        <f>'Summary YTD 10.31.19'!E102</f>
        <v>-5255.35</v>
      </c>
      <c r="F59" s="26">
        <f>'Summary YTD 10.31.19'!F102</f>
        <v>-37133.229999999996</v>
      </c>
      <c r="G59" s="26">
        <f>'Summary YTD 10.31.19'!G102</f>
        <v>0</v>
      </c>
      <c r="H59" s="26">
        <f>'Summary YTD 10.31.19'!H102</f>
        <v>0</v>
      </c>
      <c r="I59" s="26">
        <f t="shared" si="7"/>
        <v>-161981.22000000003</v>
      </c>
      <c r="L59" s="24"/>
    </row>
    <row r="60" spans="1:12" s="22" customFormat="1" ht="30" customHeight="1" x14ac:dyDescent="0.3">
      <c r="A60" s="22" t="s">
        <v>596</v>
      </c>
      <c r="B60" s="26">
        <f>'Summary YTD 10.31.19'!B103</f>
        <v>-363.79</v>
      </c>
      <c r="C60" s="26">
        <f>'Summary YTD 10.31.19'!C103</f>
        <v>0</v>
      </c>
      <c r="D60" s="26">
        <f>'Summary YTD 10.31.19'!D103</f>
        <v>0</v>
      </c>
      <c r="E60" s="26">
        <f>'Summary YTD 10.31.19'!E103</f>
        <v>0</v>
      </c>
      <c r="F60" s="26">
        <f>'Summary YTD 10.31.19'!F103</f>
        <v>0</v>
      </c>
      <c r="G60" s="26">
        <f>'Summary YTD 10.31.19'!G103</f>
        <v>0</v>
      </c>
      <c r="H60" s="26">
        <f>'Summary YTD 10.31.19'!H103</f>
        <v>0</v>
      </c>
      <c r="I60" s="26">
        <f t="shared" si="7"/>
        <v>-363.79</v>
      </c>
      <c r="L60" s="24"/>
    </row>
    <row r="61" spans="1:12" s="22" customFormat="1" ht="30" customHeight="1" x14ac:dyDescent="0.3">
      <c r="A61" s="22" t="s">
        <v>407</v>
      </c>
      <c r="B61" s="26">
        <v>0</v>
      </c>
      <c r="C61" s="26">
        <f>'Summary YTD 10.31.19'!C98+'Summary YTD 10.31.19'!C99</f>
        <v>-1408.25</v>
      </c>
      <c r="D61" s="26">
        <f>'Summary YTD 10.31.19'!D98</f>
        <v>0</v>
      </c>
      <c r="E61" s="26">
        <f>'Summary YTD 10.31.19'!E98+'Summary YTD 10.31.19'!E105</f>
        <v>0</v>
      </c>
      <c r="F61" s="26">
        <f>'Summary YTD 10.31.19'!F98</f>
        <v>0</v>
      </c>
      <c r="G61" s="26">
        <f>'Summary YTD 10.31.19'!G98</f>
        <v>0</v>
      </c>
      <c r="H61" s="26">
        <v>0</v>
      </c>
      <c r="I61" s="26">
        <f>SUM(B61:H61)</f>
        <v>-1408.25</v>
      </c>
      <c r="L61" s="24"/>
    </row>
    <row r="62" spans="1:12" s="22" customFormat="1" ht="30" customHeight="1" x14ac:dyDescent="0.3">
      <c r="A62" s="25" t="s">
        <v>454</v>
      </c>
      <c r="B62" s="27">
        <f>SUM(B56:B61)</f>
        <v>233393.57999999993</v>
      </c>
      <c r="C62" s="27">
        <f t="shared" ref="C62:H62" si="8">SUM(C56:C61)</f>
        <v>-218.25</v>
      </c>
      <c r="D62" s="27">
        <f t="shared" si="8"/>
        <v>114062.72</v>
      </c>
      <c r="E62" s="27">
        <f t="shared" si="8"/>
        <v>17593.630000000005</v>
      </c>
      <c r="F62" s="27">
        <f t="shared" si="8"/>
        <v>-13612.399999999994</v>
      </c>
      <c r="G62" s="27">
        <f t="shared" si="8"/>
        <v>103740.06</v>
      </c>
      <c r="H62" s="27">
        <f t="shared" si="8"/>
        <v>137562.5</v>
      </c>
      <c r="I62" s="27">
        <f t="shared" si="7"/>
        <v>592521.83999999985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263</v>
      </c>
      <c r="B64" s="29">
        <f t="shared" ref="B64:H64" si="9">B11-B53+B62</f>
        <v>17076332.529998414</v>
      </c>
      <c r="C64" s="29">
        <f t="shared" si="9"/>
        <v>9330.5899999987159</v>
      </c>
      <c r="D64" s="29">
        <f t="shared" si="9"/>
        <v>1209123.5100000002</v>
      </c>
      <c r="E64" s="29">
        <f t="shared" si="9"/>
        <v>16475.740000000005</v>
      </c>
      <c r="F64" s="29">
        <f t="shared" si="9"/>
        <v>653.60000000000582</v>
      </c>
      <c r="G64" s="29">
        <f t="shared" si="9"/>
        <v>62127.619999999995</v>
      </c>
      <c r="H64" s="29">
        <f t="shared" si="9"/>
        <v>78043.5</v>
      </c>
      <c r="I64" s="29">
        <f>SUM(B64:H64)</f>
        <v>18452087.089998417</v>
      </c>
      <c r="L64" s="24"/>
    </row>
    <row r="65" spans="1:9" ht="15.75" thickTop="1" x14ac:dyDescent="0.25">
      <c r="A65" t="s">
        <v>326</v>
      </c>
      <c r="B65" s="1">
        <f>CNT!N303</f>
        <v>17076332.530001219</v>
      </c>
      <c r="C65" s="1">
        <f>BPM!N90</f>
        <v>9330.5899999986868</v>
      </c>
      <c r="D65" s="1">
        <f>DEP!N88</f>
        <v>1209123.51</v>
      </c>
      <c r="E65" s="1">
        <f>Lending!N22</f>
        <v>16475.740000000005</v>
      </c>
      <c r="F65" s="1">
        <f>'BSC (Dome)'!N85</f>
        <v>653.60000000000218</v>
      </c>
      <c r="G65" s="1">
        <f>'Oliari Co.'!N33</f>
        <v>62127.619999999995</v>
      </c>
      <c r="H65" s="1">
        <f>'722 Bedford St'!N30</f>
        <v>78043.5</v>
      </c>
      <c r="I65" s="1">
        <f>SUM(B65:H65)</f>
        <v>18452087.090001222</v>
      </c>
    </row>
    <row r="66" spans="1:9" x14ac:dyDescent="0.25">
      <c r="C66" s="4">
        <f>C64-C65</f>
        <v>2.9103830456733704E-11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4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E92" sqref="E92"/>
      <selection pane="bottomLeft" activeCell="E92" sqref="E92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5" width="13" style="161" customWidth="1"/>
    <col min="6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247" t="s">
        <v>408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07"/>
    </row>
    <row r="2" spans="1:32" ht="21" x14ac:dyDescent="0.35">
      <c r="A2" s="247" t="s">
        <v>271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07"/>
    </row>
    <row r="3" spans="1:32" ht="21" x14ac:dyDescent="0.35">
      <c r="A3" s="247">
        <v>2020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245" t="s">
        <v>550</v>
      </c>
      <c r="Q4" s="245" t="s">
        <v>545</v>
      </c>
      <c r="R4" s="245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246"/>
      <c r="Q5" s="246"/>
      <c r="R5" s="246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582</v>
      </c>
      <c r="S9" s="190"/>
    </row>
    <row r="10" spans="1:32" s="161" customFormat="1" hidden="1" x14ac:dyDescent="0.25">
      <c r="A10" s="127" t="s">
        <v>586</v>
      </c>
      <c r="N10" s="161">
        <f>SUM(B10:M10)</f>
        <v>0</v>
      </c>
      <c r="S10" s="190"/>
    </row>
    <row r="11" spans="1:32" s="161" customFormat="1" x14ac:dyDescent="0.25">
      <c r="A11" s="127" t="s">
        <v>617</v>
      </c>
      <c r="B11" s="161">
        <v>0</v>
      </c>
      <c r="C11" s="161">
        <v>0</v>
      </c>
      <c r="D11" s="161">
        <v>161.63</v>
      </c>
      <c r="E11" s="161">
        <v>0</v>
      </c>
      <c r="N11" s="161">
        <f>SUM(B11:M11)</f>
        <v>161.63</v>
      </c>
      <c r="S11" s="190"/>
    </row>
    <row r="12" spans="1:32" s="161" customFormat="1" x14ac:dyDescent="0.25">
      <c r="A12" s="127" t="s">
        <v>583</v>
      </c>
      <c r="B12" s="161">
        <v>860.93</v>
      </c>
      <c r="C12" s="161">
        <v>860.93</v>
      </c>
      <c r="D12" s="161">
        <v>860.93</v>
      </c>
      <c r="E12" s="161">
        <v>860.93</v>
      </c>
      <c r="N12" s="161">
        <f>SUM(B12:M12)</f>
        <v>3443.72</v>
      </c>
      <c r="S12" s="190"/>
    </row>
    <row r="13" spans="1:32" s="161" customFormat="1" hidden="1" x14ac:dyDescent="0.25">
      <c r="A13" s="127" t="s">
        <v>349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289</v>
      </c>
      <c r="B14" s="161">
        <v>9253.2800000000007</v>
      </c>
      <c r="C14" s="161">
        <v>9251.27</v>
      </c>
      <c r="D14" s="161">
        <v>9251.27</v>
      </c>
      <c r="E14" s="161">
        <v>9251.27</v>
      </c>
      <c r="N14" s="161">
        <f>SUM(B14:M14)</f>
        <v>37007.090000000004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207</v>
      </c>
      <c r="B15" s="191">
        <f>SUM(B10:B14)</f>
        <v>10114.210000000001</v>
      </c>
      <c r="C15" s="191">
        <f>SUM(C10:C14)</f>
        <v>10112.200000000001</v>
      </c>
      <c r="D15" s="191">
        <f>SUM(D10:D14)</f>
        <v>10273.83</v>
      </c>
      <c r="E15" s="191">
        <f>SUM(E10:E14)</f>
        <v>10112.200000000001</v>
      </c>
      <c r="F15" s="191">
        <f>SUM(F10:F14)</f>
        <v>0</v>
      </c>
      <c r="G15" s="191">
        <f t="shared" ref="G15:M15" si="3">SUM(G10:G14)</f>
        <v>0</v>
      </c>
      <c r="H15" s="191">
        <f t="shared" si="3"/>
        <v>0</v>
      </c>
      <c r="I15" s="191">
        <f t="shared" si="3"/>
        <v>0</v>
      </c>
      <c r="J15" s="191">
        <f t="shared" si="3"/>
        <v>0</v>
      </c>
      <c r="K15" s="191">
        <f t="shared" si="3"/>
        <v>0</v>
      </c>
      <c r="L15" s="191">
        <f t="shared" si="3"/>
        <v>0</v>
      </c>
      <c r="M15" s="191">
        <f t="shared" si="3"/>
        <v>0</v>
      </c>
      <c r="N15" s="191">
        <f>SUM(N10:N14)</f>
        <v>40612.44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4">SUM(T13:T14)</f>
        <v>9251.27</v>
      </c>
      <c r="U15" s="191">
        <f t="shared" si="4"/>
        <v>9251.27</v>
      </c>
      <c r="V15" s="191">
        <f t="shared" si="4"/>
        <v>9251.27</v>
      </c>
      <c r="W15" s="191">
        <f t="shared" si="4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5">SUM(Z13:Z14)</f>
        <v>9251.27</v>
      </c>
      <c r="AA15" s="191">
        <f t="shared" si="5"/>
        <v>9251.27</v>
      </c>
      <c r="AB15" s="191">
        <f t="shared" si="5"/>
        <v>9251.27</v>
      </c>
      <c r="AC15" s="191">
        <f t="shared" si="5"/>
        <v>9251.27</v>
      </c>
      <c r="AD15" s="191">
        <f t="shared" si="5"/>
        <v>9249.27</v>
      </c>
      <c r="AE15" s="191">
        <f t="shared" si="4"/>
        <v>9251.2199999999993</v>
      </c>
      <c r="AF15" s="191">
        <f t="shared" si="4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290</v>
      </c>
      <c r="P17" s="161">
        <f t="shared" si="0"/>
        <v>0</v>
      </c>
      <c r="S17" s="190"/>
    </row>
    <row r="18" spans="1:32" s="161" customFormat="1" x14ac:dyDescent="0.25">
      <c r="A18" s="127" t="s">
        <v>353</v>
      </c>
      <c r="B18" s="161">
        <v>250</v>
      </c>
      <c r="C18" s="161">
        <v>250</v>
      </c>
      <c r="D18" s="161">
        <v>250</v>
      </c>
      <c r="E18" s="161">
        <v>250</v>
      </c>
      <c r="N18" s="161">
        <f>SUM(B18:M18)</f>
        <v>1000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6">SUM(B18:B18)</f>
        <v>250</v>
      </c>
      <c r="C19" s="191">
        <f t="shared" si="6"/>
        <v>250</v>
      </c>
      <c r="D19" s="191">
        <f t="shared" si="6"/>
        <v>250</v>
      </c>
      <c r="E19" s="191">
        <f t="shared" si="6"/>
        <v>250</v>
      </c>
      <c r="F19" s="191">
        <f>SUM(F18:F18)</f>
        <v>0</v>
      </c>
      <c r="G19" s="191">
        <f>SUM(G18:G18)</f>
        <v>0</v>
      </c>
      <c r="H19" s="191">
        <f t="shared" ref="H19:L19" si="7">SUM(H18:H18)</f>
        <v>0</v>
      </c>
      <c r="I19" s="191">
        <f t="shared" si="7"/>
        <v>0</v>
      </c>
      <c r="J19" s="191">
        <f t="shared" si="7"/>
        <v>0</v>
      </c>
      <c r="K19" s="191">
        <f t="shared" si="7"/>
        <v>0</v>
      </c>
      <c r="L19" s="191">
        <f t="shared" si="7"/>
        <v>0</v>
      </c>
      <c r="M19" s="191">
        <f t="shared" si="6"/>
        <v>0</v>
      </c>
      <c r="N19" s="191">
        <f t="shared" si="6"/>
        <v>1000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8">SUM(T18:T18)</f>
        <v>265</v>
      </c>
      <c r="U19" s="191">
        <f t="shared" si="8"/>
        <v>265</v>
      </c>
      <c r="V19" s="191">
        <f t="shared" si="8"/>
        <v>265</v>
      </c>
      <c r="W19" s="191">
        <f t="shared" si="8"/>
        <v>265</v>
      </c>
      <c r="X19" s="191">
        <f>SUM(X18:X18)</f>
        <v>265</v>
      </c>
      <c r="Y19" s="191">
        <f>SUM(Y18:Y18)</f>
        <v>265</v>
      </c>
      <c r="Z19" s="191">
        <f t="shared" ref="Z19:AD19" si="9">SUM(Z18:Z18)</f>
        <v>530</v>
      </c>
      <c r="AA19" s="191">
        <f t="shared" si="9"/>
        <v>265</v>
      </c>
      <c r="AB19" s="191">
        <f t="shared" si="9"/>
        <v>265</v>
      </c>
      <c r="AC19" s="191">
        <f t="shared" si="9"/>
        <v>265</v>
      </c>
      <c r="AD19" s="191">
        <f t="shared" si="9"/>
        <v>265</v>
      </c>
      <c r="AE19" s="191">
        <f t="shared" si="8"/>
        <v>265</v>
      </c>
      <c r="AF19" s="191">
        <f t="shared" si="8"/>
        <v>3445</v>
      </c>
    </row>
    <row r="20" spans="1:32" s="161" customFormat="1" x14ac:dyDescent="0.25">
      <c r="A20" s="127" t="s">
        <v>242</v>
      </c>
      <c r="S20" s="190"/>
    </row>
    <row r="21" spans="1:32" s="161" customFormat="1" ht="15.75" thickBot="1" x14ac:dyDescent="0.3">
      <c r="A21" s="128" t="s">
        <v>207</v>
      </c>
      <c r="B21" s="192">
        <f t="shared" ref="B21:N21" si="10">B15+B19</f>
        <v>10364.210000000001</v>
      </c>
      <c r="C21" s="192">
        <f t="shared" si="10"/>
        <v>10362.200000000001</v>
      </c>
      <c r="D21" s="192">
        <f t="shared" si="10"/>
        <v>10523.83</v>
      </c>
      <c r="E21" s="192">
        <f t="shared" si="10"/>
        <v>10362.200000000001</v>
      </c>
      <c r="F21" s="192">
        <f>F15+F19</f>
        <v>0</v>
      </c>
      <c r="G21" s="192">
        <f>G15+G19</f>
        <v>0</v>
      </c>
      <c r="H21" s="192">
        <f t="shared" ref="H21:L21" si="11">H15+H19</f>
        <v>0</v>
      </c>
      <c r="I21" s="192">
        <f t="shared" si="11"/>
        <v>0</v>
      </c>
      <c r="J21" s="192">
        <f t="shared" si="11"/>
        <v>0</v>
      </c>
      <c r="K21" s="192">
        <f t="shared" si="11"/>
        <v>0</v>
      </c>
      <c r="L21" s="192">
        <f t="shared" si="11"/>
        <v>0</v>
      </c>
      <c r="M21" s="192">
        <f t="shared" si="10"/>
        <v>0</v>
      </c>
      <c r="N21" s="192">
        <f t="shared" si="10"/>
        <v>41612.44</v>
      </c>
      <c r="P21" s="192">
        <f>P15+P19</f>
        <v>86233.642500000016</v>
      </c>
      <c r="Q21" s="192">
        <f t="shared" ref="Q21:R21" si="12">Q15+Q19</f>
        <v>114978.19000000003</v>
      </c>
      <c r="R21" s="192">
        <f t="shared" si="12"/>
        <v>114978.19000000003</v>
      </c>
      <c r="S21" s="190">
        <f>R21-AF21</f>
        <v>0</v>
      </c>
      <c r="T21" s="192">
        <f t="shared" ref="T21:AF21" si="13">T15+T19</f>
        <v>9516.27</v>
      </c>
      <c r="U21" s="192">
        <f t="shared" si="13"/>
        <v>9516.27</v>
      </c>
      <c r="V21" s="192">
        <f t="shared" si="13"/>
        <v>9516.27</v>
      </c>
      <c r="W21" s="192">
        <f t="shared" si="13"/>
        <v>10036.27</v>
      </c>
      <c r="X21" s="192">
        <f>X15+X19</f>
        <v>9516.27</v>
      </c>
      <c r="Y21" s="192">
        <f>Y15+Y19</f>
        <v>9516.27</v>
      </c>
      <c r="Z21" s="192">
        <f t="shared" ref="Z21:AD21" si="14">Z15+Z19</f>
        <v>9781.27</v>
      </c>
      <c r="AA21" s="192">
        <f t="shared" si="14"/>
        <v>9516.27</v>
      </c>
      <c r="AB21" s="192">
        <f t="shared" si="14"/>
        <v>9516.27</v>
      </c>
      <c r="AC21" s="192">
        <f t="shared" si="14"/>
        <v>9516.27</v>
      </c>
      <c r="AD21" s="192">
        <f t="shared" si="14"/>
        <v>9514.27</v>
      </c>
      <c r="AE21" s="192">
        <f t="shared" si="13"/>
        <v>9516.2199999999993</v>
      </c>
      <c r="AF21" s="192">
        <f t="shared" si="13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294</v>
      </c>
      <c r="P23" s="161">
        <f t="shared" ref="P23:P30" si="15">Q23/12*$P$6</f>
        <v>0</v>
      </c>
      <c r="S23" s="190"/>
    </row>
    <row r="24" spans="1:32" s="161" customFormat="1" x14ac:dyDescent="0.25">
      <c r="A24" s="127" t="s">
        <v>358</v>
      </c>
      <c r="B24" s="161">
        <v>16700</v>
      </c>
      <c r="C24" s="161">
        <v>16700</v>
      </c>
      <c r="D24" s="161">
        <v>16700</v>
      </c>
      <c r="E24" s="161">
        <v>16700</v>
      </c>
      <c r="N24" s="161">
        <f t="shared" ref="N24:N30" si="16">SUM(B24:M24)</f>
        <v>66800</v>
      </c>
      <c r="P24" s="161">
        <f t="shared" si="15"/>
        <v>150300</v>
      </c>
      <c r="Q24" s="161">
        <f t="shared" ref="Q24:Q30" si="17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8">SUM(T24:AE24)</f>
        <v>200400</v>
      </c>
    </row>
    <row r="25" spans="1:32" s="161" customFormat="1" x14ac:dyDescent="0.25">
      <c r="A25" s="127" t="s">
        <v>399</v>
      </c>
      <c r="B25" s="161">
        <v>1000</v>
      </c>
      <c r="C25" s="161">
        <v>1000</v>
      </c>
      <c r="D25" s="161">
        <v>1000</v>
      </c>
      <c r="E25" s="161">
        <v>1000</v>
      </c>
      <c r="N25" s="161">
        <f t="shared" si="16"/>
        <v>4000</v>
      </c>
      <c r="P25" s="161">
        <f t="shared" si="15"/>
        <v>9000</v>
      </c>
      <c r="Q25" s="161">
        <f t="shared" si="17"/>
        <v>12000</v>
      </c>
      <c r="R25" s="161">
        <f t="shared" ref="R25:R30" si="19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8"/>
        <v>12000</v>
      </c>
    </row>
    <row r="26" spans="1:32" s="161" customFormat="1" x14ac:dyDescent="0.25">
      <c r="A26" s="127" t="s">
        <v>472</v>
      </c>
      <c r="B26" s="161">
        <v>5000</v>
      </c>
      <c r="C26" s="161">
        <v>5000</v>
      </c>
      <c r="D26" s="161">
        <v>5000</v>
      </c>
      <c r="E26" s="161">
        <v>0</v>
      </c>
      <c r="N26" s="161">
        <f t="shared" si="16"/>
        <v>15000</v>
      </c>
      <c r="P26" s="161">
        <f t="shared" si="15"/>
        <v>45000</v>
      </c>
      <c r="Q26" s="161">
        <f t="shared" si="17"/>
        <v>60000</v>
      </c>
      <c r="R26" s="161">
        <f t="shared" si="19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8"/>
        <v>60000</v>
      </c>
    </row>
    <row r="27" spans="1:32" s="161" customFormat="1" hidden="1" x14ac:dyDescent="0.25">
      <c r="A27" s="127" t="s">
        <v>575</v>
      </c>
      <c r="N27" s="161">
        <f t="shared" si="16"/>
        <v>0</v>
      </c>
      <c r="P27" s="161">
        <f t="shared" si="15"/>
        <v>0</v>
      </c>
      <c r="Q27" s="161">
        <f t="shared" si="17"/>
        <v>0</v>
      </c>
      <c r="R27" s="161">
        <f t="shared" si="19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8"/>
        <v>0</v>
      </c>
    </row>
    <row r="28" spans="1:32" s="161" customFormat="1" hidden="1" x14ac:dyDescent="0.25">
      <c r="A28" s="127" t="s">
        <v>479</v>
      </c>
      <c r="N28" s="161">
        <f t="shared" si="16"/>
        <v>0</v>
      </c>
      <c r="P28" s="161">
        <f t="shared" si="15"/>
        <v>0.75750000000000006</v>
      </c>
      <c r="Q28" s="161">
        <f t="shared" si="17"/>
        <v>1.01</v>
      </c>
      <c r="R28" s="161">
        <f t="shared" si="19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8"/>
        <v>1.01</v>
      </c>
    </row>
    <row r="29" spans="1:32" s="161" customFormat="1" x14ac:dyDescent="0.25">
      <c r="A29" s="127" t="s">
        <v>267</v>
      </c>
      <c r="B29" s="161">
        <v>4544.66</v>
      </c>
      <c r="C29" s="161">
        <v>4442.43</v>
      </c>
      <c r="D29" s="161">
        <v>4506.82</v>
      </c>
      <c r="E29" s="161">
        <v>4446.1499999999996</v>
      </c>
      <c r="N29" s="161">
        <f t="shared" si="16"/>
        <v>17940.059999999998</v>
      </c>
      <c r="P29" s="161">
        <f t="shared" si="15"/>
        <v>32758.110000000004</v>
      </c>
      <c r="Q29" s="161">
        <f t="shared" si="17"/>
        <v>43677.48</v>
      </c>
      <c r="R29" s="161">
        <f t="shared" si="19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8"/>
        <v>43677.48</v>
      </c>
    </row>
    <row r="30" spans="1:32" s="161" customFormat="1" hidden="1" x14ac:dyDescent="0.25">
      <c r="A30" s="127" t="s">
        <v>268</v>
      </c>
      <c r="N30" s="161">
        <f t="shared" si="16"/>
        <v>0</v>
      </c>
      <c r="P30" s="161">
        <f t="shared" si="15"/>
        <v>-7748.3700000000017</v>
      </c>
      <c r="Q30" s="161">
        <f t="shared" si="17"/>
        <v>-10331.160000000002</v>
      </c>
      <c r="R30" s="161">
        <f t="shared" si="19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8"/>
        <v>-10331.160000000002</v>
      </c>
    </row>
    <row r="31" spans="1:32" s="161" customFormat="1" x14ac:dyDescent="0.25">
      <c r="A31" s="128" t="s">
        <v>296</v>
      </c>
      <c r="B31" s="191">
        <f t="shared" ref="B31:M31" si="20">SUM(B24:B30)</f>
        <v>27244.66</v>
      </c>
      <c r="C31" s="191">
        <f>SUM(C24:C30)</f>
        <v>27142.43</v>
      </c>
      <c r="D31" s="191">
        <f t="shared" si="20"/>
        <v>27206.82</v>
      </c>
      <c r="E31" s="191">
        <f t="shared" si="20"/>
        <v>22146.15</v>
      </c>
      <c r="F31" s="191">
        <f>SUM(F24:F30)</f>
        <v>0</v>
      </c>
      <c r="G31" s="191">
        <f>SUM(G24:G30)</f>
        <v>0</v>
      </c>
      <c r="H31" s="191">
        <f t="shared" ref="H31:L31" si="21">SUM(H24:H30)</f>
        <v>0</v>
      </c>
      <c r="I31" s="191">
        <f t="shared" si="21"/>
        <v>0</v>
      </c>
      <c r="J31" s="191">
        <f t="shared" si="21"/>
        <v>0</v>
      </c>
      <c r="K31" s="191">
        <f t="shared" si="21"/>
        <v>0</v>
      </c>
      <c r="L31" s="191">
        <f t="shared" si="21"/>
        <v>0</v>
      </c>
      <c r="M31" s="191">
        <f t="shared" si="20"/>
        <v>0</v>
      </c>
      <c r="N31" s="191">
        <f>SUM(N24:N30)</f>
        <v>103740.06</v>
      </c>
      <c r="P31" s="191">
        <f t="shared" ref="P31:Q31" si="22">SUM(P24:P30)</f>
        <v>229310.49750000003</v>
      </c>
      <c r="Q31" s="191">
        <f t="shared" si="22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3">SUM(T24:T30)</f>
        <v>20531.109999999997</v>
      </c>
      <c r="U31" s="191">
        <f t="shared" si="23"/>
        <v>20512.43</v>
      </c>
      <c r="V31" s="191">
        <f t="shared" si="23"/>
        <v>20494.7</v>
      </c>
      <c r="W31" s="191">
        <f t="shared" si="23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4">SUM(Z24:Z30)</f>
        <v>20423.309999999998</v>
      </c>
      <c r="AA31" s="191">
        <f t="shared" si="24"/>
        <v>20405.34</v>
      </c>
      <c r="AB31" s="191">
        <f t="shared" si="24"/>
        <v>65387.32</v>
      </c>
      <c r="AC31" s="191">
        <f t="shared" si="24"/>
        <v>25508.14</v>
      </c>
      <c r="AD31" s="191">
        <f t="shared" si="24"/>
        <v>25559.46</v>
      </c>
      <c r="AE31" s="191">
        <f t="shared" si="23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297</v>
      </c>
      <c r="B33" s="194">
        <f>B31-B21</f>
        <v>16880.449999999997</v>
      </c>
      <c r="C33" s="194">
        <f t="shared" ref="C33:M33" si="25">C31-C21</f>
        <v>16780.23</v>
      </c>
      <c r="D33" s="194">
        <f t="shared" si="25"/>
        <v>16682.989999999998</v>
      </c>
      <c r="E33" s="194">
        <f t="shared" si="25"/>
        <v>11783.95</v>
      </c>
      <c r="F33" s="194">
        <f>F31-F21</f>
        <v>0</v>
      </c>
      <c r="G33" s="194">
        <f>G31-G21</f>
        <v>0</v>
      </c>
      <c r="H33" s="194">
        <f t="shared" ref="H33:L33" si="26">H31-H21</f>
        <v>0</v>
      </c>
      <c r="I33" s="194">
        <f t="shared" si="26"/>
        <v>0</v>
      </c>
      <c r="J33" s="194">
        <f t="shared" si="26"/>
        <v>0</v>
      </c>
      <c r="K33" s="194">
        <f t="shared" si="26"/>
        <v>0</v>
      </c>
      <c r="L33" s="194">
        <f t="shared" si="26"/>
        <v>0</v>
      </c>
      <c r="M33" s="194">
        <f t="shared" si="25"/>
        <v>0</v>
      </c>
      <c r="N33" s="194">
        <f>N31-N21</f>
        <v>62127.619999999995</v>
      </c>
      <c r="P33" s="194">
        <f>P31-P21</f>
        <v>143076.85500000001</v>
      </c>
      <c r="Q33" s="194">
        <f t="shared" ref="Q33" si="27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8">U31-U21</f>
        <v>10996.16</v>
      </c>
      <c r="V33" s="194">
        <f t="shared" si="28"/>
        <v>10978.43</v>
      </c>
      <c r="W33" s="194">
        <f t="shared" si="28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29">Z31-Z21</f>
        <v>10642.039999999997</v>
      </c>
      <c r="AA33" s="194">
        <f t="shared" si="29"/>
        <v>10889.07</v>
      </c>
      <c r="AB33" s="194">
        <f t="shared" si="29"/>
        <v>55871.05</v>
      </c>
      <c r="AC33" s="194">
        <f t="shared" si="29"/>
        <v>15991.869999999999</v>
      </c>
      <c r="AD33" s="194">
        <f t="shared" si="29"/>
        <v>16045.189999999999</v>
      </c>
      <c r="AE33" s="194">
        <f t="shared" si="28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2" fitToHeight="0" orientation="portrait" r:id="rId1"/>
  <headerFoot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E92" sqref="E92"/>
      <selection pane="bottomLeft" activeCell="E92" sqref="E92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5" width="13" style="161" customWidth="1"/>
    <col min="6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247" t="s">
        <v>409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33" ht="21" x14ac:dyDescent="0.35">
      <c r="A2" s="247" t="s">
        <v>271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33" ht="21" x14ac:dyDescent="0.35">
      <c r="A3" s="247">
        <v>2020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5" t="s">
        <v>550</v>
      </c>
      <c r="Q4" s="245" t="s">
        <v>545</v>
      </c>
      <c r="R4" s="245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6"/>
      <c r="Q5" s="246"/>
      <c r="R5" s="24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D10" s="161">
        <v>0</v>
      </c>
      <c r="E10" s="161">
        <v>0</v>
      </c>
      <c r="N10" s="161">
        <f>SUM(B10:M10)</f>
        <v>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D11" s="161">
        <v>14546.42</v>
      </c>
      <c r="E11" s="161">
        <v>14546.42</v>
      </c>
      <c r="N11" s="161">
        <f>SUM(B11:M11)</f>
        <v>58185.68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14546.42</v>
      </c>
      <c r="E12" s="191">
        <f t="shared" si="4"/>
        <v>14546.42</v>
      </c>
      <c r="F12" s="191">
        <f>SUM(F10:F11)</f>
        <v>0</v>
      </c>
      <c r="G12" s="191">
        <f>SUM(G10:G11)</f>
        <v>0</v>
      </c>
      <c r="H12" s="191">
        <f t="shared" ref="H12:L12" si="5">SUM(H10:H11)</f>
        <v>0</v>
      </c>
      <c r="I12" s="191">
        <f t="shared" si="5"/>
        <v>0</v>
      </c>
      <c r="J12" s="191">
        <f t="shared" si="5"/>
        <v>0</v>
      </c>
      <c r="K12" s="191">
        <f t="shared" si="5"/>
        <v>0</v>
      </c>
      <c r="L12" s="191">
        <f t="shared" si="5"/>
        <v>0</v>
      </c>
      <c r="M12" s="191">
        <f t="shared" si="4"/>
        <v>0</v>
      </c>
      <c r="N12" s="191">
        <f t="shared" si="4"/>
        <v>58185.68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D15" s="161">
        <v>333.33</v>
      </c>
      <c r="E15" s="161">
        <v>333.33</v>
      </c>
      <c r="N15" s="161">
        <f>SUM(B15:M15)</f>
        <v>1333.32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333.33</v>
      </c>
      <c r="F17" s="191">
        <f t="shared" si="9"/>
        <v>0</v>
      </c>
      <c r="G17" s="191">
        <f t="shared" si="9"/>
        <v>0</v>
      </c>
      <c r="H17" s="191">
        <f t="shared" si="9"/>
        <v>0</v>
      </c>
      <c r="I17" s="191">
        <f t="shared" si="9"/>
        <v>0</v>
      </c>
      <c r="J17" s="191">
        <f t="shared" si="9"/>
        <v>0</v>
      </c>
      <c r="K17" s="191">
        <f t="shared" si="9"/>
        <v>0</v>
      </c>
      <c r="L17" s="191">
        <f t="shared" si="9"/>
        <v>0</v>
      </c>
      <c r="M17" s="191">
        <f t="shared" si="9"/>
        <v>0</v>
      </c>
      <c r="N17" s="191">
        <f t="shared" si="9"/>
        <v>1333.32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14879.75</v>
      </c>
      <c r="E19" s="192">
        <f t="shared" si="13"/>
        <v>14879.75</v>
      </c>
      <c r="F19" s="192">
        <f t="shared" si="13"/>
        <v>0</v>
      </c>
      <c r="G19" s="192">
        <f t="shared" si="13"/>
        <v>0</v>
      </c>
      <c r="H19" s="192">
        <f t="shared" si="13"/>
        <v>0</v>
      </c>
      <c r="I19" s="192">
        <f t="shared" si="13"/>
        <v>0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59519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D22" s="161">
        <v>25000</v>
      </c>
      <c r="E22" s="161">
        <v>25000</v>
      </c>
      <c r="N22" s="161">
        <f t="shared" ref="N22:N27" si="17">SUM(B22:M22)</f>
        <v>100000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D23" s="161">
        <v>7500</v>
      </c>
      <c r="E23" s="161">
        <v>7500</v>
      </c>
      <c r="N23" s="161">
        <f t="shared" si="17"/>
        <v>30000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479</v>
      </c>
      <c r="B24" s="161">
        <v>0</v>
      </c>
      <c r="C24" s="161">
        <v>0</v>
      </c>
      <c r="D24" s="161">
        <v>0</v>
      </c>
      <c r="E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589</v>
      </c>
      <c r="B25" s="161">
        <v>0</v>
      </c>
      <c r="C25" s="161">
        <v>0</v>
      </c>
      <c r="D25" s="161">
        <v>0</v>
      </c>
      <c r="E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D26" s="161">
        <v>1937.5</v>
      </c>
      <c r="E26" s="161">
        <v>1875</v>
      </c>
      <c r="N26" s="161">
        <f t="shared" si="17"/>
        <v>7562.5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hidden="1" x14ac:dyDescent="0.25">
      <c r="A27" s="127" t="s">
        <v>268</v>
      </c>
      <c r="B27" s="161">
        <v>0</v>
      </c>
      <c r="C27" s="161">
        <v>0</v>
      </c>
      <c r="D27" s="161">
        <v>0</v>
      </c>
      <c r="E27" s="161">
        <v>0</v>
      </c>
      <c r="N27" s="206">
        <f t="shared" si="17"/>
        <v>0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34437.5</v>
      </c>
      <c r="E28" s="191">
        <f t="shared" si="21"/>
        <v>34375</v>
      </c>
      <c r="F28" s="191">
        <f>SUM(F22:F27)</f>
        <v>0</v>
      </c>
      <c r="G28" s="191">
        <f>SUM(G22:G27)</f>
        <v>0</v>
      </c>
      <c r="H28" s="191">
        <f t="shared" ref="H28:L28" si="22">SUM(H22:H27)</f>
        <v>0</v>
      </c>
      <c r="I28" s="191">
        <f t="shared" si="22"/>
        <v>0</v>
      </c>
      <c r="J28" s="191">
        <f t="shared" si="22"/>
        <v>0</v>
      </c>
      <c r="K28" s="191">
        <f t="shared" si="22"/>
        <v>0</v>
      </c>
      <c r="L28" s="191">
        <f t="shared" si="22"/>
        <v>0</v>
      </c>
      <c r="M28" s="191">
        <f t="shared" si="21"/>
        <v>0</v>
      </c>
      <c r="N28" s="191">
        <f>SUM(N22:N27)</f>
        <v>137562.5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19557.75</v>
      </c>
      <c r="E30" s="194">
        <f t="shared" si="25"/>
        <v>19495.25</v>
      </c>
      <c r="F30" s="194">
        <f>F28-F19</f>
        <v>0</v>
      </c>
      <c r="G30" s="194">
        <f>G28-G19</f>
        <v>0</v>
      </c>
      <c r="H30" s="194">
        <f t="shared" ref="H30:L30" si="26">H28-H19</f>
        <v>0</v>
      </c>
      <c r="I30" s="194">
        <f t="shared" si="26"/>
        <v>0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78043.5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2"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AG308"/>
  <sheetViews>
    <sheetView view="pageBreakPreview" zoomScale="60" zoomScaleNormal="90" workbookViewId="0">
      <pane xSplit="1" ySplit="4" topLeftCell="B260" activePane="bottomRight" state="frozen"/>
      <selection activeCell="E92" sqref="E92"/>
      <selection pane="topRight" activeCell="E92" sqref="E92"/>
      <selection pane="bottomLeft" activeCell="E92" sqref="E92"/>
      <selection pane="bottomRight" activeCell="E92" sqref="E92"/>
    </sheetView>
  </sheetViews>
  <sheetFormatPr defaultColWidth="9.140625" defaultRowHeight="15" x14ac:dyDescent="0.25"/>
  <cols>
    <col min="1" max="1" width="67.140625" style="130" customWidth="1"/>
    <col min="2" max="2" width="24.140625" style="139" bestFit="1" customWidth="1"/>
    <col min="3" max="3" width="24" style="130" customWidth="1"/>
    <col min="4" max="4" width="24.28515625" style="130" customWidth="1"/>
    <col min="5" max="5" width="25.140625" style="130" customWidth="1"/>
    <col min="6" max="6" width="25.140625" style="130" hidden="1" customWidth="1"/>
    <col min="7" max="7" width="24" style="130" hidden="1" customWidth="1"/>
    <col min="8" max="9" width="23.42578125" style="130" hidden="1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611</v>
      </c>
      <c r="P1" s="245" t="s">
        <v>544</v>
      </c>
      <c r="Q1" s="245" t="s">
        <v>545</v>
      </c>
    </row>
    <row r="2" spans="1:33" ht="19.5" thickBot="1" x14ac:dyDescent="0.35">
      <c r="A2" s="129"/>
      <c r="I2" s="130">
        <v>0</v>
      </c>
      <c r="P2" s="246"/>
      <c r="Q2" s="246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612</v>
      </c>
      <c r="O3" s="141"/>
      <c r="P3" s="141">
        <v>9</v>
      </c>
      <c r="Q3" s="141"/>
      <c r="R3" s="141" t="s">
        <v>543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B110+B122</f>
        <v>144937480.56</v>
      </c>
      <c r="C5" s="139">
        <f t="shared" si="0"/>
        <v>322692567.95999998</v>
      </c>
      <c r="D5" s="139">
        <f t="shared" ref="D5:E5" si="1">D110+D122</f>
        <v>271789007.60000002</v>
      </c>
      <c r="E5" s="139">
        <f t="shared" si="1"/>
        <v>357871303.03000003</v>
      </c>
      <c r="F5" s="139">
        <f t="shared" ref="F5:M5" si="2">F110+F122</f>
        <v>0</v>
      </c>
      <c r="G5" s="139">
        <f t="shared" si="2"/>
        <v>0</v>
      </c>
      <c r="H5" s="139">
        <f t="shared" si="2"/>
        <v>0</v>
      </c>
      <c r="I5" s="139">
        <f t="shared" si="2"/>
        <v>0</v>
      </c>
      <c r="J5" s="139">
        <f t="shared" si="2"/>
        <v>0</v>
      </c>
      <c r="K5" s="139">
        <f t="shared" si="2"/>
        <v>0</v>
      </c>
      <c r="L5" s="139">
        <f t="shared" si="2"/>
        <v>0</v>
      </c>
      <c r="M5" s="139">
        <f t="shared" si="2"/>
        <v>0</v>
      </c>
      <c r="N5" s="139">
        <f>SUM(B5:M5)</f>
        <v>1097290359.1500001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3">+T110+T122</f>
        <v>154563428.67000002</v>
      </c>
      <c r="U5" s="168">
        <f t="shared" si="3"/>
        <v>109601727.78999999</v>
      </c>
      <c r="V5" s="168">
        <f t="shared" si="3"/>
        <v>101069868.19</v>
      </c>
      <c r="W5" s="168">
        <f t="shared" si="3"/>
        <v>92671539.059999987</v>
      </c>
      <c r="X5" s="168">
        <f t="shared" si="3"/>
        <v>94258757.019999996</v>
      </c>
      <c r="Y5" s="168">
        <f t="shared" ref="Y5:AE8" si="4">Y110+Y122</f>
        <v>92781088.61999999</v>
      </c>
      <c r="Z5" s="168">
        <f t="shared" si="4"/>
        <v>122616849.06</v>
      </c>
      <c r="AA5" s="168">
        <f t="shared" si="4"/>
        <v>126398264.86999999</v>
      </c>
      <c r="AB5" s="168">
        <f t="shared" si="4"/>
        <v>93678610.930000007</v>
      </c>
      <c r="AC5" s="168">
        <f t="shared" si="4"/>
        <v>83905128.570000008</v>
      </c>
      <c r="AD5" s="168">
        <f t="shared" si="4"/>
        <v>78681236.390000001</v>
      </c>
      <c r="AE5" s="168">
        <f t="shared" si="4"/>
        <v>58555297.399999999</v>
      </c>
      <c r="AF5" s="139">
        <f t="shared" ref="AF5:AF76" si="5">(N5-M5)/11</f>
        <v>99753669.013636366</v>
      </c>
      <c r="AG5" s="139">
        <f t="shared" ref="AG5:AG76" si="6">M5-AF5</f>
        <v>-99753669.013636366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ref="D6:E6" si="7">D111+D123</f>
        <v>230247400.07999998</v>
      </c>
      <c r="E6" s="139">
        <f t="shared" si="7"/>
        <v>71436100.339999989</v>
      </c>
      <c r="F6" s="139">
        <f t="shared" ref="F6:L8" si="8">F111+F123</f>
        <v>0</v>
      </c>
      <c r="G6" s="139">
        <f t="shared" si="8"/>
        <v>0</v>
      </c>
      <c r="H6" s="139">
        <f t="shared" si="8"/>
        <v>0</v>
      </c>
      <c r="I6" s="139">
        <f t="shared" si="8"/>
        <v>0</v>
      </c>
      <c r="J6" s="139">
        <f t="shared" si="8"/>
        <v>0</v>
      </c>
      <c r="K6" s="139">
        <f t="shared" si="8"/>
        <v>0</v>
      </c>
      <c r="L6" s="139">
        <f t="shared" si="8"/>
        <v>0</v>
      </c>
      <c r="M6" s="139">
        <f t="shared" ref="M6" si="9">M111+M123</f>
        <v>0</v>
      </c>
      <c r="N6" s="139">
        <f t="shared" ref="N6:N10" si="10">SUM(B6:M6)</f>
        <v>1228239585.6899998</v>
      </c>
      <c r="O6" s="139"/>
      <c r="P6" s="139">
        <f t="shared" ref="P6:P10" si="11">Q6/12*$P$3</f>
        <v>2565549627.4800005</v>
      </c>
      <c r="Q6" s="139">
        <f t="shared" ref="Q6:Q10" si="12">R6</f>
        <v>3420732836.6400003</v>
      </c>
      <c r="R6" s="139">
        <v>3420732836.6400003</v>
      </c>
      <c r="S6" s="170">
        <f t="shared" ref="S6:S72" si="13">R6-SUM(T6:AE6)</f>
        <v>0</v>
      </c>
      <c r="T6" s="168">
        <f t="shared" si="3"/>
        <v>424529753.21999997</v>
      </c>
      <c r="U6" s="168">
        <f t="shared" si="3"/>
        <v>1212317398.3500001</v>
      </c>
      <c r="V6" s="168">
        <f t="shared" si="3"/>
        <v>305312522.13</v>
      </c>
      <c r="W6" s="168">
        <f t="shared" si="3"/>
        <v>46941731.32</v>
      </c>
      <c r="X6" s="168">
        <f t="shared" si="3"/>
        <v>115060805.22</v>
      </c>
      <c r="Y6" s="168">
        <f t="shared" si="4"/>
        <v>260963733.31999999</v>
      </c>
      <c r="Z6" s="168">
        <f t="shared" si="4"/>
        <v>166703405.97</v>
      </c>
      <c r="AA6" s="168">
        <f t="shared" si="4"/>
        <v>324765702.82999998</v>
      </c>
      <c r="AB6" s="168">
        <f t="shared" si="4"/>
        <v>239385553.34999999</v>
      </c>
      <c r="AC6" s="168">
        <f t="shared" si="4"/>
        <v>61006487.299999997</v>
      </c>
      <c r="AD6" s="168">
        <f t="shared" si="4"/>
        <v>139341371.03999999</v>
      </c>
      <c r="AE6" s="168">
        <f t="shared" si="4"/>
        <v>124404372.59</v>
      </c>
      <c r="AF6" s="139">
        <f t="shared" si="5"/>
        <v>111658144.15363635</v>
      </c>
      <c r="AG6" s="139">
        <f t="shared" si="6"/>
        <v>-111658144.15363635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ref="D7:E7" si="14">D112+D124</f>
        <v>4241031.0599999996</v>
      </c>
      <c r="E7" s="139">
        <f t="shared" si="14"/>
        <v>6377854.2699999996</v>
      </c>
      <c r="F7" s="139">
        <f t="shared" si="8"/>
        <v>0</v>
      </c>
      <c r="G7" s="139">
        <f t="shared" si="8"/>
        <v>0</v>
      </c>
      <c r="H7" s="139">
        <f t="shared" si="8"/>
        <v>0</v>
      </c>
      <c r="I7" s="139">
        <f t="shared" si="8"/>
        <v>0</v>
      </c>
      <c r="J7" s="139">
        <f t="shared" si="8"/>
        <v>0</v>
      </c>
      <c r="K7" s="139">
        <f t="shared" si="8"/>
        <v>0</v>
      </c>
      <c r="L7" s="139">
        <f t="shared" si="8"/>
        <v>0</v>
      </c>
      <c r="M7" s="139">
        <f t="shared" ref="M7" si="15">M112+M124</f>
        <v>0</v>
      </c>
      <c r="N7" s="139">
        <f t="shared" si="10"/>
        <v>15112181.949999999</v>
      </c>
      <c r="O7" s="139"/>
      <c r="P7" s="139">
        <f t="shared" si="11"/>
        <v>12572393.025</v>
      </c>
      <c r="Q7" s="139">
        <f t="shared" si="12"/>
        <v>16763190.700000001</v>
      </c>
      <c r="R7" s="139">
        <v>16763190.700000001</v>
      </c>
      <c r="S7" s="170">
        <f t="shared" si="13"/>
        <v>0</v>
      </c>
      <c r="T7" s="168">
        <f>T112+T124</f>
        <v>2884704.37</v>
      </c>
      <c r="U7" s="168">
        <f>U112+U124</f>
        <v>2596535.7200000002</v>
      </c>
      <c r="V7" s="168">
        <f>V112+V124</f>
        <v>622399.88</v>
      </c>
      <c r="W7" s="168">
        <f>W112+W124</f>
        <v>1945746.84</v>
      </c>
      <c r="X7" s="168">
        <f>X112+X124</f>
        <v>1927944.8</v>
      </c>
      <c r="Y7" s="168">
        <f t="shared" si="4"/>
        <v>474866.98</v>
      </c>
      <c r="Z7" s="168">
        <f t="shared" si="4"/>
        <v>1059505.05</v>
      </c>
      <c r="AA7" s="168">
        <f t="shared" si="4"/>
        <v>1450642.34</v>
      </c>
      <c r="AB7" s="168">
        <f t="shared" si="4"/>
        <v>319490.71999999997</v>
      </c>
      <c r="AC7" s="168">
        <f t="shared" si="4"/>
        <v>210539.64</v>
      </c>
      <c r="AD7" s="168">
        <f t="shared" si="4"/>
        <v>2119802.66</v>
      </c>
      <c r="AE7" s="168">
        <f t="shared" si="4"/>
        <v>1151011.7</v>
      </c>
      <c r="AF7" s="139">
        <f t="shared" si="5"/>
        <v>1373834.7227272727</v>
      </c>
      <c r="AG7" s="139">
        <f t="shared" si="6"/>
        <v>-1373834.7227272727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ref="D8:E8" si="16">D113+D125</f>
        <v>14438514.710000001</v>
      </c>
      <c r="E8" s="139">
        <f t="shared" si="16"/>
        <v>2003009.08</v>
      </c>
      <c r="F8" s="139">
        <f t="shared" si="8"/>
        <v>0</v>
      </c>
      <c r="G8" s="139">
        <f t="shared" si="8"/>
        <v>0</v>
      </c>
      <c r="H8" s="139">
        <f t="shared" si="8"/>
        <v>0</v>
      </c>
      <c r="I8" s="139">
        <f t="shared" si="8"/>
        <v>0</v>
      </c>
      <c r="J8" s="139">
        <f t="shared" si="8"/>
        <v>0</v>
      </c>
      <c r="K8" s="139">
        <f t="shared" si="8"/>
        <v>0</v>
      </c>
      <c r="L8" s="139">
        <f t="shared" si="8"/>
        <v>0</v>
      </c>
      <c r="M8" s="139">
        <f t="shared" ref="M8" si="17">M113+M125</f>
        <v>0</v>
      </c>
      <c r="N8" s="139">
        <f t="shared" si="10"/>
        <v>52653902.969999999</v>
      </c>
      <c r="O8" s="139"/>
      <c r="P8" s="139">
        <f t="shared" si="11"/>
        <v>16263463.7925</v>
      </c>
      <c r="Q8" s="139">
        <f t="shared" si="12"/>
        <v>21684618.390000001</v>
      </c>
      <c r="R8" s="139">
        <v>21684618.390000001</v>
      </c>
      <c r="S8" s="170">
        <f t="shared" si="13"/>
        <v>0</v>
      </c>
      <c r="T8" s="168">
        <f>+T113</f>
        <v>3238349</v>
      </c>
      <c r="U8" s="168">
        <f>+U113</f>
        <v>1478660.42</v>
      </c>
      <c r="V8" s="168">
        <f>+V113+V125</f>
        <v>1427673</v>
      </c>
      <c r="W8" s="168">
        <f>+W113</f>
        <v>2167697.4500000002</v>
      </c>
      <c r="X8" s="168">
        <f>+X113</f>
        <v>847867.6</v>
      </c>
      <c r="Y8" s="168">
        <f t="shared" si="4"/>
        <v>784960.5</v>
      </c>
      <c r="Z8" s="168">
        <f t="shared" si="4"/>
        <v>518684.94</v>
      </c>
      <c r="AA8" s="168">
        <f t="shared" si="4"/>
        <v>749745</v>
      </c>
      <c r="AB8" s="168">
        <f t="shared" si="4"/>
        <v>593767</v>
      </c>
      <c r="AC8" s="168">
        <f t="shared" si="4"/>
        <v>2838661.13</v>
      </c>
      <c r="AD8" s="168">
        <f t="shared" si="4"/>
        <v>1687433.35</v>
      </c>
      <c r="AE8" s="168">
        <f t="shared" si="4"/>
        <v>5351119</v>
      </c>
      <c r="AF8" s="139">
        <f t="shared" si="5"/>
        <v>4786718.4518181821</v>
      </c>
      <c r="AG8" s="139">
        <f t="shared" si="6"/>
        <v>-4786718.4518181821</v>
      </c>
    </row>
    <row r="9" spans="1:33" x14ac:dyDescent="0.25">
      <c r="A9" s="130" t="s">
        <v>9</v>
      </c>
      <c r="B9" s="139">
        <f>+B117+B128</f>
        <v>5615755.9000000004</v>
      </c>
      <c r="C9" s="139">
        <f>+C117+C128</f>
        <v>8285275</v>
      </c>
      <c r="D9" s="139">
        <f t="shared" ref="D9:E9" si="18">+D117+D128</f>
        <v>5836400</v>
      </c>
      <c r="E9" s="139">
        <f t="shared" si="18"/>
        <v>978188.5</v>
      </c>
      <c r="F9" s="139">
        <f t="shared" ref="F9:L9" si="19">+F117+F128</f>
        <v>0</v>
      </c>
      <c r="G9" s="139">
        <f t="shared" si="19"/>
        <v>0</v>
      </c>
      <c r="H9" s="139">
        <f t="shared" si="19"/>
        <v>0</v>
      </c>
      <c r="I9" s="139">
        <f t="shared" si="19"/>
        <v>0</v>
      </c>
      <c r="J9" s="139">
        <f t="shared" si="19"/>
        <v>0</v>
      </c>
      <c r="K9" s="139">
        <f t="shared" si="19"/>
        <v>0</v>
      </c>
      <c r="L9" s="139">
        <f t="shared" si="19"/>
        <v>0</v>
      </c>
      <c r="M9" s="139">
        <f t="shared" ref="M9" si="20">+M117+M128</f>
        <v>0</v>
      </c>
      <c r="N9" s="139">
        <f t="shared" si="10"/>
        <v>20715619.399999999</v>
      </c>
      <c r="O9" s="139"/>
      <c r="P9" s="139">
        <f t="shared" si="11"/>
        <v>5044185.727500001</v>
      </c>
      <c r="Q9" s="139">
        <f t="shared" si="12"/>
        <v>6725580.9700000007</v>
      </c>
      <c r="R9" s="139">
        <v>6725580.9700000007</v>
      </c>
      <c r="S9" s="170">
        <f t="shared" si="13"/>
        <v>0</v>
      </c>
      <c r="T9" s="168">
        <f t="shared" ref="T9:AE9" si="21">+T117+T128</f>
        <v>85825</v>
      </c>
      <c r="U9" s="168">
        <f t="shared" si="21"/>
        <v>579872.5</v>
      </c>
      <c r="V9" s="168">
        <f t="shared" si="21"/>
        <v>108078.75</v>
      </c>
      <c r="W9" s="168">
        <f t="shared" si="21"/>
        <v>903549.14</v>
      </c>
      <c r="X9" s="168">
        <f t="shared" si="21"/>
        <v>310999.59999999998</v>
      </c>
      <c r="Y9" s="168">
        <f t="shared" si="21"/>
        <v>1246220.98</v>
      </c>
      <c r="Z9" s="168">
        <f t="shared" si="21"/>
        <v>454175</v>
      </c>
      <c r="AA9" s="168">
        <f t="shared" si="21"/>
        <v>875445</v>
      </c>
      <c r="AB9" s="168">
        <f t="shared" si="21"/>
        <v>458565</v>
      </c>
      <c r="AC9" s="168">
        <f t="shared" si="21"/>
        <v>664960</v>
      </c>
      <c r="AD9" s="168">
        <f t="shared" si="21"/>
        <v>620675</v>
      </c>
      <c r="AE9" s="168">
        <f t="shared" si="21"/>
        <v>417215</v>
      </c>
      <c r="AF9" s="139">
        <f t="shared" si="5"/>
        <v>1883238.1272727272</v>
      </c>
      <c r="AG9" s="139">
        <f t="shared" si="6"/>
        <v>-1883238.1272727272</v>
      </c>
    </row>
    <row r="10" spans="1:33" x14ac:dyDescent="0.25">
      <c r="A10" s="130" t="s">
        <v>10</v>
      </c>
      <c r="B10" s="139">
        <f>B129+B131+B133+B130+B132</f>
        <v>1616056.41</v>
      </c>
      <c r="C10" s="139">
        <f>C129+C131+C133+C130+C132</f>
        <v>2273996.4700000002</v>
      </c>
      <c r="D10" s="139">
        <f t="shared" ref="D10:E10" si="22">D129+D131+D133+D130+D132</f>
        <v>11925880</v>
      </c>
      <c r="E10" s="139">
        <f t="shared" si="22"/>
        <v>20847037.27</v>
      </c>
      <c r="F10" s="139">
        <f t="shared" ref="F10:M10" si="23">F129+F131+F133+F130+F132</f>
        <v>0</v>
      </c>
      <c r="G10" s="139">
        <f t="shared" si="23"/>
        <v>0</v>
      </c>
      <c r="H10" s="139">
        <f t="shared" si="23"/>
        <v>0</v>
      </c>
      <c r="I10" s="139">
        <f t="shared" si="23"/>
        <v>0</v>
      </c>
      <c r="J10" s="139">
        <f t="shared" si="23"/>
        <v>0</v>
      </c>
      <c r="K10" s="139">
        <f t="shared" si="23"/>
        <v>0</v>
      </c>
      <c r="L10" s="139">
        <f t="shared" si="23"/>
        <v>0</v>
      </c>
      <c r="M10" s="139">
        <f t="shared" si="23"/>
        <v>0</v>
      </c>
      <c r="N10" s="139">
        <f t="shared" si="10"/>
        <v>36662970.149999999</v>
      </c>
      <c r="O10" s="139"/>
      <c r="P10" s="139">
        <f t="shared" si="11"/>
        <v>7799893.919999999</v>
      </c>
      <c r="Q10" s="139">
        <f t="shared" si="12"/>
        <v>10399858.559999999</v>
      </c>
      <c r="R10" s="139">
        <v>10399858.559999999</v>
      </c>
      <c r="S10" s="170">
        <f t="shared" si="13"/>
        <v>0</v>
      </c>
      <c r="U10" s="168"/>
      <c r="V10" s="168"/>
      <c r="W10" s="168">
        <f>W129+W131</f>
        <v>292312.5</v>
      </c>
      <c r="X10" s="168">
        <f>X129+X131</f>
        <v>0</v>
      </c>
      <c r="Y10" s="168">
        <f>Y129+Y131</f>
        <v>1845</v>
      </c>
      <c r="Z10" s="168">
        <f>Z129+Z131</f>
        <v>161476.78</v>
      </c>
      <c r="AA10" s="168">
        <f>AA129+AA131+AA133+AA130</f>
        <v>138951.82999999999</v>
      </c>
      <c r="AB10" s="168">
        <f>AB129+AB131+AB133+AB130</f>
        <v>2028039.81</v>
      </c>
      <c r="AC10" s="168">
        <f>AC129+AC131+AC133+AC130</f>
        <v>1609511.6</v>
      </c>
      <c r="AD10" s="168">
        <f>AD129+AD131+AD133+AD130</f>
        <v>3133630.18</v>
      </c>
      <c r="AE10" s="168">
        <f>AE129+AE131+AE133+AE130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538478233.45000005</v>
      </c>
      <c r="E11" s="142">
        <f>SUM(E5:E10)</f>
        <v>459513492.48999995</v>
      </c>
      <c r="F11" s="142">
        <f t="shared" ref="F11:M11" si="24">SUM(F5:F10)</f>
        <v>0</v>
      </c>
      <c r="G11" s="142">
        <f t="shared" si="24"/>
        <v>0</v>
      </c>
      <c r="H11" s="142">
        <f>SUM(H5:H10)</f>
        <v>0</v>
      </c>
      <c r="I11" s="142">
        <f>SUM(I5:I10)</f>
        <v>0</v>
      </c>
      <c r="J11" s="142">
        <f t="shared" si="24"/>
        <v>0</v>
      </c>
      <c r="K11" s="142">
        <f t="shared" si="24"/>
        <v>0</v>
      </c>
      <c r="L11" s="142">
        <f t="shared" si="24"/>
        <v>0</v>
      </c>
      <c r="M11" s="142">
        <f t="shared" si="24"/>
        <v>0</v>
      </c>
      <c r="N11" s="142">
        <f>SUM(N5:N10)</f>
        <v>2450674619.3099999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3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25">SUM(X5:X10)</f>
        <v>212406374.24000001</v>
      </c>
      <c r="Y11" s="171">
        <f t="shared" si="25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25"/>
        <v>336464026.81</v>
      </c>
      <c r="AC11" s="171">
        <f t="shared" si="25"/>
        <v>150235288.23999998</v>
      </c>
      <c r="AD11" s="171">
        <f t="shared" si="25"/>
        <v>225584148.62</v>
      </c>
      <c r="AE11" s="171">
        <f t="shared" si="25"/>
        <v>192913106.55000001</v>
      </c>
      <c r="AF11" s="142">
        <f t="shared" si="5"/>
        <v>222788601.75545454</v>
      </c>
      <c r="AG11" s="142">
        <f t="shared" si="6"/>
        <v>-222788601.75545454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3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5"/>
        <v>0</v>
      </c>
      <c r="AG12" s="130">
        <f t="shared" si="6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3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5"/>
        <v>0</v>
      </c>
      <c r="AG13" s="130">
        <f t="shared" si="6"/>
        <v>0</v>
      </c>
    </row>
    <row r="14" spans="1:33" x14ac:dyDescent="0.25">
      <c r="A14" s="130" t="s">
        <v>12</v>
      </c>
      <c r="B14" s="139">
        <f t="shared" ref="B14:C17" si="26">B143+B168+B175</f>
        <v>144063924.16999999</v>
      </c>
      <c r="C14" s="139">
        <f t="shared" si="26"/>
        <v>320081628.32999998</v>
      </c>
      <c r="D14" s="139">
        <f t="shared" ref="D14:E14" si="27">D143+D168+D175</f>
        <v>271764527.56999999</v>
      </c>
      <c r="E14" s="139">
        <f t="shared" si="27"/>
        <v>355120310.77000004</v>
      </c>
      <c r="F14" s="139">
        <f t="shared" ref="F14:L17" si="28">F143+F168+F175</f>
        <v>0</v>
      </c>
      <c r="G14" s="139">
        <f t="shared" si="28"/>
        <v>0</v>
      </c>
      <c r="H14" s="139">
        <f t="shared" si="28"/>
        <v>0</v>
      </c>
      <c r="I14" s="139">
        <f t="shared" si="28"/>
        <v>0</v>
      </c>
      <c r="J14" s="139">
        <f t="shared" si="28"/>
        <v>0</v>
      </c>
      <c r="K14" s="139">
        <f t="shared" si="28"/>
        <v>0</v>
      </c>
      <c r="L14" s="139">
        <f t="shared" si="28"/>
        <v>0</v>
      </c>
      <c r="M14" s="139">
        <f t="shared" ref="M14" si="29">M143+M168+M175</f>
        <v>0</v>
      </c>
      <c r="N14" s="139">
        <f t="shared" ref="N14:N20" si="30">SUM(B14:M14)</f>
        <v>1091030390.8399999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3"/>
        <v>0</v>
      </c>
      <c r="T14" s="168">
        <f t="shared" ref="T14:X17" si="31">+T143+T168+T175</f>
        <v>157842383.69</v>
      </c>
      <c r="U14" s="168">
        <f t="shared" si="31"/>
        <v>108846154.46000001</v>
      </c>
      <c r="V14" s="168">
        <f t="shared" si="31"/>
        <v>100906197.60999998</v>
      </c>
      <c r="W14" s="168">
        <f t="shared" si="31"/>
        <v>92373678.780000001</v>
      </c>
      <c r="X14" s="168">
        <f t="shared" si="31"/>
        <v>94255718.569999993</v>
      </c>
      <c r="Y14" s="168">
        <f>Y143+Y168+Y175</f>
        <v>92265888.5</v>
      </c>
      <c r="Z14" s="168">
        <f t="shared" ref="Z14:AE17" si="32">Z143+Z168+Z175</f>
        <v>124048206.41999999</v>
      </c>
      <c r="AA14" s="168">
        <f t="shared" si="32"/>
        <v>127634931.13</v>
      </c>
      <c r="AB14" s="168">
        <f t="shared" si="32"/>
        <v>93996436.060000002</v>
      </c>
      <c r="AC14" s="168">
        <f t="shared" si="32"/>
        <v>83008415.149999991</v>
      </c>
      <c r="AD14" s="168">
        <f t="shared" si="32"/>
        <v>78594642.269999996</v>
      </c>
      <c r="AE14" s="168">
        <f t="shared" si="32"/>
        <v>58236235.720000006</v>
      </c>
      <c r="AF14" s="139">
        <f t="shared" si="5"/>
        <v>99184580.985454544</v>
      </c>
      <c r="AG14" s="139">
        <f t="shared" si="6"/>
        <v>-99184580.985454544</v>
      </c>
    </row>
    <row r="15" spans="1:33" x14ac:dyDescent="0.25">
      <c r="A15" s="130" t="s">
        <v>13</v>
      </c>
      <c r="B15" s="139">
        <f t="shared" si="26"/>
        <v>326973144.42000002</v>
      </c>
      <c r="C15" s="139">
        <f t="shared" si="26"/>
        <v>595144499.67999995</v>
      </c>
      <c r="D15" s="139">
        <f t="shared" ref="D15:E15" si="33">D144+D169+D176</f>
        <v>285363018.45999998</v>
      </c>
      <c r="E15" s="139">
        <f t="shared" si="33"/>
        <v>68350361.029999986</v>
      </c>
      <c r="F15" s="139">
        <f t="shared" si="28"/>
        <v>0</v>
      </c>
      <c r="G15" s="139">
        <f t="shared" si="28"/>
        <v>0</v>
      </c>
      <c r="H15" s="139">
        <f t="shared" si="28"/>
        <v>0</v>
      </c>
      <c r="I15" s="139">
        <f t="shared" si="28"/>
        <v>0</v>
      </c>
      <c r="J15" s="139">
        <f t="shared" si="28"/>
        <v>0</v>
      </c>
      <c r="K15" s="139">
        <f t="shared" si="28"/>
        <v>0</v>
      </c>
      <c r="L15" s="139">
        <f t="shared" si="28"/>
        <v>0</v>
      </c>
      <c r="M15" s="139">
        <f t="shared" ref="M15" si="34">M144+M169+M176</f>
        <v>0</v>
      </c>
      <c r="N15" s="139">
        <f t="shared" si="30"/>
        <v>1275831023.5899999</v>
      </c>
      <c r="O15" s="139"/>
      <c r="P15" s="139">
        <f t="shared" ref="P15:P33" si="35">Q15/12*$P$3</f>
        <v>2577540542.8274999</v>
      </c>
      <c r="Q15" s="139">
        <f t="shared" ref="Q15:Q33" si="36">R15</f>
        <v>3436720723.77</v>
      </c>
      <c r="R15" s="139">
        <v>3436720723.77</v>
      </c>
      <c r="S15" s="170">
        <f t="shared" si="13"/>
        <v>0</v>
      </c>
      <c r="T15" s="168">
        <f t="shared" si="31"/>
        <v>422465521.94999993</v>
      </c>
      <c r="U15" s="168">
        <f t="shared" si="31"/>
        <v>1215546261.6300001</v>
      </c>
      <c r="V15" s="168">
        <f t="shared" si="31"/>
        <v>305678068.99000001</v>
      </c>
      <c r="W15" s="168">
        <f t="shared" si="31"/>
        <v>48482029.219999999</v>
      </c>
      <c r="X15" s="168">
        <f t="shared" si="31"/>
        <v>116507251.69</v>
      </c>
      <c r="Y15" s="168">
        <f>Y144+Y169+Y176</f>
        <v>262380283.97</v>
      </c>
      <c r="Z15" s="168">
        <f t="shared" si="32"/>
        <v>169287706.25999999</v>
      </c>
      <c r="AA15" s="168">
        <f t="shared" si="32"/>
        <v>327625512.15999997</v>
      </c>
      <c r="AB15" s="168">
        <f t="shared" si="32"/>
        <v>243891316.29999998</v>
      </c>
      <c r="AC15" s="168">
        <f t="shared" si="32"/>
        <v>60177181.419999994</v>
      </c>
      <c r="AD15" s="168">
        <f t="shared" si="32"/>
        <v>141374227.26999998</v>
      </c>
      <c r="AE15" s="168">
        <f t="shared" si="32"/>
        <v>123305362.91</v>
      </c>
      <c r="AF15" s="139">
        <f t="shared" si="5"/>
        <v>115984638.50818181</v>
      </c>
      <c r="AG15" s="139">
        <f t="shared" si="6"/>
        <v>-115984638.50818181</v>
      </c>
    </row>
    <row r="16" spans="1:33" x14ac:dyDescent="0.25">
      <c r="A16" s="130" t="s">
        <v>465</v>
      </c>
      <c r="B16" s="139">
        <f t="shared" si="26"/>
        <v>1846430.5799999998</v>
      </c>
      <c r="C16" s="139">
        <f t="shared" si="26"/>
        <v>2323488.0099999998</v>
      </c>
      <c r="D16" s="139">
        <f t="shared" ref="D16:E16" si="37">D145+D170+D177</f>
        <v>4247183.34</v>
      </c>
      <c r="E16" s="139">
        <f t="shared" si="37"/>
        <v>6280912.6200000001</v>
      </c>
      <c r="F16" s="139">
        <f t="shared" si="28"/>
        <v>0</v>
      </c>
      <c r="G16" s="139">
        <f t="shared" si="28"/>
        <v>0</v>
      </c>
      <c r="H16" s="139">
        <f t="shared" si="28"/>
        <v>0</v>
      </c>
      <c r="I16" s="139">
        <f t="shared" si="28"/>
        <v>0</v>
      </c>
      <c r="J16" s="139">
        <f t="shared" si="28"/>
        <v>0</v>
      </c>
      <c r="K16" s="139">
        <f t="shared" si="28"/>
        <v>0</v>
      </c>
      <c r="L16" s="139">
        <f t="shared" si="28"/>
        <v>0</v>
      </c>
      <c r="M16" s="139">
        <f t="shared" ref="M16" si="38">M145+M170+M177</f>
        <v>0</v>
      </c>
      <c r="N16" s="139">
        <f t="shared" si="30"/>
        <v>14698014.550000001</v>
      </c>
      <c r="O16" s="139"/>
      <c r="P16" s="139">
        <f t="shared" si="35"/>
        <v>12564562.035</v>
      </c>
      <c r="Q16" s="139">
        <f t="shared" si="36"/>
        <v>16752749.379999999</v>
      </c>
      <c r="R16" s="139">
        <v>16752749.379999999</v>
      </c>
      <c r="S16" s="170">
        <f t="shared" si="13"/>
        <v>0</v>
      </c>
      <c r="T16" s="168">
        <f t="shared" si="31"/>
        <v>2842624.1900000004</v>
      </c>
      <c r="U16" s="168">
        <f t="shared" si="31"/>
        <v>2535222.7399999998</v>
      </c>
      <c r="V16" s="168">
        <f t="shared" si="31"/>
        <v>618326.57000000007</v>
      </c>
      <c r="W16" s="168">
        <f t="shared" si="31"/>
        <v>1945380.79</v>
      </c>
      <c r="X16" s="168">
        <f t="shared" si="31"/>
        <v>2008835.22</v>
      </c>
      <c r="Y16" s="168">
        <f>Y145+Y170+Y177</f>
        <v>484708.1</v>
      </c>
      <c r="Z16" s="168">
        <f t="shared" si="32"/>
        <v>1046932.3900000002</v>
      </c>
      <c r="AA16" s="168">
        <f t="shared" si="32"/>
        <v>1505536.0799999998</v>
      </c>
      <c r="AB16" s="168">
        <f t="shared" si="32"/>
        <v>401564.48</v>
      </c>
      <c r="AC16" s="168">
        <f t="shared" si="32"/>
        <v>210096.02</v>
      </c>
      <c r="AD16" s="168">
        <f t="shared" si="32"/>
        <v>1952009.67</v>
      </c>
      <c r="AE16" s="168">
        <f t="shared" si="32"/>
        <v>1201513.1299999999</v>
      </c>
      <c r="AF16" s="139">
        <f t="shared" si="5"/>
        <v>1336183.1409090909</v>
      </c>
      <c r="AG16" s="139">
        <f t="shared" si="6"/>
        <v>-1336183.1409090909</v>
      </c>
    </row>
    <row r="17" spans="1:33" x14ac:dyDescent="0.25">
      <c r="A17" s="130" t="s">
        <v>14</v>
      </c>
      <c r="B17" s="139">
        <f t="shared" si="26"/>
        <v>20074000.260000002</v>
      </c>
      <c r="C17" s="139">
        <f t="shared" si="26"/>
        <v>16728893.059999999</v>
      </c>
      <c r="D17" s="139">
        <f t="shared" ref="D17:E17" si="39">D146+D171+D178</f>
        <v>13983863.620000001</v>
      </c>
      <c r="E17" s="139">
        <f t="shared" si="39"/>
        <v>1984364.2099999997</v>
      </c>
      <c r="F17" s="139">
        <f t="shared" si="28"/>
        <v>0</v>
      </c>
      <c r="G17" s="139">
        <f t="shared" si="28"/>
        <v>0</v>
      </c>
      <c r="H17" s="139">
        <f t="shared" si="28"/>
        <v>0</v>
      </c>
      <c r="I17" s="139">
        <f t="shared" si="28"/>
        <v>0</v>
      </c>
      <c r="J17" s="139">
        <f t="shared" si="28"/>
        <v>0</v>
      </c>
      <c r="K17" s="139">
        <f t="shared" si="28"/>
        <v>0</v>
      </c>
      <c r="L17" s="139">
        <f t="shared" si="28"/>
        <v>0</v>
      </c>
      <c r="M17" s="139">
        <f t="shared" ref="M17" si="40">M146+M171+M178</f>
        <v>0</v>
      </c>
      <c r="N17" s="139">
        <f t="shared" si="30"/>
        <v>52771121.149999999</v>
      </c>
      <c r="O17" s="139"/>
      <c r="P17" s="139">
        <f t="shared" si="35"/>
        <v>16769375.9475</v>
      </c>
      <c r="Q17" s="139">
        <f t="shared" si="36"/>
        <v>22359167.93</v>
      </c>
      <c r="R17" s="139">
        <v>22359167.93</v>
      </c>
      <c r="S17" s="170">
        <f t="shared" si="13"/>
        <v>0</v>
      </c>
      <c r="T17" s="168">
        <f t="shared" si="31"/>
        <v>3972878.5</v>
      </c>
      <c r="U17" s="168">
        <f t="shared" si="31"/>
        <v>1516251.86</v>
      </c>
      <c r="V17" s="168">
        <f t="shared" si="31"/>
        <v>1446310.3</v>
      </c>
      <c r="W17" s="168">
        <f t="shared" si="31"/>
        <v>2111524.9700000002</v>
      </c>
      <c r="X17" s="168">
        <f t="shared" si="31"/>
        <v>836505.07000000007</v>
      </c>
      <c r="Y17" s="168">
        <f>Y146+Y171+Y178</f>
        <v>759607.35</v>
      </c>
      <c r="Z17" s="168">
        <f t="shared" si="32"/>
        <v>470878.57</v>
      </c>
      <c r="AA17" s="168">
        <f t="shared" si="32"/>
        <v>769499.35</v>
      </c>
      <c r="AB17" s="168">
        <f t="shared" si="32"/>
        <v>632199.65</v>
      </c>
      <c r="AC17" s="168">
        <f t="shared" si="32"/>
        <v>2817866.3699999996</v>
      </c>
      <c r="AD17" s="168">
        <f t="shared" si="32"/>
        <v>1676602.18</v>
      </c>
      <c r="AE17" s="168">
        <f t="shared" si="32"/>
        <v>5349043.76</v>
      </c>
      <c r="AF17" s="139">
        <f t="shared" si="5"/>
        <v>4797374.6499999994</v>
      </c>
      <c r="AG17" s="139">
        <f t="shared" si="6"/>
        <v>-4797374.6499999994</v>
      </c>
    </row>
    <row r="18" spans="1:33" x14ac:dyDescent="0.25">
      <c r="A18" s="130" t="s">
        <v>15</v>
      </c>
      <c r="B18" s="139">
        <f>B149+B184+B173</f>
        <v>5371516.0500000007</v>
      </c>
      <c r="C18" s="139">
        <f>C149+C184+C173</f>
        <v>7895728.75</v>
      </c>
      <c r="D18" s="139">
        <f t="shared" ref="D18:E18" si="41">D149+D184+D173</f>
        <v>5718947.8999999994</v>
      </c>
      <c r="E18" s="139">
        <f t="shared" si="41"/>
        <v>981001.13</v>
      </c>
      <c r="F18" s="139">
        <f t="shared" ref="F18:L18" si="42">F149+F184+F173</f>
        <v>0</v>
      </c>
      <c r="G18" s="139">
        <f t="shared" si="42"/>
        <v>0</v>
      </c>
      <c r="H18" s="139">
        <f t="shared" si="42"/>
        <v>0</v>
      </c>
      <c r="I18" s="139">
        <f t="shared" si="42"/>
        <v>0</v>
      </c>
      <c r="J18" s="139">
        <f t="shared" si="42"/>
        <v>0</v>
      </c>
      <c r="K18" s="139">
        <f t="shared" si="42"/>
        <v>0</v>
      </c>
      <c r="L18" s="139">
        <f t="shared" si="42"/>
        <v>0</v>
      </c>
      <c r="M18" s="139">
        <f t="shared" ref="M18" si="43">M149+M184+M173</f>
        <v>0</v>
      </c>
      <c r="N18" s="139">
        <f t="shared" si="30"/>
        <v>19967193.829999998</v>
      </c>
      <c r="O18" s="139"/>
      <c r="P18" s="139">
        <f t="shared" si="35"/>
        <v>4929171.0749999993</v>
      </c>
      <c r="Q18" s="139">
        <f t="shared" si="36"/>
        <v>6572228.0999999996</v>
      </c>
      <c r="R18" s="139">
        <v>6572228.0999999996</v>
      </c>
      <c r="S18" s="170">
        <f t="shared" si="13"/>
        <v>0</v>
      </c>
      <c r="T18" s="168">
        <f>+T149+T184</f>
        <v>103200.43</v>
      </c>
      <c r="U18" s="168">
        <f>+U149+U184</f>
        <v>557565.63</v>
      </c>
      <c r="V18" s="168">
        <f>+V149+V184</f>
        <v>104546.19</v>
      </c>
      <c r="W18" s="168">
        <f>+W149+W184</f>
        <v>891459.31</v>
      </c>
      <c r="X18" s="168">
        <f>+X149+X184</f>
        <v>468362.63</v>
      </c>
      <c r="Y18" s="168">
        <f t="shared" ref="Y18:AE18" si="44">Y149+Y184+Y173</f>
        <v>1064241.21</v>
      </c>
      <c r="Z18" s="168">
        <f t="shared" si="44"/>
        <v>433922.20999999996</v>
      </c>
      <c r="AA18" s="168">
        <f t="shared" si="44"/>
        <v>851173.99</v>
      </c>
      <c r="AB18" s="168">
        <f t="shared" si="44"/>
        <v>441104</v>
      </c>
      <c r="AC18" s="168">
        <f t="shared" si="44"/>
        <v>654934.12</v>
      </c>
      <c r="AD18" s="168">
        <f t="shared" si="44"/>
        <v>610280.34000000008</v>
      </c>
      <c r="AE18" s="168">
        <f t="shared" si="44"/>
        <v>391438.04</v>
      </c>
      <c r="AF18" s="139">
        <f t="shared" si="5"/>
        <v>1815199.439090909</v>
      </c>
      <c r="AG18" s="139">
        <f t="shared" si="6"/>
        <v>-1815199.439090909</v>
      </c>
    </row>
    <row r="19" spans="1:33" x14ac:dyDescent="0.25">
      <c r="A19" s="130" t="s">
        <v>392</v>
      </c>
      <c r="B19" s="139">
        <f>B147+B191</f>
        <v>-0.93</v>
      </c>
      <c r="C19" s="139">
        <f>C147+C191</f>
        <v>0</v>
      </c>
      <c r="D19" s="139">
        <f t="shared" ref="D19:E19" si="45">D147+D191</f>
        <v>-4320</v>
      </c>
      <c r="E19" s="139">
        <f t="shared" si="45"/>
        <v>2001</v>
      </c>
      <c r="F19" s="139">
        <f t="shared" ref="F19:L19" si="46">F147+F191</f>
        <v>0</v>
      </c>
      <c r="G19" s="139">
        <f t="shared" si="46"/>
        <v>0</v>
      </c>
      <c r="H19" s="139">
        <f t="shared" si="46"/>
        <v>0</v>
      </c>
      <c r="I19" s="139">
        <f t="shared" si="46"/>
        <v>0</v>
      </c>
      <c r="J19" s="139">
        <f t="shared" si="46"/>
        <v>0</v>
      </c>
      <c r="K19" s="139">
        <f t="shared" si="46"/>
        <v>0</v>
      </c>
      <c r="L19" s="139">
        <f t="shared" si="46"/>
        <v>0</v>
      </c>
      <c r="M19" s="139">
        <f t="shared" ref="M19" si="47">M147+M191</f>
        <v>0</v>
      </c>
      <c r="N19" s="139">
        <f t="shared" si="30"/>
        <v>-2319.9300000000003</v>
      </c>
      <c r="O19" s="139"/>
      <c r="P19" s="139">
        <f t="shared" si="35"/>
        <v>6708.1425000000008</v>
      </c>
      <c r="Q19" s="139">
        <f t="shared" si="36"/>
        <v>8944.19</v>
      </c>
      <c r="R19" s="139">
        <v>8944.19</v>
      </c>
      <c r="S19" s="170">
        <f t="shared" si="13"/>
        <v>0</v>
      </c>
      <c r="U19" s="168"/>
      <c r="V19" s="168"/>
      <c r="W19" s="168"/>
      <c r="X19" s="168">
        <f>X147</f>
        <v>72</v>
      </c>
      <c r="Y19" s="168"/>
      <c r="Z19" s="168">
        <f t="shared" ref="Z19:AE19" si="48">Z147+Z191</f>
        <v>0</v>
      </c>
      <c r="AA19" s="168">
        <f t="shared" si="48"/>
        <v>0</v>
      </c>
      <c r="AB19" s="168">
        <f t="shared" si="48"/>
        <v>86.04000000000002</v>
      </c>
      <c r="AC19" s="168">
        <f t="shared" si="48"/>
        <v>-142.80000000000001</v>
      </c>
      <c r="AD19" s="168">
        <f t="shared" si="48"/>
        <v>-492</v>
      </c>
      <c r="AE19" s="168">
        <f t="shared" si="48"/>
        <v>9420.9500000000007</v>
      </c>
      <c r="AF19" s="139"/>
      <c r="AG19" s="139"/>
    </row>
    <row r="20" spans="1:33" x14ac:dyDescent="0.25">
      <c r="A20" s="130" t="s">
        <v>10</v>
      </c>
      <c r="B20" s="139">
        <f>B195+B197+B204+B203+B205+B196+B202+B206+B199+B201</f>
        <v>1524390.73</v>
      </c>
      <c r="C20" s="139">
        <f>C195+C197+C204+C203+C205+C196+C202+C206+C199+C201</f>
        <v>2178581.17</v>
      </c>
      <c r="D20" s="139">
        <f t="shared" ref="D20:E20" si="49">D195+D197+D204+D203+D205+D196+D202+D206+D199+D201</f>
        <v>13555481.440000001</v>
      </c>
      <c r="E20" s="139">
        <f t="shared" si="49"/>
        <v>21960069.860000003</v>
      </c>
      <c r="F20" s="139">
        <f t="shared" ref="F20:L20" si="50">F195+F197+F204+F203+F205+F196+F202+F206+F199+F201</f>
        <v>0</v>
      </c>
      <c r="G20" s="139">
        <f t="shared" si="50"/>
        <v>0</v>
      </c>
      <c r="H20" s="139">
        <f t="shared" si="50"/>
        <v>0</v>
      </c>
      <c r="I20" s="139">
        <f t="shared" si="50"/>
        <v>0</v>
      </c>
      <c r="J20" s="139">
        <f t="shared" si="50"/>
        <v>0</v>
      </c>
      <c r="K20" s="139">
        <f t="shared" si="50"/>
        <v>0</v>
      </c>
      <c r="L20" s="139">
        <f t="shared" si="50"/>
        <v>0</v>
      </c>
      <c r="M20" s="139">
        <f t="shared" ref="M20" si="51">M195+M197+M204+M203+M205+M196+M202+M206+M199+M201</f>
        <v>0</v>
      </c>
      <c r="N20" s="139">
        <f t="shared" si="30"/>
        <v>39218523.200000003</v>
      </c>
      <c r="O20" s="139"/>
      <c r="P20" s="139">
        <f t="shared" si="35"/>
        <v>7675840.3650000002</v>
      </c>
      <c r="Q20" s="139">
        <f t="shared" si="36"/>
        <v>10234453.82</v>
      </c>
      <c r="R20" s="139">
        <v>10234453.82</v>
      </c>
      <c r="S20" s="170">
        <f t="shared" si="13"/>
        <v>0</v>
      </c>
      <c r="U20" s="168"/>
      <c r="V20" s="168"/>
      <c r="W20" s="168">
        <f>W195+W197</f>
        <v>180989.71000000002</v>
      </c>
      <c r="X20" s="168">
        <f>X195+X197</f>
        <v>-0.02</v>
      </c>
      <c r="Y20" s="168">
        <f>Y195+Y197+Y204+Y203</f>
        <v>1208.02</v>
      </c>
      <c r="Z20" s="168">
        <f>Z195+Z197+Z204+Z203+Z205</f>
        <v>165633.65</v>
      </c>
      <c r="AA20" s="168">
        <f>AA195+AA197+AA204+AA203+AA205+AA196+AA202</f>
        <v>148231.46</v>
      </c>
      <c r="AB20" s="168">
        <f>AB195+AB197+AB204+AB203+AB205+AB196+AB202</f>
        <v>2225227.27</v>
      </c>
      <c r="AC20" s="168">
        <f>AC195+AC197+AC204+AC203+AC205+AC196+AC202</f>
        <v>1271518.28</v>
      </c>
      <c r="AD20" s="168">
        <f>AD195+AD197+AD204+AD203+AD205+AD196+AD202+AD206</f>
        <v>3248265.2199999997</v>
      </c>
      <c r="AE20" s="168">
        <f>AE195+AE197+AE204+AE203+AE205+AE196+AE202+AE206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35"/>
        <v>0</v>
      </c>
      <c r="Q21" s="139">
        <f t="shared" si="36"/>
        <v>0</v>
      </c>
      <c r="R21" s="143"/>
      <c r="S21" s="170">
        <f t="shared" si="13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5"/>
        <v>0</v>
      </c>
      <c r="AG21" s="143">
        <f t="shared" si="6"/>
        <v>0</v>
      </c>
    </row>
    <row r="22" spans="1:33" x14ac:dyDescent="0.25">
      <c r="A22" s="130" t="s">
        <v>16</v>
      </c>
      <c r="B22" s="139">
        <f>B159+B164</f>
        <v>-5278682.7800000906</v>
      </c>
      <c r="C22" s="139">
        <f>C159+C164</f>
        <v>-1850771.6799999475</v>
      </c>
      <c r="D22" s="139">
        <f t="shared" ref="D22:E22" si="52">D159+D164</f>
        <v>-2345057.7300000191</v>
      </c>
      <c r="E22" s="139">
        <f t="shared" si="52"/>
        <v>-7852012.8899998665</v>
      </c>
      <c r="F22" s="139">
        <f t="shared" ref="F22:L22" si="53">F159+F164</f>
        <v>0</v>
      </c>
      <c r="G22" s="139">
        <f t="shared" si="53"/>
        <v>0</v>
      </c>
      <c r="H22" s="139">
        <f t="shared" si="53"/>
        <v>0</v>
      </c>
      <c r="I22" s="139">
        <f t="shared" si="53"/>
        <v>0</v>
      </c>
      <c r="J22" s="139">
        <f t="shared" si="53"/>
        <v>0</v>
      </c>
      <c r="K22" s="139">
        <f t="shared" si="53"/>
        <v>0</v>
      </c>
      <c r="L22" s="139">
        <f t="shared" si="53"/>
        <v>0</v>
      </c>
      <c r="M22" s="139">
        <f t="shared" ref="M22" si="54">M159+M164</f>
        <v>0</v>
      </c>
      <c r="N22" s="139">
        <f>SUM(B22:M22)</f>
        <v>-17326525.079999924</v>
      </c>
      <c r="O22" s="139"/>
      <c r="P22" s="139">
        <f t="shared" si="35"/>
        <v>-4379077.7325000186</v>
      </c>
      <c r="Q22" s="139">
        <f t="shared" si="36"/>
        <v>-5838770.3100000247</v>
      </c>
      <c r="R22" s="139">
        <v>-5838770.3100000247</v>
      </c>
      <c r="S22" s="170">
        <f t="shared" si="13"/>
        <v>0</v>
      </c>
      <c r="T22" s="168">
        <f>T164+T159</f>
        <v>-4303584.0399999917</v>
      </c>
      <c r="U22" s="168">
        <f>U164+U159</f>
        <v>-230168.78000000119</v>
      </c>
      <c r="V22" s="168">
        <f>V164+V159</f>
        <v>-102046.03999999166</v>
      </c>
      <c r="W22" s="139">
        <f>W164+W159</f>
        <v>14781.879999995232</v>
      </c>
      <c r="X22" s="139">
        <f>X164+X159</f>
        <v>98279.520000003278</v>
      </c>
      <c r="Y22" s="139">
        <f>Y159+Y164</f>
        <v>426672.62000000477</v>
      </c>
      <c r="Z22" s="139">
        <f t="shared" ref="Z22:AE22" si="55">Z159+Z164</f>
        <v>293118.11000001431</v>
      </c>
      <c r="AA22" s="139">
        <f t="shared" si="55"/>
        <v>327964.43000000715</v>
      </c>
      <c r="AB22" s="139">
        <f t="shared" si="55"/>
        <v>277404.03999996185</v>
      </c>
      <c r="AC22" s="139">
        <f t="shared" si="55"/>
        <v>-370818.23000000417</v>
      </c>
      <c r="AD22" s="139">
        <f t="shared" si="55"/>
        <v>-263637.1099999845</v>
      </c>
      <c r="AE22" s="139">
        <f t="shared" si="55"/>
        <v>-2006736.7100000381</v>
      </c>
      <c r="AF22" s="139">
        <f t="shared" si="5"/>
        <v>-1575138.6436363568</v>
      </c>
      <c r="AG22" s="139">
        <f t="shared" si="6"/>
        <v>1575138.6436363568</v>
      </c>
    </row>
    <row r="23" spans="1:33" x14ac:dyDescent="0.25">
      <c r="A23" s="130" t="s">
        <v>17</v>
      </c>
      <c r="B23" s="139">
        <f>B165+B172</f>
        <v>-1943313.1599998474</v>
      </c>
      <c r="C23" s="139">
        <f>C165+C172</f>
        <v>2270457.1999998093</v>
      </c>
      <c r="D23" s="139">
        <f t="shared" ref="D23:E23" si="56">D165+D172</f>
        <v>-3777234.4199998379</v>
      </c>
      <c r="E23" s="139">
        <f t="shared" si="56"/>
        <v>-6747252.310000062</v>
      </c>
      <c r="F23" s="139">
        <f t="shared" ref="F23:L23" si="57">F165+F172</f>
        <v>0</v>
      </c>
      <c r="G23" s="139">
        <f t="shared" si="57"/>
        <v>0</v>
      </c>
      <c r="H23" s="139">
        <f t="shared" si="57"/>
        <v>0</v>
      </c>
      <c r="I23" s="139">
        <f t="shared" si="57"/>
        <v>0</v>
      </c>
      <c r="J23" s="139">
        <f t="shared" si="57"/>
        <v>0</v>
      </c>
      <c r="K23" s="139">
        <f t="shared" si="57"/>
        <v>0</v>
      </c>
      <c r="L23" s="139">
        <f t="shared" si="57"/>
        <v>0</v>
      </c>
      <c r="M23" s="139">
        <f t="shared" ref="M23" si="58">M165+M172</f>
        <v>0</v>
      </c>
      <c r="N23" s="139">
        <f t="shared" ref="N23:N25" si="59">SUM(B23:M23)</f>
        <v>-10197342.689999938</v>
      </c>
      <c r="O23" s="139"/>
      <c r="P23" s="139">
        <f t="shared" si="35"/>
        <v>6105608.7674999544</v>
      </c>
      <c r="Q23" s="139">
        <f t="shared" si="36"/>
        <v>8140811.6899999399</v>
      </c>
      <c r="R23" s="139">
        <v>8140811.6899999399</v>
      </c>
      <c r="S23" s="170">
        <f t="shared" si="13"/>
        <v>0</v>
      </c>
      <c r="T23" s="168">
        <f t="shared" ref="T23:AE23" si="60">T165+T172</f>
        <v>-198311.54999999702</v>
      </c>
      <c r="U23" s="168">
        <f t="shared" si="60"/>
        <v>-141071.81000000052</v>
      </c>
      <c r="V23" s="168">
        <f t="shared" si="60"/>
        <v>73914.890000000596</v>
      </c>
      <c r="W23" s="168">
        <f t="shared" si="60"/>
        <v>442679.44999998808</v>
      </c>
      <c r="X23" s="168">
        <f t="shared" si="60"/>
        <v>682167.71000003815</v>
      </c>
      <c r="Y23" s="168">
        <f t="shared" si="60"/>
        <v>1346835.4100000858</v>
      </c>
      <c r="Z23" s="168">
        <f t="shared" si="60"/>
        <v>4496541.1600000262</v>
      </c>
      <c r="AA23" s="168">
        <f t="shared" si="60"/>
        <v>161672.65999996662</v>
      </c>
      <c r="AB23" s="168">
        <f t="shared" si="60"/>
        <v>664706.21999999881</v>
      </c>
      <c r="AC23" s="168">
        <f t="shared" si="60"/>
        <v>1736952.3999998569</v>
      </c>
      <c r="AD23" s="168">
        <f t="shared" si="60"/>
        <v>1886622.8299999237</v>
      </c>
      <c r="AE23" s="168">
        <f t="shared" si="60"/>
        <v>-3011897.6799999475</v>
      </c>
      <c r="AF23" s="139">
        <f t="shared" si="5"/>
        <v>-927031.15363635798</v>
      </c>
      <c r="AG23" s="139">
        <f t="shared" si="6"/>
        <v>927031.15363635798</v>
      </c>
    </row>
    <row r="24" spans="1:33" x14ac:dyDescent="0.25">
      <c r="A24" s="130" t="s">
        <v>18</v>
      </c>
      <c r="B24" s="139">
        <f>B166+B174</f>
        <v>-66280.219999999972</v>
      </c>
      <c r="C24" s="139">
        <f>C166+C174</f>
        <v>-33562.259999999776</v>
      </c>
      <c r="D24" s="139">
        <f t="shared" ref="D24:E24" si="61">D166+D174</f>
        <v>188410.91000000015</v>
      </c>
      <c r="E24" s="139">
        <f t="shared" si="61"/>
        <v>-28364</v>
      </c>
      <c r="F24" s="139">
        <f t="shared" ref="F24:L24" si="62">F166+F174</f>
        <v>0</v>
      </c>
      <c r="G24" s="139">
        <f t="shared" si="62"/>
        <v>0</v>
      </c>
      <c r="H24" s="139">
        <f t="shared" si="62"/>
        <v>0</v>
      </c>
      <c r="I24" s="139">
        <f t="shared" si="62"/>
        <v>0</v>
      </c>
      <c r="J24" s="139">
        <f t="shared" si="62"/>
        <v>0</v>
      </c>
      <c r="K24" s="139">
        <f t="shared" si="62"/>
        <v>0</v>
      </c>
      <c r="L24" s="139">
        <f t="shared" si="62"/>
        <v>0</v>
      </c>
      <c r="M24" s="139">
        <f t="shared" ref="M24" si="63">M166+M174</f>
        <v>0</v>
      </c>
      <c r="N24" s="139">
        <f t="shared" si="59"/>
        <v>60204.4300000004</v>
      </c>
      <c r="O24" s="139"/>
      <c r="P24" s="139">
        <f t="shared" si="35"/>
        <v>62527.755000000063</v>
      </c>
      <c r="Q24" s="139">
        <f t="shared" si="36"/>
        <v>83370.340000000084</v>
      </c>
      <c r="R24" s="139">
        <v>83370.340000000084</v>
      </c>
      <c r="S24" s="170">
        <f t="shared" si="13"/>
        <v>0</v>
      </c>
      <c r="T24" s="168">
        <f t="shared" ref="T24:AE24" si="64">T166+T174</f>
        <v>-28077.910000000033</v>
      </c>
      <c r="U24" s="168">
        <f t="shared" si="64"/>
        <v>-41342.620000000112</v>
      </c>
      <c r="V24" s="168">
        <f t="shared" si="64"/>
        <v>-28127.939999999944</v>
      </c>
      <c r="W24" s="173">
        <f t="shared" si="64"/>
        <v>1048.5499999999884</v>
      </c>
      <c r="X24" s="173">
        <f t="shared" si="64"/>
        <v>13526.869999999995</v>
      </c>
      <c r="Y24" s="173">
        <f t="shared" si="64"/>
        <v>28752.459999999963</v>
      </c>
      <c r="Z24" s="173">
        <f t="shared" si="64"/>
        <v>-16145.679999999993</v>
      </c>
      <c r="AA24" s="173">
        <f t="shared" si="64"/>
        <v>-6336.4200000000419</v>
      </c>
      <c r="AB24" s="173">
        <f t="shared" si="64"/>
        <v>-36760.469999999972</v>
      </c>
      <c r="AC24" s="173">
        <f t="shared" si="64"/>
        <v>-12813.290000000037</v>
      </c>
      <c r="AD24" s="173">
        <f t="shared" si="64"/>
        <v>-4549.9899999999907</v>
      </c>
      <c r="AE24" s="173">
        <f t="shared" si="64"/>
        <v>214196.78000000026</v>
      </c>
      <c r="AF24" s="139">
        <f t="shared" si="5"/>
        <v>5473.1300000000365</v>
      </c>
      <c r="AG24" s="139">
        <f t="shared" si="6"/>
        <v>-5473.1300000000365</v>
      </c>
    </row>
    <row r="25" spans="1:33" x14ac:dyDescent="0.25">
      <c r="A25" s="130" t="s">
        <v>19</v>
      </c>
      <c r="B25" s="139">
        <f>B167+B179</f>
        <v>-225153.10999999987</v>
      </c>
      <c r="C25" s="139">
        <f>C167+C179</f>
        <v>-83950.930000000051</v>
      </c>
      <c r="D25" s="139">
        <f t="shared" ref="D25:E25" si="65">D167+D179</f>
        <v>39000</v>
      </c>
      <c r="E25" s="139">
        <f t="shared" si="65"/>
        <v>49087.229999999981</v>
      </c>
      <c r="F25" s="139">
        <f t="shared" ref="F25:L25" si="66">F167+F179</f>
        <v>0</v>
      </c>
      <c r="G25" s="139">
        <f t="shared" si="66"/>
        <v>0</v>
      </c>
      <c r="H25" s="139">
        <f t="shared" si="66"/>
        <v>0</v>
      </c>
      <c r="I25" s="139">
        <f t="shared" si="66"/>
        <v>0</v>
      </c>
      <c r="J25" s="139">
        <f t="shared" si="66"/>
        <v>0</v>
      </c>
      <c r="K25" s="139">
        <f t="shared" si="66"/>
        <v>0</v>
      </c>
      <c r="L25" s="139">
        <f t="shared" si="66"/>
        <v>0</v>
      </c>
      <c r="M25" s="139">
        <f t="shared" ref="M25" si="67">M167+M179</f>
        <v>0</v>
      </c>
      <c r="N25" s="139">
        <f t="shared" si="59"/>
        <v>-221016.80999999994</v>
      </c>
      <c r="O25" s="139"/>
      <c r="P25" s="139">
        <f t="shared" si="35"/>
        <v>-247710.27</v>
      </c>
      <c r="Q25" s="139">
        <f t="shared" si="36"/>
        <v>-330280.36</v>
      </c>
      <c r="R25" s="139">
        <v>-330280.36</v>
      </c>
      <c r="S25" s="170">
        <f t="shared" si="13"/>
        <v>0</v>
      </c>
      <c r="T25" s="168">
        <f t="shared" ref="T25:AE25" si="68">T167+T179</f>
        <v>-17915.510000000009</v>
      </c>
      <c r="U25" s="168">
        <f t="shared" si="68"/>
        <v>0</v>
      </c>
      <c r="V25" s="168">
        <f t="shared" si="68"/>
        <v>-35497.39</v>
      </c>
      <c r="W25" s="173">
        <f t="shared" si="68"/>
        <v>2061.8000000000466</v>
      </c>
      <c r="X25" s="173">
        <f t="shared" si="68"/>
        <v>0</v>
      </c>
      <c r="Y25" s="173">
        <f t="shared" si="68"/>
        <v>0</v>
      </c>
      <c r="Z25" s="173">
        <f t="shared" si="68"/>
        <v>-19969.050000000003</v>
      </c>
      <c r="AA25" s="173">
        <f t="shared" si="68"/>
        <v>18581.950000000012</v>
      </c>
      <c r="AB25" s="173">
        <f t="shared" si="68"/>
        <v>-29775.839999999967</v>
      </c>
      <c r="AC25" s="173">
        <f t="shared" si="68"/>
        <v>-57997.5</v>
      </c>
      <c r="AD25" s="173">
        <f t="shared" si="68"/>
        <v>0</v>
      </c>
      <c r="AE25" s="173">
        <f t="shared" si="68"/>
        <v>-189768.82000000007</v>
      </c>
      <c r="AF25" s="139">
        <f t="shared" si="5"/>
        <v>-20092.437272727268</v>
      </c>
      <c r="AG25" s="139">
        <f t="shared" si="6"/>
        <v>20092.437272727268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35"/>
        <v>0</v>
      </c>
      <c r="Q26" s="139">
        <f t="shared" si="36"/>
        <v>0</v>
      </c>
      <c r="R26" s="143"/>
      <c r="S26" s="170">
        <f t="shared" si="13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5"/>
        <v>0</v>
      </c>
      <c r="AG26" s="143">
        <f t="shared" si="6"/>
        <v>0</v>
      </c>
    </row>
    <row r="27" spans="1:33" x14ac:dyDescent="0.25">
      <c r="A27" s="130" t="s">
        <v>20</v>
      </c>
      <c r="B27" s="139">
        <f>B155+B160</f>
        <v>135480</v>
      </c>
      <c r="C27" s="139">
        <f>C155+C160</f>
        <v>72190</v>
      </c>
      <c r="D27" s="139">
        <f t="shared" ref="D27:E27" si="69">D155+D160</f>
        <v>-2856780</v>
      </c>
      <c r="E27" s="139">
        <f t="shared" si="69"/>
        <v>-1056940</v>
      </c>
      <c r="F27" s="139">
        <f t="shared" ref="F27:L28" si="70">F155+F160</f>
        <v>0</v>
      </c>
      <c r="G27" s="139">
        <f t="shared" si="70"/>
        <v>0</v>
      </c>
      <c r="H27" s="139">
        <f t="shared" si="70"/>
        <v>0</v>
      </c>
      <c r="I27" s="139">
        <f t="shared" si="70"/>
        <v>0</v>
      </c>
      <c r="J27" s="139">
        <f t="shared" si="70"/>
        <v>0</v>
      </c>
      <c r="K27" s="139">
        <f t="shared" si="70"/>
        <v>0</v>
      </c>
      <c r="L27" s="139">
        <f t="shared" si="70"/>
        <v>0</v>
      </c>
      <c r="M27" s="139">
        <f t="shared" ref="M27" si="71">M155+M160</f>
        <v>0</v>
      </c>
      <c r="N27" s="139">
        <f>SUM(B27:M27)</f>
        <v>-3706050</v>
      </c>
      <c r="O27" s="139"/>
      <c r="P27" s="139">
        <f t="shared" si="35"/>
        <v>-305405.67750000581</v>
      </c>
      <c r="Q27" s="139">
        <f t="shared" si="36"/>
        <v>-407207.57000000775</v>
      </c>
      <c r="R27" s="139">
        <v>-407207.57000000775</v>
      </c>
      <c r="S27" s="170">
        <f t="shared" si="13"/>
        <v>0</v>
      </c>
      <c r="T27" s="168">
        <f t="shared" ref="T27:AE28" si="72">T155+T160</f>
        <v>-1451390.0700000077</v>
      </c>
      <c r="U27" s="168">
        <f t="shared" si="72"/>
        <v>-14017.5</v>
      </c>
      <c r="V27" s="168">
        <f t="shared" si="72"/>
        <v>-649600</v>
      </c>
      <c r="W27" s="168">
        <f t="shared" si="72"/>
        <v>339010</v>
      </c>
      <c r="X27" s="168">
        <f t="shared" si="72"/>
        <v>92680</v>
      </c>
      <c r="Y27" s="168">
        <f t="shared" si="72"/>
        <v>525780</v>
      </c>
      <c r="Z27" s="168">
        <f t="shared" si="72"/>
        <v>464420</v>
      </c>
      <c r="AA27" s="168">
        <f t="shared" si="72"/>
        <v>390490</v>
      </c>
      <c r="AB27" s="168">
        <f t="shared" si="72"/>
        <v>142640</v>
      </c>
      <c r="AC27" s="168">
        <f t="shared" si="72"/>
        <v>-503440</v>
      </c>
      <c r="AD27" s="168">
        <f t="shared" si="72"/>
        <v>-6050</v>
      </c>
      <c r="AE27" s="168">
        <f t="shared" si="72"/>
        <v>262270</v>
      </c>
      <c r="AF27" s="139">
        <f t="shared" si="5"/>
        <v>-336913.63636363635</v>
      </c>
      <c r="AG27" s="139">
        <f t="shared" si="6"/>
        <v>336913.63636363635</v>
      </c>
    </row>
    <row r="28" spans="1:33" x14ac:dyDescent="0.25">
      <c r="A28" s="130" t="s">
        <v>21</v>
      </c>
      <c r="B28" s="139">
        <f>B156+B161</f>
        <v>416798.5</v>
      </c>
      <c r="C28" s="139">
        <f>C156+C161</f>
        <v>-23899080</v>
      </c>
      <c r="D28" s="139">
        <f t="shared" ref="D28:E28" si="73">D156+D161</f>
        <v>-35957627</v>
      </c>
      <c r="E28" s="139">
        <f t="shared" si="73"/>
        <v>3097621</v>
      </c>
      <c r="F28" s="139">
        <f t="shared" si="70"/>
        <v>0</v>
      </c>
      <c r="G28" s="139">
        <f t="shared" si="70"/>
        <v>0</v>
      </c>
      <c r="H28" s="139">
        <f t="shared" si="70"/>
        <v>0</v>
      </c>
      <c r="I28" s="139">
        <f t="shared" si="70"/>
        <v>0</v>
      </c>
      <c r="J28" s="139">
        <f t="shared" si="70"/>
        <v>0</v>
      </c>
      <c r="K28" s="139">
        <f t="shared" si="70"/>
        <v>0</v>
      </c>
      <c r="L28" s="139">
        <f t="shared" si="70"/>
        <v>0</v>
      </c>
      <c r="M28" s="139">
        <f t="shared" ref="M28" si="74">M156+M161</f>
        <v>0</v>
      </c>
      <c r="N28" s="139">
        <f t="shared" ref="N28:N30" si="75">SUM(B28:M28)</f>
        <v>-56342287.5</v>
      </c>
      <c r="O28" s="139"/>
      <c r="P28" s="139">
        <f t="shared" si="35"/>
        <v>-15201500.879999997</v>
      </c>
      <c r="Q28" s="139">
        <f t="shared" si="36"/>
        <v>-20268667.839999996</v>
      </c>
      <c r="R28" s="139">
        <v>-20268667.839999996</v>
      </c>
      <c r="S28" s="170">
        <f t="shared" si="13"/>
        <v>0</v>
      </c>
      <c r="T28" s="168">
        <f t="shared" si="72"/>
        <v>287951.64999999851</v>
      </c>
      <c r="U28" s="168">
        <f t="shared" si="72"/>
        <v>-4461877.3100000024</v>
      </c>
      <c r="V28" s="168">
        <f t="shared" si="72"/>
        <v>67555.530000001192</v>
      </c>
      <c r="W28" s="173">
        <f t="shared" si="72"/>
        <v>-3414426</v>
      </c>
      <c r="X28" s="173">
        <f t="shared" si="72"/>
        <v>-28165.459999993443</v>
      </c>
      <c r="Y28" s="173">
        <f t="shared" si="72"/>
        <v>-6775542</v>
      </c>
      <c r="Z28" s="173">
        <f t="shared" si="72"/>
        <v>-2610952</v>
      </c>
      <c r="AA28" s="173">
        <f>AA156+AA161</f>
        <v>-4106876</v>
      </c>
      <c r="AB28" s="173">
        <f>AB156+AB161</f>
        <v>-875180</v>
      </c>
      <c r="AC28" s="173">
        <f>AC156+AC161</f>
        <v>-5978691.5</v>
      </c>
      <c r="AD28" s="173">
        <f>AD156+AD161</f>
        <v>-1077231</v>
      </c>
      <c r="AE28" s="173">
        <f>AE156+AE161</f>
        <v>8704766.25</v>
      </c>
      <c r="AF28" s="139">
        <f t="shared" si="5"/>
        <v>-5122026.1363636367</v>
      </c>
      <c r="AG28" s="139">
        <f t="shared" si="6"/>
        <v>5122026.1363636367</v>
      </c>
    </row>
    <row r="29" spans="1:33" x14ac:dyDescent="0.25">
      <c r="A29" s="130" t="s">
        <v>22</v>
      </c>
      <c r="B29" s="139">
        <f>B162+B157</f>
        <v>0</v>
      </c>
      <c r="C29" s="139">
        <f>C162+C157</f>
        <v>0</v>
      </c>
      <c r="D29" s="139">
        <f t="shared" ref="D29:E29" si="76">D162+D157</f>
        <v>-1255</v>
      </c>
      <c r="E29" s="139">
        <f t="shared" si="76"/>
        <v>0</v>
      </c>
      <c r="F29" s="139">
        <f t="shared" ref="F29:L29" si="77">F162+F157</f>
        <v>0</v>
      </c>
      <c r="G29" s="139">
        <f t="shared" si="77"/>
        <v>0</v>
      </c>
      <c r="H29" s="139">
        <f t="shared" si="77"/>
        <v>0</v>
      </c>
      <c r="I29" s="139">
        <f t="shared" si="77"/>
        <v>0</v>
      </c>
      <c r="J29" s="139">
        <f t="shared" si="77"/>
        <v>0</v>
      </c>
      <c r="K29" s="139">
        <f t="shared" si="77"/>
        <v>0</v>
      </c>
      <c r="L29" s="139">
        <f t="shared" si="77"/>
        <v>0</v>
      </c>
      <c r="M29" s="139">
        <f t="shared" ref="M29" si="78">M162+M157</f>
        <v>0</v>
      </c>
      <c r="N29" s="139">
        <f t="shared" si="75"/>
        <v>-1255</v>
      </c>
      <c r="O29" s="139"/>
      <c r="P29" s="139">
        <f t="shared" si="35"/>
        <v>-198.75</v>
      </c>
      <c r="Q29" s="139">
        <f t="shared" si="36"/>
        <v>-265</v>
      </c>
      <c r="R29" s="139">
        <v>-265</v>
      </c>
      <c r="S29" s="170">
        <f t="shared" si="13"/>
        <v>0</v>
      </c>
      <c r="T29" s="168">
        <f>T157+T162</f>
        <v>0</v>
      </c>
      <c r="U29" s="168">
        <f>U157+U162</f>
        <v>4535</v>
      </c>
      <c r="V29" s="168">
        <f>V157+V162</f>
        <v>-3890</v>
      </c>
      <c r="W29" s="173">
        <f>W157+W162</f>
        <v>-555</v>
      </c>
      <c r="X29" s="173">
        <f>X157+X162</f>
        <v>0</v>
      </c>
      <c r="Y29" s="173">
        <f>Y162+Y157</f>
        <v>1775</v>
      </c>
      <c r="Z29" s="173">
        <f t="shared" ref="Z29:AE29" si="79">Z162+Z157</f>
        <v>0</v>
      </c>
      <c r="AA29" s="173">
        <f t="shared" si="79"/>
        <v>0</v>
      </c>
      <c r="AB29" s="173">
        <f t="shared" si="79"/>
        <v>0</v>
      </c>
      <c r="AC29" s="173">
        <f t="shared" si="79"/>
        <v>-450</v>
      </c>
      <c r="AD29" s="173">
        <f t="shared" si="79"/>
        <v>-1680</v>
      </c>
      <c r="AE29" s="173">
        <f t="shared" si="79"/>
        <v>0</v>
      </c>
      <c r="AF29" s="139">
        <f t="shared" si="5"/>
        <v>-114.09090909090909</v>
      </c>
      <c r="AG29" s="139">
        <f t="shared" si="6"/>
        <v>114.09090909090909</v>
      </c>
    </row>
    <row r="30" spans="1:33" x14ac:dyDescent="0.25">
      <c r="A30" s="130" t="s">
        <v>23</v>
      </c>
      <c r="B30" s="139">
        <f>B158+B163</f>
        <v>0</v>
      </c>
      <c r="C30" s="139">
        <f>C158+C163</f>
        <v>0</v>
      </c>
      <c r="D30" s="139">
        <f t="shared" ref="D30:E30" si="80">D158+D163</f>
        <v>0</v>
      </c>
      <c r="E30" s="139">
        <f t="shared" si="80"/>
        <v>0</v>
      </c>
      <c r="F30" s="139">
        <f t="shared" ref="F30:L30" si="81">F158+F163</f>
        <v>0</v>
      </c>
      <c r="G30" s="139">
        <f t="shared" si="81"/>
        <v>0</v>
      </c>
      <c r="H30" s="139">
        <f t="shared" si="81"/>
        <v>0</v>
      </c>
      <c r="I30" s="139">
        <f t="shared" si="81"/>
        <v>0</v>
      </c>
      <c r="J30" s="139">
        <f t="shared" si="81"/>
        <v>0</v>
      </c>
      <c r="K30" s="139">
        <f t="shared" si="81"/>
        <v>0</v>
      </c>
      <c r="L30" s="139">
        <f t="shared" si="81"/>
        <v>0</v>
      </c>
      <c r="M30" s="139">
        <f t="shared" ref="M30" si="82">M158+M163</f>
        <v>0</v>
      </c>
      <c r="N30" s="139">
        <f t="shared" si="75"/>
        <v>0</v>
      </c>
      <c r="O30" s="139"/>
      <c r="P30" s="139">
        <f t="shared" si="35"/>
        <v>-660</v>
      </c>
      <c r="Q30" s="139">
        <f t="shared" si="36"/>
        <v>-880</v>
      </c>
      <c r="R30" s="139">
        <v>-880</v>
      </c>
      <c r="S30" s="170">
        <f t="shared" si="13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X158+X163</f>
        <v>0</v>
      </c>
      <c r="Y30" s="173">
        <v>0</v>
      </c>
      <c r="Z30" s="173">
        <f t="shared" ref="Z30:AE30" si="83">Z158+Z163</f>
        <v>-880</v>
      </c>
      <c r="AA30" s="173">
        <f t="shared" si="83"/>
        <v>0</v>
      </c>
      <c r="AB30" s="173">
        <f t="shared" si="83"/>
        <v>0</v>
      </c>
      <c r="AC30" s="173">
        <f t="shared" si="83"/>
        <v>0</v>
      </c>
      <c r="AD30" s="173">
        <f t="shared" si="83"/>
        <v>0</v>
      </c>
      <c r="AE30" s="173">
        <f t="shared" si="83"/>
        <v>0</v>
      </c>
      <c r="AF30" s="139">
        <f t="shared" si="5"/>
        <v>0</v>
      </c>
      <c r="AG30" s="139">
        <f t="shared" si="6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35"/>
        <v>0</v>
      </c>
      <c r="Q31" s="139">
        <f t="shared" si="36"/>
        <v>0</v>
      </c>
      <c r="R31" s="143"/>
      <c r="S31" s="170">
        <f t="shared" si="13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5"/>
        <v>0</v>
      </c>
      <c r="AG31" s="143">
        <f t="shared" si="6"/>
        <v>0</v>
      </c>
    </row>
    <row r="32" spans="1:33" x14ac:dyDescent="0.25">
      <c r="A32" s="130" t="s">
        <v>24</v>
      </c>
      <c r="B32" s="139">
        <f>+B185+B200+B138+B139+B140+B141+B142</f>
        <v>7420781.5099999998</v>
      </c>
      <c r="C32" s="139">
        <f>+C185+C200+C138+C139+C140+C141+C142</f>
        <v>29025301.779999997</v>
      </c>
      <c r="D32" s="139">
        <f t="shared" ref="D32:E32" si="84">+D185+D200+D138+D139+D140+D141+D142</f>
        <v>-18951594.84</v>
      </c>
      <c r="E32" s="139">
        <f t="shared" si="84"/>
        <v>3894659.6200000006</v>
      </c>
      <c r="F32" s="139">
        <f t="shared" ref="F32:L32" si="85">+F185+F200+F138+F139+F140+F141+F142</f>
        <v>0</v>
      </c>
      <c r="G32" s="139">
        <f t="shared" si="85"/>
        <v>0</v>
      </c>
      <c r="H32" s="139">
        <f t="shared" si="85"/>
        <v>0</v>
      </c>
      <c r="I32" s="139">
        <f t="shared" si="85"/>
        <v>0</v>
      </c>
      <c r="J32" s="139">
        <f t="shared" si="85"/>
        <v>0</v>
      </c>
      <c r="K32" s="139">
        <f t="shared" si="85"/>
        <v>0</v>
      </c>
      <c r="L32" s="139">
        <f t="shared" si="85"/>
        <v>0</v>
      </c>
      <c r="M32" s="139">
        <f t="shared" ref="M32" si="86">+M185+M200+M138+M139+M140+M141+M142</f>
        <v>0</v>
      </c>
      <c r="N32" s="139">
        <f>SUM(B32:M32)</f>
        <v>21389148.07</v>
      </c>
      <c r="O32" s="139"/>
      <c r="P32" s="139">
        <f t="shared" si="35"/>
        <v>-6086748.3000000007</v>
      </c>
      <c r="Q32" s="139">
        <f t="shared" si="36"/>
        <v>-8115664.4000000004</v>
      </c>
      <c r="R32" s="139">
        <v>-8115664.4000000004</v>
      </c>
      <c r="S32" s="170">
        <f t="shared" si="13"/>
        <v>0</v>
      </c>
      <c r="T32" s="168">
        <f t="shared" ref="T32:Y32" si="87">+T185</f>
        <v>2910296.13</v>
      </c>
      <c r="U32" s="168">
        <f t="shared" si="87"/>
        <v>1651163.39</v>
      </c>
      <c r="V32" s="168">
        <f t="shared" si="87"/>
        <v>-414097.59</v>
      </c>
      <c r="W32" s="173">
        <f t="shared" si="87"/>
        <v>959937.83</v>
      </c>
      <c r="X32" s="173">
        <f t="shared" si="87"/>
        <v>-3014399.59</v>
      </c>
      <c r="Y32" s="173">
        <f t="shared" si="87"/>
        <v>3160990.11</v>
      </c>
      <c r="Z32" s="173">
        <f>+Z185+Z200</f>
        <v>-6978241.0899999999</v>
      </c>
      <c r="AA32" s="173">
        <f>+AA185+AA200</f>
        <v>-1664169.4700000002</v>
      </c>
      <c r="AB32" s="173">
        <f>+AB185+AB200+AB138+AB139+AB140+AB141+AB142</f>
        <v>-5710025.96</v>
      </c>
      <c r="AC32" s="173">
        <f>+AC185+AC200+AC138+AC139+AC140+AC141+AC142</f>
        <v>6617453.9100000001</v>
      </c>
      <c r="AD32" s="173">
        <f>+AD185+AD200+AD138+AD139+AD140+AD141+AD142</f>
        <v>-2691846.74</v>
      </c>
      <c r="AE32" s="173">
        <f>+AE185+AE200+AE138+AE139+AE140+AE141+AE142</f>
        <v>-2942725.3299999996</v>
      </c>
      <c r="AF32" s="139">
        <f t="shared" si="5"/>
        <v>1944468.0063636363</v>
      </c>
      <c r="AG32" s="139">
        <f t="shared" si="6"/>
        <v>-1944468.0063636363</v>
      </c>
    </row>
    <row r="33" spans="1:33" x14ac:dyDescent="0.25">
      <c r="A33" s="130" t="s">
        <v>25</v>
      </c>
      <c r="B33" s="139">
        <f>B181</f>
        <v>11524.23</v>
      </c>
      <c r="C33" s="139">
        <f>C181</f>
        <v>9705.4699999999993</v>
      </c>
      <c r="D33" s="139">
        <f t="shared" ref="D33:E33" si="88">D181</f>
        <v>14691.34</v>
      </c>
      <c r="E33" s="139">
        <f t="shared" si="88"/>
        <v>5024.22</v>
      </c>
      <c r="F33" s="139">
        <f t="shared" ref="F33:L33" si="89">F181</f>
        <v>0</v>
      </c>
      <c r="G33" s="139">
        <f t="shared" si="89"/>
        <v>0</v>
      </c>
      <c r="H33" s="139">
        <f t="shared" si="89"/>
        <v>0</v>
      </c>
      <c r="I33" s="139">
        <f t="shared" si="89"/>
        <v>0</v>
      </c>
      <c r="J33" s="139">
        <f t="shared" si="89"/>
        <v>0</v>
      </c>
      <c r="K33" s="139">
        <f t="shared" si="89"/>
        <v>0</v>
      </c>
      <c r="L33" s="139">
        <f t="shared" si="89"/>
        <v>0</v>
      </c>
      <c r="M33" s="139">
        <f t="shared" ref="M33" si="90">M181</f>
        <v>0</v>
      </c>
      <c r="N33" s="139">
        <f>SUM(B33:M33)</f>
        <v>40945.259999999995</v>
      </c>
      <c r="O33" s="139"/>
      <c r="P33" s="139">
        <f t="shared" si="35"/>
        <v>57288.352499999986</v>
      </c>
      <c r="Q33" s="139">
        <f t="shared" si="36"/>
        <v>76384.469999999987</v>
      </c>
      <c r="R33" s="139">
        <v>76384.469999999987</v>
      </c>
      <c r="S33" s="170">
        <f t="shared" si="13"/>
        <v>0</v>
      </c>
      <c r="T33" s="168">
        <f t="shared" ref="T33:AE33" si="91">T181</f>
        <v>2682.05</v>
      </c>
      <c r="U33" s="168">
        <f t="shared" si="91"/>
        <v>-1617.38</v>
      </c>
      <c r="V33" s="168">
        <f t="shared" si="91"/>
        <v>5756.07</v>
      </c>
      <c r="W33" s="168">
        <f t="shared" si="91"/>
        <v>9048.32</v>
      </c>
      <c r="X33" s="168">
        <f t="shared" si="91"/>
        <v>11168.19</v>
      </c>
      <c r="Y33" s="168">
        <f t="shared" si="91"/>
        <v>3721.59</v>
      </c>
      <c r="Z33" s="168">
        <f t="shared" si="91"/>
        <v>6172.25</v>
      </c>
      <c r="AA33" s="168">
        <f t="shared" si="91"/>
        <v>7102.98</v>
      </c>
      <c r="AB33" s="168">
        <f t="shared" si="91"/>
        <v>7169.65</v>
      </c>
      <c r="AC33" s="168">
        <f t="shared" si="91"/>
        <v>9614.02</v>
      </c>
      <c r="AD33" s="168">
        <f t="shared" si="91"/>
        <v>6881.28</v>
      </c>
      <c r="AE33" s="168">
        <f t="shared" si="91"/>
        <v>8685.4500000000007</v>
      </c>
      <c r="AF33" s="139">
        <f t="shared" si="5"/>
        <v>3722.2963636363634</v>
      </c>
      <c r="AG33" s="139">
        <f t="shared" si="6"/>
        <v>-3722.2963636363634</v>
      </c>
    </row>
    <row r="34" spans="1:33" x14ac:dyDescent="0.25">
      <c r="A34" s="130" t="s">
        <v>26</v>
      </c>
      <c r="B34" s="142">
        <f t="shared" ref="B34:L34" si="92">SUM(B14:B33)</f>
        <v>500324560.25000006</v>
      </c>
      <c r="C34" s="142">
        <f t="shared" si="92"/>
        <v>949863108.5799998</v>
      </c>
      <c r="D34" s="142">
        <f t="shared" si="92"/>
        <v>530981255.59000015</v>
      </c>
      <c r="E34" s="142">
        <f t="shared" si="92"/>
        <v>446040843.49000013</v>
      </c>
      <c r="F34" s="142">
        <f t="shared" si="92"/>
        <v>0</v>
      </c>
      <c r="G34" s="142">
        <f t="shared" si="92"/>
        <v>0</v>
      </c>
      <c r="H34" s="142">
        <f>SUM(H14:H33)</f>
        <v>0</v>
      </c>
      <c r="I34" s="142">
        <f>SUM(I14:I33)</f>
        <v>0</v>
      </c>
      <c r="J34" s="142">
        <f t="shared" si="92"/>
        <v>0</v>
      </c>
      <c r="K34" s="142">
        <f t="shared" si="92"/>
        <v>0</v>
      </c>
      <c r="L34" s="142">
        <f t="shared" si="92"/>
        <v>0</v>
      </c>
      <c r="M34" s="142">
        <f>SUM(M14:M33)</f>
        <v>0</v>
      </c>
      <c r="N34" s="142">
        <f>SUM(N14:N33)</f>
        <v>2427209767.9100003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3"/>
        <v>0</v>
      </c>
      <c r="T34" s="171">
        <f t="shared" ref="T34:AE34" si="93">SUM(T14:T33)</f>
        <v>584428259.50999987</v>
      </c>
      <c r="U34" s="171">
        <f t="shared" si="93"/>
        <v>1325767059.3100004</v>
      </c>
      <c r="V34" s="171">
        <f t="shared" si="93"/>
        <v>407667417.19000006</v>
      </c>
      <c r="W34" s="171">
        <f t="shared" si="93"/>
        <v>144338649.61000001</v>
      </c>
      <c r="X34" s="171">
        <f t="shared" si="93"/>
        <v>211932002.40000001</v>
      </c>
      <c r="Y34" s="171">
        <f t="shared" si="93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93"/>
        <v>336028111.43999994</v>
      </c>
      <c r="AC34" s="171">
        <f t="shared" si="93"/>
        <v>149579678.36999986</v>
      </c>
      <c r="AD34" s="171">
        <f t="shared" si="93"/>
        <v>225304044.21999988</v>
      </c>
      <c r="AE34" s="171">
        <f t="shared" si="93"/>
        <v>192525184.67999995</v>
      </c>
      <c r="AF34" s="142">
        <f t="shared" si="5"/>
        <v>220655433.44636366</v>
      </c>
      <c r="AG34" s="142">
        <f t="shared" si="6"/>
        <v>-220655433.44636366</v>
      </c>
    </row>
    <row r="35" spans="1:33" ht="24" customHeight="1" thickBot="1" x14ac:dyDescent="0.3">
      <c r="A35" s="130" t="s">
        <v>27</v>
      </c>
      <c r="B35" s="145">
        <f t="shared" ref="B35:P35" si="94">+B11-B34</f>
        <v>1302760.4899999499</v>
      </c>
      <c r="C35" s="145">
        <f t="shared" si="94"/>
        <v>1192464.0500003099</v>
      </c>
      <c r="D35" s="145">
        <f t="shared" si="94"/>
        <v>7496977.8599998951</v>
      </c>
      <c r="E35" s="145">
        <f t="shared" si="94"/>
        <v>13472648.999999821</v>
      </c>
      <c r="F35" s="145">
        <f t="shared" si="94"/>
        <v>0</v>
      </c>
      <c r="G35" s="145">
        <f t="shared" si="94"/>
        <v>0</v>
      </c>
      <c r="H35" s="145">
        <f>+H11-H34</f>
        <v>0</v>
      </c>
      <c r="I35" s="145">
        <f>+I11-I34</f>
        <v>0</v>
      </c>
      <c r="J35" s="145">
        <f t="shared" si="94"/>
        <v>0</v>
      </c>
      <c r="K35" s="145">
        <f t="shared" si="94"/>
        <v>0</v>
      </c>
      <c r="L35" s="145">
        <f t="shared" si="94"/>
        <v>0</v>
      </c>
      <c r="M35" s="145">
        <f>+M11-M34</f>
        <v>0</v>
      </c>
      <c r="N35" s="145">
        <f t="shared" si="94"/>
        <v>23464851.399999619</v>
      </c>
      <c r="O35" s="145"/>
      <c r="P35" s="145">
        <f t="shared" si="94"/>
        <v>5318921.4450016022</v>
      </c>
      <c r="Q35" s="145">
        <f t="shared" ref="Q35" si="95">+Q11-Q34</f>
        <v>7091895.2600011826</v>
      </c>
      <c r="R35" s="145">
        <v>7091895.2600011826</v>
      </c>
      <c r="S35" s="170">
        <f t="shared" si="13"/>
        <v>9.8347663879394531E-7</v>
      </c>
      <c r="T35" s="174">
        <f t="shared" ref="T35:AE35" si="96">+T11-T34</f>
        <v>873800.75000011921</v>
      </c>
      <c r="U35" s="174">
        <f t="shared" si="96"/>
        <v>807135.46999979019</v>
      </c>
      <c r="V35" s="174">
        <f t="shared" si="96"/>
        <v>873124.75999993086</v>
      </c>
      <c r="W35" s="174">
        <f t="shared" si="96"/>
        <v>583926.69999995828</v>
      </c>
      <c r="X35" s="174">
        <f t="shared" si="96"/>
        <v>474371.84000000358</v>
      </c>
      <c r="Y35" s="174">
        <f t="shared" si="96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96"/>
        <v>435915.37000006437</v>
      </c>
      <c r="AC35" s="174">
        <f t="shared" si="96"/>
        <v>655609.87000012398</v>
      </c>
      <c r="AD35" s="174">
        <f t="shared" si="96"/>
        <v>280104.40000012517</v>
      </c>
      <c r="AE35" s="174">
        <f t="shared" si="96"/>
        <v>387921.87000006437</v>
      </c>
      <c r="AF35" s="145">
        <f t="shared" si="5"/>
        <v>2133168.3090908746</v>
      </c>
      <c r="AG35" s="145">
        <f t="shared" si="6"/>
        <v>-2133168.3090908746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97">+C35/C11</f>
        <v>1.2538321464251887E-3</v>
      </c>
      <c r="D36" s="146">
        <f t="shared" si="97"/>
        <v>1.3922527215198979E-2</v>
      </c>
      <c r="E36" s="146">
        <f t="shared" si="97"/>
        <v>2.9319376297297771E-2</v>
      </c>
      <c r="F36" s="146" t="e">
        <f t="shared" si="97"/>
        <v>#DIV/0!</v>
      </c>
      <c r="G36" s="146" t="e">
        <f t="shared" si="97"/>
        <v>#DIV/0!</v>
      </c>
      <c r="H36" s="146" t="e">
        <f t="shared" ref="H36" si="98">+H35/H11</f>
        <v>#DIV/0!</v>
      </c>
      <c r="I36" s="146" t="e">
        <f t="shared" si="97"/>
        <v>#DIV/0!</v>
      </c>
      <c r="J36" s="146" t="e">
        <f t="shared" si="97"/>
        <v>#DIV/0!</v>
      </c>
      <c r="K36" s="146" t="e">
        <f t="shared" si="97"/>
        <v>#DIV/0!</v>
      </c>
      <c r="L36" s="146" t="e">
        <f t="shared" si="97"/>
        <v>#DIV/0!</v>
      </c>
      <c r="M36" s="146" t="e">
        <f>+M35/M11</f>
        <v>#DIV/0!</v>
      </c>
      <c r="N36" s="146">
        <f t="shared" si="97"/>
        <v>9.5748538851747958E-3</v>
      </c>
      <c r="O36" s="146"/>
      <c r="P36" s="146">
        <f>+P35/P11</f>
        <v>1.5137165916367043E-3</v>
      </c>
      <c r="Q36" s="146">
        <f t="shared" si="97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99">+U35/U11</f>
        <v>6.0843597981615036E-4</v>
      </c>
      <c r="V36" s="175">
        <f t="shared" si="99"/>
        <v>2.137180206969006E-3</v>
      </c>
      <c r="W36" s="175">
        <f t="shared" si="99"/>
        <v>4.029232124268178E-3</v>
      </c>
      <c r="X36" s="175">
        <f t="shared" si="99"/>
        <v>2.233322053998277E-3</v>
      </c>
      <c r="Y36" s="175">
        <f t="shared" si="99"/>
        <v>1.6218628940166744E-3</v>
      </c>
      <c r="Z36" s="175">
        <f t="shared" si="99"/>
        <v>1.4639209722087921E-3</v>
      </c>
      <c r="AA36" s="175">
        <f t="shared" si="99"/>
        <v>1.5745401101078397E-3</v>
      </c>
      <c r="AB36" s="175">
        <f t="shared" si="99"/>
        <v>1.2955779378049951E-3</v>
      </c>
      <c r="AC36" s="175">
        <f t="shared" si="99"/>
        <v>4.3638873242136771E-3</v>
      </c>
      <c r="AD36" s="175">
        <f t="shared" si="99"/>
        <v>1.241684762487303E-3</v>
      </c>
      <c r="AE36" s="175">
        <f>+AE35/AE11</f>
        <v>2.0108632168002604E-3</v>
      </c>
      <c r="AF36" s="146" t="e">
        <f t="shared" si="5"/>
        <v>#DIV/0!</v>
      </c>
      <c r="AG36" s="146" t="e">
        <f t="shared" si="6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5"/>
        <v>0</v>
      </c>
      <c r="AG37" s="139">
        <f t="shared" si="6"/>
        <v>0</v>
      </c>
    </row>
    <row r="38" spans="1:33" x14ac:dyDescent="0.25">
      <c r="A38" s="130" t="s">
        <v>28</v>
      </c>
      <c r="B38" s="139">
        <v>1403242.9031000002</v>
      </c>
      <c r="C38" s="139">
        <v>1504798.8613985053</v>
      </c>
      <c r="D38" s="139">
        <v>11653797.526000001</v>
      </c>
      <c r="E38" s="139">
        <v>9075160.6940000001</v>
      </c>
      <c r="F38" s="139"/>
      <c r="G38" s="139"/>
      <c r="H38" s="139"/>
      <c r="I38" s="139"/>
      <c r="J38" s="139"/>
      <c r="K38" s="139"/>
      <c r="L38" s="139"/>
      <c r="M38" s="139"/>
      <c r="N38" s="139">
        <f>SUM(B38:M38)</f>
        <v>23636999.984498508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3"/>
        <v>0</v>
      </c>
      <c r="T38" s="168">
        <f>'[2]Comparison 2017-2018'!$G$30</f>
        <v>885928.51408513961</v>
      </c>
      <c r="U38" s="168">
        <f>'[2]Comparison 2017-2018'!$G$54</f>
        <v>681928.29401690571</v>
      </c>
      <c r="V38" s="168">
        <f>'[2]Comparison 2017-2018'!$G$80</f>
        <v>674363.71418699983</v>
      </c>
      <c r="W38" s="168">
        <f>'[2]Comparison 2017-2018'!$G$105</f>
        <v>655611.34502510389</v>
      </c>
      <c r="X38" s="168">
        <v>538671.68000000005</v>
      </c>
      <c r="Y38" s="168">
        <f>'[2]Comparison 2017-2018'!$G$155</f>
        <v>704133.82690028625</v>
      </c>
      <c r="Z38" s="168">
        <f>'[2]Comparison 2017-2018'!$G$181</f>
        <v>515101.24188355304</v>
      </c>
      <c r="AA38" s="168">
        <f>'[2]Comparison 2017-2018'!$G$207</f>
        <v>680756.08379218809</v>
      </c>
      <c r="AB38" s="168">
        <f>'[2]Comparison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5"/>
        <v>2148818.1804089551</v>
      </c>
      <c r="AG38" s="139">
        <f t="shared" si="6"/>
        <v>-2148818.1804089551</v>
      </c>
    </row>
    <row r="39" spans="1:33" x14ac:dyDescent="0.25">
      <c r="A39" s="130" t="s">
        <v>29</v>
      </c>
      <c r="B39" s="139">
        <v>4984.4799999999996</v>
      </c>
      <c r="C39" s="139">
        <v>6603.7599999999993</v>
      </c>
      <c r="D39" s="139">
        <v>0</v>
      </c>
      <c r="E39" s="139">
        <v>41372.81</v>
      </c>
      <c r="F39" s="139"/>
      <c r="G39" s="139"/>
      <c r="H39" s="139"/>
      <c r="I39" s="139"/>
      <c r="J39" s="139"/>
      <c r="K39" s="139"/>
      <c r="L39" s="139"/>
      <c r="M39" s="139"/>
      <c r="N39" s="139">
        <f t="shared" ref="N39:N51" si="100">SUM(B39:M39)</f>
        <v>52961.049999999996</v>
      </c>
      <c r="O39" s="139"/>
      <c r="P39" s="139">
        <f t="shared" ref="P39:P51" si="101">Q39/12*$P$3</f>
        <v>47708.805</v>
      </c>
      <c r="Q39" s="139">
        <f t="shared" ref="Q39:Q51" si="102">R39</f>
        <v>63611.74</v>
      </c>
      <c r="R39" s="139">
        <v>63611.74</v>
      </c>
      <c r="S39" s="170">
        <f t="shared" si="13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5"/>
        <v>4814.6409090909083</v>
      </c>
      <c r="AG39" s="139">
        <f t="shared" si="6"/>
        <v>-4814.6409090909083</v>
      </c>
    </row>
    <row r="40" spans="1:33" x14ac:dyDescent="0.25">
      <c r="A40" s="130" t="s">
        <v>30</v>
      </c>
      <c r="B40" s="139">
        <v>53892.89</v>
      </c>
      <c r="C40" s="139">
        <v>63577.32</v>
      </c>
      <c r="D40" s="139">
        <v>86672.66</v>
      </c>
      <c r="E40" s="139">
        <v>43531.19</v>
      </c>
      <c r="F40" s="139"/>
      <c r="G40" s="139"/>
      <c r="H40" s="139"/>
      <c r="I40" s="139"/>
      <c r="J40" s="144"/>
      <c r="K40" s="139"/>
      <c r="L40" s="144"/>
      <c r="M40" s="144"/>
      <c r="N40" s="139">
        <f t="shared" si="100"/>
        <v>247674.06</v>
      </c>
      <c r="O40" s="139"/>
      <c r="P40" s="139">
        <f t="shared" si="101"/>
        <v>392372.76</v>
      </c>
      <c r="Q40" s="139">
        <f t="shared" si="102"/>
        <v>523163.68</v>
      </c>
      <c r="R40" s="139">
        <v>523163.68</v>
      </c>
      <c r="S40" s="170">
        <f t="shared" si="13"/>
        <v>0</v>
      </c>
      <c r="T40" s="168">
        <f>'[3]Monthly Summary'!$B$6</f>
        <v>51934.229999999996</v>
      </c>
      <c r="U40" s="168">
        <f>[4]Feb!$B$35</f>
        <v>36189.82</v>
      </c>
      <c r="V40" s="168">
        <f>[3]Mar!$B$35</f>
        <v>90332.26999999999</v>
      </c>
      <c r="W40" s="139">
        <f>[3]Apr!$B$35</f>
        <v>42087.81</v>
      </c>
      <c r="X40" s="139">
        <v>36064.49</v>
      </c>
      <c r="Y40" s="139">
        <f>[3]Jun!$B$35</f>
        <v>6099.46</v>
      </c>
      <c r="Z40" s="139">
        <f>[3]Jul!$B$35</f>
        <v>91429.33</v>
      </c>
      <c r="AA40" s="139">
        <f>[3]Aug!$B$35</f>
        <v>25335.02</v>
      </c>
      <c r="AB40" s="172">
        <f>'[3]Sept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5"/>
        <v>22515.823636363635</v>
      </c>
      <c r="AG40" s="139">
        <f t="shared" si="6"/>
        <v>-22515.823636363635</v>
      </c>
    </row>
    <row r="41" spans="1:33" x14ac:dyDescent="0.25">
      <c r="A41" s="130" t="s">
        <v>31</v>
      </c>
      <c r="B41" s="139">
        <v>-302124.51</v>
      </c>
      <c r="C41" s="139">
        <v>-255979.24</v>
      </c>
      <c r="D41" s="139">
        <v>-239782.95</v>
      </c>
      <c r="E41" s="139">
        <v>-239408.66</v>
      </c>
      <c r="F41" s="139"/>
      <c r="G41" s="139"/>
      <c r="H41" s="139"/>
      <c r="I41" s="139"/>
      <c r="J41" s="139"/>
      <c r="K41" s="139"/>
      <c r="L41" s="144"/>
      <c r="M41" s="144"/>
      <c r="N41" s="139">
        <f>SUM(B41:M41)</f>
        <v>-1037295.36</v>
      </c>
      <c r="O41" s="139"/>
      <c r="P41" s="139">
        <f t="shared" si="101"/>
        <v>-979272.42749999999</v>
      </c>
      <c r="Q41" s="139">
        <f t="shared" si="102"/>
        <v>-1305696.57</v>
      </c>
      <c r="R41" s="139">
        <v>-1305696.57</v>
      </c>
      <c r="S41" s="170">
        <f t="shared" si="13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5"/>
        <v>-94299.578181818186</v>
      </c>
      <c r="AG41" s="139">
        <f t="shared" si="6"/>
        <v>94299.578181818186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>
        <v>32469.94</v>
      </c>
      <c r="E42" s="139">
        <v>487</v>
      </c>
      <c r="F42" s="139"/>
      <c r="G42" s="139"/>
      <c r="H42" s="139"/>
      <c r="I42" s="139"/>
      <c r="J42" s="139"/>
      <c r="K42" s="139"/>
      <c r="L42" s="144"/>
      <c r="M42" s="144"/>
      <c r="N42" s="139">
        <f t="shared" si="100"/>
        <v>57641.94</v>
      </c>
      <c r="O42" s="139"/>
      <c r="P42" s="139">
        <f t="shared" si="101"/>
        <v>133361.25</v>
      </c>
      <c r="Q42" s="139">
        <f t="shared" si="102"/>
        <v>177815</v>
      </c>
      <c r="R42" s="139">
        <v>177815</v>
      </c>
      <c r="S42" s="170">
        <f t="shared" si="13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5"/>
        <v>5240.1763636363639</v>
      </c>
      <c r="AG42" s="139">
        <f t="shared" si="6"/>
        <v>-5240.1763636363639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>
        <v>0</v>
      </c>
      <c r="E43" s="139">
        <v>1440440</v>
      </c>
      <c r="F43" s="139"/>
      <c r="G43" s="139"/>
      <c r="H43" s="139"/>
      <c r="I43" s="139"/>
      <c r="J43" s="139"/>
      <c r="K43" s="139"/>
      <c r="L43" s="144"/>
      <c r="M43" s="139"/>
      <c r="N43" s="139">
        <f t="shared" si="100"/>
        <v>1551398.5</v>
      </c>
      <c r="O43" s="139"/>
      <c r="P43" s="139">
        <f t="shared" si="101"/>
        <v>-64362.997500000005</v>
      </c>
      <c r="Q43" s="139">
        <f t="shared" si="102"/>
        <v>-85817.33</v>
      </c>
      <c r="R43" s="139">
        <v>-85817.33</v>
      </c>
      <c r="S43" s="170">
        <f t="shared" si="13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5"/>
        <v>141036.22727272726</v>
      </c>
      <c r="AG43" s="139">
        <f t="shared" si="6"/>
        <v>-141036.22727272726</v>
      </c>
    </row>
    <row r="44" spans="1:33" x14ac:dyDescent="0.25">
      <c r="A44" s="130" t="s">
        <v>616</v>
      </c>
      <c r="B44" s="139">
        <v>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100"/>
        <v>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/>
      <c r="AG44" s="139"/>
    </row>
    <row r="45" spans="1:33" x14ac:dyDescent="0.25">
      <c r="A45" s="130" t="s">
        <v>619</v>
      </c>
      <c r="C45" s="139">
        <v>350000</v>
      </c>
      <c r="D45" s="139">
        <v>-350000</v>
      </c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00"/>
        <v>0</v>
      </c>
      <c r="O45" s="139"/>
      <c r="P45" s="139">
        <f t="shared" si="101"/>
        <v>97186.5</v>
      </c>
      <c r="Q45" s="139">
        <f t="shared" si="102"/>
        <v>129582</v>
      </c>
      <c r="R45" s="139">
        <v>129582</v>
      </c>
      <c r="S45" s="170">
        <f t="shared" si="13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5"/>
        <v>0</v>
      </c>
      <c r="AG45" s="139">
        <f t="shared" si="6"/>
        <v>0</v>
      </c>
    </row>
    <row r="46" spans="1:33" x14ac:dyDescent="0.25">
      <c r="A46" s="130" t="s">
        <v>523</v>
      </c>
      <c r="B46" s="139">
        <v>30528.83</v>
      </c>
      <c r="C46" s="139">
        <v>18654.28</v>
      </c>
      <c r="D46" s="139">
        <v>36134.15</v>
      </c>
      <c r="E46" s="139">
        <v>66466.600000000006</v>
      </c>
      <c r="F46" s="139"/>
      <c r="G46" s="139"/>
      <c r="H46" s="139"/>
      <c r="I46" s="139"/>
      <c r="J46" s="139"/>
      <c r="K46" s="139"/>
      <c r="L46" s="144"/>
      <c r="M46" s="144"/>
      <c r="N46" s="139">
        <f t="shared" si="100"/>
        <v>151783.86000000002</v>
      </c>
      <c r="O46" s="139"/>
      <c r="P46" s="139">
        <f t="shared" si="101"/>
        <v>14733.397499999999</v>
      </c>
      <c r="Q46" s="139">
        <f t="shared" si="102"/>
        <v>19644.53</v>
      </c>
      <c r="R46" s="139">
        <v>19644.53</v>
      </c>
      <c r="S46" s="170">
        <f t="shared" si="13"/>
        <v>0</v>
      </c>
      <c r="T46" s="168">
        <v>0</v>
      </c>
      <c r="U46" s="168">
        <v>0</v>
      </c>
      <c r="V46" s="168">
        <v>0</v>
      </c>
      <c r="W46" s="168">
        <v>0</v>
      </c>
      <c r="X46" s="168">
        <v>0</v>
      </c>
      <c r="Y46" s="168">
        <v>0</v>
      </c>
      <c r="Z46" s="168">
        <v>0</v>
      </c>
      <c r="AA46" s="168">
        <v>0</v>
      </c>
      <c r="AB46" s="168">
        <v>0</v>
      </c>
      <c r="AC46" s="172">
        <v>0</v>
      </c>
      <c r="AD46" s="172">
        <v>9288.25</v>
      </c>
      <c r="AE46" s="172">
        <v>10356.280000000001</v>
      </c>
      <c r="AF46" s="139">
        <f t="shared" si="5"/>
        <v>13798.532727272728</v>
      </c>
      <c r="AG46" s="139">
        <f t="shared" si="6"/>
        <v>-13798.532727272728</v>
      </c>
    </row>
    <row r="47" spans="1:33" x14ac:dyDescent="0.25">
      <c r="A47" s="130" t="s">
        <v>591</v>
      </c>
      <c r="B47" s="139">
        <v>29014.68</v>
      </c>
      <c r="C47" s="139">
        <v>0</v>
      </c>
      <c r="D47" s="139"/>
      <c r="E47" s="139"/>
      <c r="F47" s="139"/>
      <c r="G47" s="139"/>
      <c r="H47" s="139"/>
      <c r="I47" s="139"/>
      <c r="J47" s="139"/>
      <c r="K47" s="139"/>
      <c r="L47" s="144"/>
      <c r="M47" s="144"/>
      <c r="N47" s="139">
        <f t="shared" si="100"/>
        <v>29014.68</v>
      </c>
      <c r="O47" s="139"/>
      <c r="P47" s="139">
        <f t="shared" si="101"/>
        <v>-69564.375</v>
      </c>
      <c r="Q47" s="139">
        <f t="shared" si="102"/>
        <v>-92752.5</v>
      </c>
      <c r="R47" s="139">
        <v>-92752.5</v>
      </c>
      <c r="S47" s="170">
        <f t="shared" si="13"/>
        <v>0</v>
      </c>
      <c r="U47" s="168"/>
      <c r="V47" s="168"/>
      <c r="W47" s="168"/>
      <c r="X47" s="168"/>
      <c r="Y47" s="168"/>
      <c r="Z47" s="168"/>
      <c r="AA47" s="168"/>
      <c r="AB47" s="168"/>
      <c r="AC47" s="172"/>
      <c r="AD47" s="172">
        <v>-92752.5</v>
      </c>
      <c r="AE47" s="172"/>
      <c r="AF47" s="139"/>
      <c r="AG47" s="139"/>
    </row>
    <row r="48" spans="1:33" x14ac:dyDescent="0.25">
      <c r="A48" s="130" t="s">
        <v>620</v>
      </c>
      <c r="B48" s="139">
        <v>0</v>
      </c>
      <c r="C48" s="139">
        <v>0</v>
      </c>
      <c r="D48" s="139">
        <v>-126351.4</v>
      </c>
      <c r="E48" s="139">
        <v>75643.399999999994</v>
      </c>
      <c r="F48" s="139"/>
      <c r="G48" s="139"/>
      <c r="H48" s="139"/>
      <c r="I48" s="139"/>
      <c r="J48" s="139"/>
      <c r="K48" s="139"/>
      <c r="L48" s="144"/>
      <c r="M48" s="144"/>
      <c r="N48" s="139">
        <f t="shared" si="100"/>
        <v>-50708</v>
      </c>
      <c r="O48" s="139"/>
      <c r="P48" s="139"/>
      <c r="Q48" s="139"/>
      <c r="R48" s="139"/>
      <c r="S48" s="170"/>
      <c r="U48" s="168"/>
      <c r="V48" s="168"/>
      <c r="W48" s="168"/>
      <c r="X48" s="168"/>
      <c r="Y48" s="168"/>
      <c r="Z48" s="168"/>
      <c r="AA48" s="168"/>
      <c r="AB48" s="168"/>
      <c r="AC48" s="172"/>
      <c r="AD48" s="172"/>
      <c r="AE48" s="172"/>
      <c r="AF48" s="139"/>
      <c r="AG48" s="139"/>
    </row>
    <row r="49" spans="1:33" x14ac:dyDescent="0.25">
      <c r="A49" s="130" t="s">
        <v>621</v>
      </c>
      <c r="B49" s="139">
        <v>0</v>
      </c>
      <c r="C49" s="139">
        <v>0</v>
      </c>
      <c r="D49" s="139">
        <v>0</v>
      </c>
      <c r="E49" s="139">
        <v>3453635.78</v>
      </c>
      <c r="F49" s="139"/>
      <c r="G49" s="139"/>
      <c r="H49" s="139"/>
      <c r="I49" s="139"/>
      <c r="J49" s="139"/>
      <c r="K49" s="139"/>
      <c r="L49" s="144"/>
      <c r="M49" s="144"/>
      <c r="N49" s="139">
        <f t="shared" si="100"/>
        <v>3453635.78</v>
      </c>
      <c r="O49" s="139"/>
      <c r="P49" s="139"/>
      <c r="Q49" s="139"/>
      <c r="R49" s="139"/>
      <c r="S49" s="170"/>
      <c r="U49" s="168"/>
      <c r="V49" s="168"/>
      <c r="W49" s="168"/>
      <c r="X49" s="168"/>
      <c r="Y49" s="168"/>
      <c r="Z49" s="168"/>
      <c r="AA49" s="168"/>
      <c r="AB49" s="168"/>
      <c r="AC49" s="172"/>
      <c r="AD49" s="172"/>
      <c r="AE49" s="172"/>
      <c r="AF49" s="139"/>
      <c r="AG49" s="139"/>
    </row>
    <row r="50" spans="1:33" x14ac:dyDescent="0.25">
      <c r="A50" s="130" t="s">
        <v>622</v>
      </c>
      <c r="B50" s="139">
        <v>-17691.71</v>
      </c>
      <c r="C50" s="139">
        <v>-373001.87</v>
      </c>
      <c r="D50" s="139">
        <v>-3453635.78</v>
      </c>
      <c r="E50" s="139">
        <v>-1090964.98</v>
      </c>
      <c r="F50" s="139"/>
      <c r="G50" s="139"/>
      <c r="H50" s="139"/>
      <c r="I50" s="139"/>
      <c r="J50" s="139"/>
      <c r="K50" s="139"/>
      <c r="L50" s="144"/>
      <c r="M50" s="144"/>
      <c r="N50" s="139">
        <f t="shared" si="100"/>
        <v>-4935294.34</v>
      </c>
      <c r="O50" s="139"/>
      <c r="P50" s="139"/>
      <c r="Q50" s="139"/>
      <c r="R50" s="139"/>
      <c r="S50" s="170"/>
      <c r="U50" s="168"/>
      <c r="V50" s="168"/>
      <c r="W50" s="168"/>
      <c r="X50" s="168"/>
      <c r="Y50" s="168"/>
      <c r="Z50" s="168"/>
      <c r="AA50" s="168"/>
      <c r="AB50" s="168"/>
      <c r="AC50" s="172"/>
      <c r="AD50" s="172"/>
      <c r="AE50" s="172"/>
      <c r="AF50" s="139"/>
      <c r="AG50" s="139"/>
    </row>
    <row r="51" spans="1:33" x14ac:dyDescent="0.25">
      <c r="A51" s="130" t="s">
        <v>33</v>
      </c>
      <c r="B51" s="139">
        <v>-35000</v>
      </c>
      <c r="C51" s="139">
        <v>-35000</v>
      </c>
      <c r="D51" s="139">
        <v>-35000</v>
      </c>
      <c r="E51" s="139">
        <v>-35000</v>
      </c>
      <c r="F51" s="139"/>
      <c r="G51" s="139"/>
      <c r="H51" s="139"/>
      <c r="I51" s="139"/>
      <c r="J51" s="139"/>
      <c r="K51" s="139"/>
      <c r="L51" s="144"/>
      <c r="M51" s="139"/>
      <c r="N51" s="139">
        <f t="shared" si="100"/>
        <v>-140000</v>
      </c>
      <c r="O51" s="139"/>
      <c r="P51" s="139">
        <f t="shared" si="101"/>
        <v>-315000</v>
      </c>
      <c r="Q51" s="139">
        <f t="shared" si="102"/>
        <v>-420000</v>
      </c>
      <c r="R51" s="139">
        <v>-420000</v>
      </c>
      <c r="S51" s="170">
        <f t="shared" si="13"/>
        <v>0</v>
      </c>
      <c r="T51" s="168">
        <v>-35000</v>
      </c>
      <c r="U51" s="168">
        <f>-18000-17000</f>
        <v>-35000</v>
      </c>
      <c r="V51" s="168">
        <v>-35000</v>
      </c>
      <c r="W51" s="168">
        <v>-35000</v>
      </c>
      <c r="X51" s="168">
        <v>-35000</v>
      </c>
      <c r="Y51" s="168">
        <v>-35000</v>
      </c>
      <c r="Z51" s="168">
        <v>-35000</v>
      </c>
      <c r="AA51" s="168">
        <v>-35000</v>
      </c>
      <c r="AB51" s="168">
        <v>-35000</v>
      </c>
      <c r="AC51" s="168">
        <v>-35000</v>
      </c>
      <c r="AD51" s="168">
        <v>-35000</v>
      </c>
      <c r="AE51" s="168">
        <v>-35000</v>
      </c>
      <c r="AF51" s="139">
        <f t="shared" si="5"/>
        <v>-12727.272727272728</v>
      </c>
      <c r="AG51" s="139">
        <f t="shared" si="6"/>
        <v>12727.272727272728</v>
      </c>
    </row>
    <row r="52" spans="1:33" x14ac:dyDescent="0.25">
      <c r="B52" s="142">
        <f>SUM(B38:B51)</f>
        <v>1287009.0631000001</v>
      </c>
      <c r="C52" s="142">
        <f>SUM(C38:C51)</f>
        <v>1295135.1113985055</v>
      </c>
      <c r="D52" s="142">
        <f>SUM(D38:D51)</f>
        <v>7604304.1460000016</v>
      </c>
      <c r="E52" s="142">
        <f>SUM(E38:E51)</f>
        <v>12831363.833999999</v>
      </c>
      <c r="F52" s="142">
        <f>SUM(F38:F51)</f>
        <v>0</v>
      </c>
      <c r="G52" s="142">
        <f>SUM(G38:G51)</f>
        <v>0</v>
      </c>
      <c r="H52" s="142">
        <f>SUM(H38:H51)</f>
        <v>0</v>
      </c>
      <c r="I52" s="142">
        <f>SUM(I38:I51)</f>
        <v>0</v>
      </c>
      <c r="J52" s="142">
        <f>SUM(J38:J51)</f>
        <v>0</v>
      </c>
      <c r="K52" s="142">
        <f>SUM(K38:K51)</f>
        <v>0</v>
      </c>
      <c r="L52" s="142">
        <f>SUM(L38:L51)</f>
        <v>0</v>
      </c>
      <c r="M52" s="142">
        <f>SUM(M38:M51)</f>
        <v>0</v>
      </c>
      <c r="N52" s="142">
        <f>SUM(N38:N51)</f>
        <v>23017812.15449851</v>
      </c>
      <c r="O52" s="142"/>
      <c r="P52" s="142">
        <f>SUM(P38:P51)</f>
        <v>5274275.2018621545</v>
      </c>
      <c r="Q52" s="142">
        <f>SUM(Q38:Q51)</f>
        <v>7032366.935816207</v>
      </c>
      <c r="R52" s="142">
        <v>6994827.935816207</v>
      </c>
      <c r="S52" s="170">
        <f t="shared" si="13"/>
        <v>-37538.999999998137</v>
      </c>
      <c r="T52" s="171">
        <f>SUM(T38:T51)</f>
        <v>874523.04408513964</v>
      </c>
      <c r="U52" s="171">
        <f>SUM(U38:U51)</f>
        <v>628087.73401690566</v>
      </c>
      <c r="V52" s="171">
        <f>SUM(V38:V51)</f>
        <v>763721.3041869998</v>
      </c>
      <c r="W52" s="171">
        <f>SUM(W38:W51)</f>
        <v>694818.68502510397</v>
      </c>
      <c r="X52" s="171">
        <f>SUM(X38:X51)</f>
        <v>488128.84000000008</v>
      </c>
      <c r="Y52" s="171">
        <f>SUM(Y38:Y51)</f>
        <v>531029.93690028624</v>
      </c>
      <c r="Z52" s="171">
        <f>SUM(Z38:Z51)</f>
        <v>542176.07188355306</v>
      </c>
      <c r="AA52" s="171">
        <f>SUM(AA38:AA51)</f>
        <v>626554.65379218815</v>
      </c>
      <c r="AB52" s="171">
        <f>SUM(AB38:AB51)</f>
        <v>580975.34297928843</v>
      </c>
      <c r="AC52" s="171">
        <f>SUM(AC38:AC51)</f>
        <v>619997.68000000005</v>
      </c>
      <c r="AD52" s="171">
        <f>SUM(AD38:AD51)</f>
        <v>394156.93000000005</v>
      </c>
      <c r="AE52" s="171">
        <f>SUM(AE38:AE51)</f>
        <v>288196.71294674079</v>
      </c>
      <c r="AF52" s="142">
        <f t="shared" si="5"/>
        <v>2092528.3776816828</v>
      </c>
      <c r="AG52" s="142">
        <f t="shared" si="6"/>
        <v>-2092528.3776816828</v>
      </c>
    </row>
    <row r="53" spans="1:33" ht="25.5" customHeight="1" thickBot="1" x14ac:dyDescent="0.3">
      <c r="A53" s="130" t="s">
        <v>34</v>
      </c>
      <c r="B53" s="147">
        <f>+B35-B52</f>
        <v>15751.426899949787</v>
      </c>
      <c r="C53" s="147">
        <f>+C35-C52</f>
        <v>-102671.06139819557</v>
      </c>
      <c r="D53" s="147">
        <f>+D35-D52</f>
        <v>-107326.28600010648</v>
      </c>
      <c r="E53" s="147">
        <f>+E35-E52</f>
        <v>641285.16599982232</v>
      </c>
      <c r="F53" s="147">
        <f>+F35-F52</f>
        <v>0</v>
      </c>
      <c r="G53" s="147">
        <f>+G35-G52</f>
        <v>0</v>
      </c>
      <c r="H53" s="147">
        <f>+H35-H52</f>
        <v>0</v>
      </c>
      <c r="I53" s="147">
        <f>+I35-I52</f>
        <v>0</v>
      </c>
      <c r="J53" s="147">
        <f>+J35-J52</f>
        <v>0</v>
      </c>
      <c r="K53" s="147">
        <f>+K35-K52</f>
        <v>0</v>
      </c>
      <c r="L53" s="147">
        <f>+L35-L52</f>
        <v>0</v>
      </c>
      <c r="M53" s="147">
        <f>+M35-M52</f>
        <v>0</v>
      </c>
      <c r="N53" s="147">
        <f>+N35-N52</f>
        <v>447039.24550110847</v>
      </c>
      <c r="O53" s="147"/>
      <c r="P53" s="147">
        <f>+P35-P52</f>
        <v>44646.243139447644</v>
      </c>
      <c r="Q53" s="147">
        <f>+Q35-Q52</f>
        <v>59528.324184975587</v>
      </c>
      <c r="R53" s="147">
        <v>97067.324184975587</v>
      </c>
      <c r="S53" s="170">
        <f t="shared" si="13"/>
        <v>37539.000000982429</v>
      </c>
      <c r="T53" s="176">
        <f>+T35-T52</f>
        <v>-722.29408502043225</v>
      </c>
      <c r="U53" s="176">
        <f>+U35-U52</f>
        <v>179047.73598288454</v>
      </c>
      <c r="V53" s="176">
        <f>+V35-V52</f>
        <v>109403.45581293106</v>
      </c>
      <c r="W53" s="176">
        <f>+W35-W52</f>
        <v>-110891.9850251457</v>
      </c>
      <c r="X53" s="176">
        <f>+X35-X52</f>
        <v>-13756.999999996508</v>
      </c>
      <c r="Y53" s="176">
        <f>+Y35-Y52</f>
        <v>46763.123099656543</v>
      </c>
      <c r="Z53" s="176">
        <f>+Z35-Z52</f>
        <v>-115422.47188352922</v>
      </c>
      <c r="AA53" s="176">
        <f>+AA35-AA52</f>
        <v>88882.916207864298</v>
      </c>
      <c r="AB53" s="176">
        <f>+AB35-AB52</f>
        <v>-145059.97297922405</v>
      </c>
      <c r="AC53" s="176">
        <f>+AC35-AC52</f>
        <v>35612.190000123926</v>
      </c>
      <c r="AD53" s="176">
        <f>+AD35-AD52</f>
        <v>-114052.52999987488</v>
      </c>
      <c r="AE53" s="176">
        <f>+AE35-AE52</f>
        <v>99725.157053323579</v>
      </c>
      <c r="AF53" s="147">
        <f t="shared" si="5"/>
        <v>40639.931409191682</v>
      </c>
      <c r="AG53" s="147">
        <f t="shared" si="6"/>
        <v>-40639.931409191682</v>
      </c>
    </row>
    <row r="54" spans="1:33" ht="15.75" thickTop="1" x14ac:dyDescent="0.25"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S54" s="170">
        <f t="shared" si="13"/>
        <v>0</v>
      </c>
      <c r="U54" s="168"/>
      <c r="V54" s="168"/>
      <c r="W54" s="168"/>
      <c r="X54" s="168"/>
      <c r="Y54" s="168"/>
      <c r="Z54" s="177"/>
      <c r="AA54" s="177"/>
      <c r="AB54" s="177"/>
      <c r="AC54" s="177"/>
      <c r="AD54" s="168"/>
      <c r="AE54" s="168"/>
      <c r="AF54" s="130">
        <f t="shared" si="5"/>
        <v>0</v>
      </c>
      <c r="AG54" s="130">
        <f t="shared" si="6"/>
        <v>0</v>
      </c>
    </row>
    <row r="55" spans="1:33" x14ac:dyDescent="0.25"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S55" s="170">
        <f t="shared" si="13"/>
        <v>0</v>
      </c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30">
        <f t="shared" si="5"/>
        <v>0</v>
      </c>
      <c r="AG55" s="130">
        <f t="shared" si="6"/>
        <v>0</v>
      </c>
    </row>
    <row r="56" spans="1:33" ht="30" x14ac:dyDescent="0.25">
      <c r="A56" s="132" t="s">
        <v>35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13"/>
        <v>0</v>
      </c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30">
        <f t="shared" si="5"/>
        <v>0</v>
      </c>
      <c r="AG56" s="130">
        <f t="shared" si="6"/>
        <v>0</v>
      </c>
    </row>
    <row r="57" spans="1:33" x14ac:dyDescent="0.25">
      <c r="A57" s="130" t="s">
        <v>2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S57" s="170">
        <f t="shared" si="13"/>
        <v>0</v>
      </c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30">
        <f t="shared" si="5"/>
        <v>0</v>
      </c>
      <c r="AG57" s="130">
        <f t="shared" si="6"/>
        <v>0</v>
      </c>
    </row>
    <row r="58" spans="1:33" x14ac:dyDescent="0.25">
      <c r="A58" s="130" t="s">
        <v>36</v>
      </c>
      <c r="B58" s="139">
        <f t="shared" ref="B58:L58" si="103">B109</f>
        <v>0</v>
      </c>
      <c r="C58" s="139">
        <f t="shared" si="103"/>
        <v>0</v>
      </c>
      <c r="D58" s="139">
        <f t="shared" ref="D58:E58" si="104">D109</f>
        <v>0</v>
      </c>
      <c r="E58" s="139">
        <f t="shared" si="104"/>
        <v>0</v>
      </c>
      <c r="F58" s="139">
        <f t="shared" si="103"/>
        <v>0</v>
      </c>
      <c r="G58" s="139">
        <f t="shared" si="103"/>
        <v>0</v>
      </c>
      <c r="H58" s="139">
        <f t="shared" si="103"/>
        <v>0</v>
      </c>
      <c r="I58" s="139">
        <f t="shared" si="103"/>
        <v>0</v>
      </c>
      <c r="J58" s="139">
        <f t="shared" si="103"/>
        <v>0</v>
      </c>
      <c r="K58" s="139">
        <f t="shared" si="103"/>
        <v>0</v>
      </c>
      <c r="L58" s="139">
        <f t="shared" si="103"/>
        <v>0</v>
      </c>
      <c r="M58" s="139">
        <f t="shared" ref="M58" si="105">M109</f>
        <v>0</v>
      </c>
      <c r="N58" s="139">
        <f>SUM(B58:M58)</f>
        <v>0</v>
      </c>
      <c r="O58" s="139"/>
      <c r="P58" s="139">
        <f>Q58/12*$P$3</f>
        <v>0</v>
      </c>
      <c r="Q58" s="139">
        <f>R58</f>
        <v>0</v>
      </c>
      <c r="R58" s="139">
        <v>0</v>
      </c>
      <c r="S58" s="170">
        <f t="shared" si="13"/>
        <v>0</v>
      </c>
      <c r="T58" s="168">
        <f>T109</f>
        <v>0</v>
      </c>
      <c r="U58" s="168">
        <f>U109</f>
        <v>0</v>
      </c>
      <c r="V58" s="168">
        <f>V109</f>
        <v>0</v>
      </c>
      <c r="W58" s="168">
        <f t="shared" ref="W58:AE58" si="106">W109</f>
        <v>0</v>
      </c>
      <c r="X58" s="168">
        <f t="shared" si="106"/>
        <v>0</v>
      </c>
      <c r="Y58" s="168">
        <f t="shared" si="106"/>
        <v>0</v>
      </c>
      <c r="Z58" s="168">
        <f t="shared" si="106"/>
        <v>0</v>
      </c>
      <c r="AA58" s="168">
        <f t="shared" si="106"/>
        <v>0</v>
      </c>
      <c r="AB58" s="168">
        <f t="shared" si="106"/>
        <v>0</v>
      </c>
      <c r="AC58" s="168">
        <f t="shared" si="106"/>
        <v>0</v>
      </c>
      <c r="AD58" s="168">
        <f t="shared" si="106"/>
        <v>0</v>
      </c>
      <c r="AE58" s="168">
        <f t="shared" si="106"/>
        <v>0</v>
      </c>
      <c r="AF58" s="139">
        <f t="shared" si="5"/>
        <v>0</v>
      </c>
      <c r="AG58" s="139">
        <f t="shared" si="6"/>
        <v>0</v>
      </c>
    </row>
    <row r="59" spans="1:33" x14ac:dyDescent="0.25">
      <c r="A59" s="130" t="s">
        <v>37</v>
      </c>
      <c r="B59" s="139">
        <f t="shared" ref="B59:L59" si="107">B115+B127</f>
        <v>25767.99</v>
      </c>
      <c r="C59" s="139">
        <f t="shared" si="107"/>
        <v>27684.39</v>
      </c>
      <c r="D59" s="139">
        <f t="shared" ref="D59:E59" si="108">D115+D127</f>
        <v>12945.12</v>
      </c>
      <c r="E59" s="139">
        <f t="shared" si="108"/>
        <v>191151.18</v>
      </c>
      <c r="F59" s="139">
        <f t="shared" si="107"/>
        <v>0</v>
      </c>
      <c r="G59" s="139">
        <f t="shared" si="107"/>
        <v>0</v>
      </c>
      <c r="H59" s="139">
        <f t="shared" si="107"/>
        <v>0</v>
      </c>
      <c r="I59" s="139">
        <f t="shared" si="107"/>
        <v>0</v>
      </c>
      <c r="J59" s="139">
        <f t="shared" si="107"/>
        <v>0</v>
      </c>
      <c r="K59" s="139">
        <f t="shared" si="107"/>
        <v>0</v>
      </c>
      <c r="L59" s="139">
        <f t="shared" si="107"/>
        <v>0</v>
      </c>
      <c r="M59" s="139">
        <f t="shared" ref="M59" si="109">M115+M127</f>
        <v>0</v>
      </c>
      <c r="N59" s="139">
        <f t="shared" ref="N59:N61" si="110">SUM(B59:M59)</f>
        <v>257548.68</v>
      </c>
      <c r="O59" s="139"/>
      <c r="P59" s="139">
        <f t="shared" ref="P59:P61" si="111">Q59/12*$P$3</f>
        <v>323715.04499999998</v>
      </c>
      <c r="Q59" s="139">
        <f t="shared" ref="Q59:Q79" si="112">R59</f>
        <v>431620.06</v>
      </c>
      <c r="R59" s="139">
        <v>431620.06</v>
      </c>
      <c r="S59" s="170">
        <f t="shared" si="13"/>
        <v>0</v>
      </c>
      <c r="T59" s="168">
        <f>T115+T127</f>
        <v>44174.48</v>
      </c>
      <c r="U59" s="168">
        <f>U115+U127</f>
        <v>37026.959999999999</v>
      </c>
      <c r="V59" s="168">
        <f>V115+V127</f>
        <v>50952.97</v>
      </c>
      <c r="W59" s="168">
        <f>W115+W127</f>
        <v>17383</v>
      </c>
      <c r="X59" s="168">
        <f t="shared" ref="X59:AE59" si="113">X115+X127</f>
        <v>6537.5</v>
      </c>
      <c r="Y59" s="168">
        <f t="shared" si="113"/>
        <v>12690.5</v>
      </c>
      <c r="Z59" s="168">
        <f t="shared" si="113"/>
        <v>14136.99</v>
      </c>
      <c r="AA59" s="168">
        <f t="shared" si="113"/>
        <v>3546</v>
      </c>
      <c r="AB59" s="168">
        <f t="shared" si="113"/>
        <v>6577.55</v>
      </c>
      <c r="AC59" s="168">
        <f t="shared" si="113"/>
        <v>18560.79</v>
      </c>
      <c r="AD59" s="168">
        <f t="shared" si="113"/>
        <v>30425.09</v>
      </c>
      <c r="AE59" s="168">
        <f t="shared" si="113"/>
        <v>189608.23</v>
      </c>
      <c r="AF59" s="139">
        <f t="shared" si="5"/>
        <v>23413.516363636361</v>
      </c>
      <c r="AG59" s="139">
        <f t="shared" si="6"/>
        <v>-23413.516363636361</v>
      </c>
    </row>
    <row r="60" spans="1:33" x14ac:dyDescent="0.25">
      <c r="A60" s="130" t="s">
        <v>38</v>
      </c>
      <c r="B60" s="139">
        <f t="shared" ref="B60:L60" si="114">B114+B126</f>
        <v>0</v>
      </c>
      <c r="C60" s="139">
        <f t="shared" si="114"/>
        <v>0</v>
      </c>
      <c r="D60" s="139">
        <f t="shared" ref="D60:E60" si="115">D114+D126</f>
        <v>1600</v>
      </c>
      <c r="E60" s="139">
        <f t="shared" si="115"/>
        <v>1894.28</v>
      </c>
      <c r="F60" s="139">
        <f t="shared" si="114"/>
        <v>0</v>
      </c>
      <c r="G60" s="139">
        <f t="shared" si="114"/>
        <v>0</v>
      </c>
      <c r="H60" s="139">
        <f t="shared" si="114"/>
        <v>0</v>
      </c>
      <c r="I60" s="139">
        <f t="shared" si="114"/>
        <v>0</v>
      </c>
      <c r="J60" s="139">
        <f t="shared" si="114"/>
        <v>0</v>
      </c>
      <c r="K60" s="139">
        <f t="shared" si="114"/>
        <v>0</v>
      </c>
      <c r="L60" s="139">
        <f t="shared" si="114"/>
        <v>0</v>
      </c>
      <c r="M60" s="139">
        <f t="shared" ref="M60" si="116">M114+M126</f>
        <v>0</v>
      </c>
      <c r="N60" s="139">
        <f t="shared" si="110"/>
        <v>3494.2799999999997</v>
      </c>
      <c r="O60" s="139"/>
      <c r="P60" s="139">
        <f t="shared" si="111"/>
        <v>8893.83</v>
      </c>
      <c r="Q60" s="139">
        <f t="shared" si="112"/>
        <v>11858.44</v>
      </c>
      <c r="R60" s="139">
        <v>11858.44</v>
      </c>
      <c r="S60" s="170">
        <f t="shared" si="13"/>
        <v>0</v>
      </c>
      <c r="T60" s="168">
        <f>T114+T126</f>
        <v>0</v>
      </c>
      <c r="U60" s="168">
        <f>U114+U126</f>
        <v>0</v>
      </c>
      <c r="V60" s="168">
        <f>V114+V126</f>
        <v>0</v>
      </c>
      <c r="W60" s="168">
        <f>W114+W126</f>
        <v>0</v>
      </c>
      <c r="X60" s="168">
        <f t="shared" ref="X60:AE60" si="117">X114+X126</f>
        <v>100</v>
      </c>
      <c r="Y60" s="168">
        <f t="shared" si="117"/>
        <v>0</v>
      </c>
      <c r="Z60" s="168">
        <f t="shared" si="117"/>
        <v>100</v>
      </c>
      <c r="AA60" s="168">
        <f t="shared" si="117"/>
        <v>275</v>
      </c>
      <c r="AB60" s="168">
        <f t="shared" si="117"/>
        <v>780</v>
      </c>
      <c r="AC60" s="168">
        <f t="shared" si="117"/>
        <v>145</v>
      </c>
      <c r="AD60" s="168">
        <f t="shared" si="117"/>
        <v>800</v>
      </c>
      <c r="AE60" s="168">
        <f t="shared" si="117"/>
        <v>9658.44</v>
      </c>
      <c r="AF60" s="139">
        <f t="shared" si="5"/>
        <v>317.66181818181815</v>
      </c>
      <c r="AG60" s="139">
        <f t="shared" si="6"/>
        <v>-317.66181818181815</v>
      </c>
    </row>
    <row r="61" spans="1:33" x14ac:dyDescent="0.25">
      <c r="A61" s="130" t="s">
        <v>39</v>
      </c>
      <c r="B61" s="139">
        <f t="shared" ref="B61:L61" si="118">B116+B118+B119+B120+B121</f>
        <v>25943.69</v>
      </c>
      <c r="C61" s="139">
        <f t="shared" si="118"/>
        <v>47673.68</v>
      </c>
      <c r="D61" s="139">
        <f t="shared" ref="D61:E61" si="119">D116+D118+D119+D120+D121</f>
        <v>90187.65</v>
      </c>
      <c r="E61" s="139">
        <f t="shared" si="119"/>
        <v>89301.39</v>
      </c>
      <c r="F61" s="139">
        <f t="shared" si="118"/>
        <v>0</v>
      </c>
      <c r="G61" s="139">
        <f t="shared" si="118"/>
        <v>0</v>
      </c>
      <c r="H61" s="139">
        <f t="shared" si="118"/>
        <v>0</v>
      </c>
      <c r="I61" s="139">
        <f t="shared" si="118"/>
        <v>0</v>
      </c>
      <c r="J61" s="139">
        <f t="shared" si="118"/>
        <v>0</v>
      </c>
      <c r="K61" s="139">
        <f t="shared" si="118"/>
        <v>0</v>
      </c>
      <c r="L61" s="139">
        <f t="shared" si="118"/>
        <v>0</v>
      </c>
      <c r="M61" s="139">
        <f>M116+M118+M119+M120+M121</f>
        <v>0</v>
      </c>
      <c r="N61" s="139">
        <f t="shared" si="110"/>
        <v>253106.40999999997</v>
      </c>
      <c r="O61" s="139"/>
      <c r="P61" s="139">
        <f t="shared" si="111"/>
        <v>571586.66250000009</v>
      </c>
      <c r="Q61" s="139">
        <f t="shared" si="112"/>
        <v>762115.55</v>
      </c>
      <c r="R61" s="139">
        <v>762115.55</v>
      </c>
      <c r="S61" s="170">
        <f t="shared" si="13"/>
        <v>0</v>
      </c>
      <c r="T61" s="168">
        <f>T116+T118+T119+T120</f>
        <v>44096.53</v>
      </c>
      <c r="U61" s="168">
        <f>U116+U118+U119+U120</f>
        <v>78044.399999999994</v>
      </c>
      <c r="V61" s="168">
        <f>V116+V118+V119+V120</f>
        <v>64584.18</v>
      </c>
      <c r="W61" s="168">
        <f>W116+W118+W119+W120</f>
        <v>30224.629999999997</v>
      </c>
      <c r="X61" s="168">
        <f t="shared" ref="X61:AE61" si="120">X116+X118+X119+X120</f>
        <v>73319.850000000006</v>
      </c>
      <c r="Y61" s="168">
        <f t="shared" si="120"/>
        <v>39472.699999999997</v>
      </c>
      <c r="Z61" s="168">
        <f t="shared" si="120"/>
        <v>105316.34</v>
      </c>
      <c r="AA61" s="168">
        <f t="shared" si="120"/>
        <v>42109.01</v>
      </c>
      <c r="AB61" s="168">
        <f t="shared" si="120"/>
        <v>80331.100000000006</v>
      </c>
      <c r="AC61" s="168">
        <f t="shared" si="120"/>
        <v>48035.92</v>
      </c>
      <c r="AD61" s="168">
        <f t="shared" si="120"/>
        <v>68725.38</v>
      </c>
      <c r="AE61" s="168">
        <f t="shared" si="120"/>
        <v>87855.510000000009</v>
      </c>
      <c r="AF61" s="139">
        <f t="shared" si="5"/>
        <v>23009.673636363634</v>
      </c>
      <c r="AG61" s="139">
        <f t="shared" si="6"/>
        <v>-23009.673636363634</v>
      </c>
    </row>
    <row r="62" spans="1:33" x14ac:dyDescent="0.25">
      <c r="A62" s="130" t="s">
        <v>40</v>
      </c>
      <c r="B62" s="148">
        <f t="shared" ref="B62:L62" si="121">SUM(B58:B61)</f>
        <v>51711.68</v>
      </c>
      <c r="C62" s="148">
        <f t="shared" si="121"/>
        <v>75358.070000000007</v>
      </c>
      <c r="D62" s="148">
        <f t="shared" ref="D62" si="122">SUM(D58:D61)</f>
        <v>104732.76999999999</v>
      </c>
      <c r="E62" s="148">
        <f t="shared" si="121"/>
        <v>282346.84999999998</v>
      </c>
      <c r="F62" s="148">
        <f t="shared" si="121"/>
        <v>0</v>
      </c>
      <c r="G62" s="148">
        <f t="shared" si="121"/>
        <v>0</v>
      </c>
      <c r="H62" s="148">
        <f t="shared" si="121"/>
        <v>0</v>
      </c>
      <c r="I62" s="148">
        <f t="shared" si="121"/>
        <v>0</v>
      </c>
      <c r="J62" s="148">
        <f t="shared" si="121"/>
        <v>0</v>
      </c>
      <c r="K62" s="148">
        <f t="shared" si="121"/>
        <v>0</v>
      </c>
      <c r="L62" s="148">
        <f t="shared" si="121"/>
        <v>0</v>
      </c>
      <c r="M62" s="148">
        <f t="shared" ref="M62" si="123">SUM(M58:M61)</f>
        <v>0</v>
      </c>
      <c r="N62" s="148">
        <f>SUM(N58:N61)</f>
        <v>514149.37</v>
      </c>
      <c r="O62" s="148"/>
      <c r="P62" s="148">
        <f>SUM(P58:P61)</f>
        <v>904195.53750000009</v>
      </c>
      <c r="Q62" s="148">
        <f t="shared" si="112"/>
        <v>1205594.05</v>
      </c>
      <c r="R62" s="148">
        <v>1205594.05</v>
      </c>
      <c r="S62" s="170">
        <f t="shared" si="13"/>
        <v>0</v>
      </c>
      <c r="T62" s="178">
        <f>SUM(T58:T61)</f>
        <v>88271.010000000009</v>
      </c>
      <c r="U62" s="178">
        <f t="shared" ref="U62:AE62" si="124">SUM(U58:U61)</f>
        <v>115071.35999999999</v>
      </c>
      <c r="V62" s="178">
        <f t="shared" si="124"/>
        <v>115537.15</v>
      </c>
      <c r="W62" s="178">
        <f t="shared" si="124"/>
        <v>47607.63</v>
      </c>
      <c r="X62" s="178">
        <f t="shared" si="124"/>
        <v>79957.350000000006</v>
      </c>
      <c r="Y62" s="178">
        <f t="shared" si="124"/>
        <v>52163.199999999997</v>
      </c>
      <c r="Z62" s="178">
        <f t="shared" si="124"/>
        <v>119553.33</v>
      </c>
      <c r="AA62" s="178">
        <f t="shared" si="124"/>
        <v>45930.01</v>
      </c>
      <c r="AB62" s="178">
        <f t="shared" si="124"/>
        <v>87688.650000000009</v>
      </c>
      <c r="AC62" s="178">
        <f t="shared" si="124"/>
        <v>66741.709999999992</v>
      </c>
      <c r="AD62" s="178">
        <f t="shared" si="124"/>
        <v>99950.47</v>
      </c>
      <c r="AE62" s="178">
        <f t="shared" si="124"/>
        <v>287122.18000000005</v>
      </c>
      <c r="AF62" s="148">
        <f t="shared" si="5"/>
        <v>46740.851818181814</v>
      </c>
      <c r="AG62" s="148">
        <f t="shared" si="6"/>
        <v>-46740.851818181814</v>
      </c>
    </row>
    <row r="63" spans="1:33" x14ac:dyDescent="0.25">
      <c r="A63" s="130" t="s">
        <v>41</v>
      </c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3"/>
      <c r="O63" s="143"/>
      <c r="P63" s="143"/>
      <c r="Q63" s="139"/>
      <c r="R63" s="143"/>
      <c r="S63" s="170">
        <f t="shared" si="13"/>
        <v>0</v>
      </c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43">
        <f t="shared" si="5"/>
        <v>0</v>
      </c>
      <c r="AG63" s="143">
        <f t="shared" si="6"/>
        <v>0</v>
      </c>
    </row>
    <row r="64" spans="1:33" x14ac:dyDescent="0.25">
      <c r="A64" s="130" t="s">
        <v>36</v>
      </c>
      <c r="B64" s="139">
        <f t="shared" ref="B64:L64" si="125">B137</f>
        <v>0</v>
      </c>
      <c r="C64" s="139">
        <f t="shared" si="125"/>
        <v>0</v>
      </c>
      <c r="D64" s="139">
        <f t="shared" ref="D64:E64" si="126">D137</f>
        <v>0</v>
      </c>
      <c r="E64" s="139">
        <f t="shared" si="126"/>
        <v>0</v>
      </c>
      <c r="F64" s="139">
        <f t="shared" si="125"/>
        <v>0</v>
      </c>
      <c r="G64" s="139">
        <f t="shared" si="125"/>
        <v>0</v>
      </c>
      <c r="H64" s="139">
        <f t="shared" si="125"/>
        <v>0</v>
      </c>
      <c r="I64" s="139">
        <f t="shared" si="125"/>
        <v>0</v>
      </c>
      <c r="J64" s="139">
        <f t="shared" si="125"/>
        <v>0</v>
      </c>
      <c r="K64" s="139">
        <f t="shared" si="125"/>
        <v>0</v>
      </c>
      <c r="L64" s="139">
        <f t="shared" si="125"/>
        <v>0</v>
      </c>
      <c r="M64" s="139">
        <f t="shared" ref="M64" si="127">M137</f>
        <v>0</v>
      </c>
      <c r="N64" s="139">
        <f>SUM(B64:M64)</f>
        <v>0</v>
      </c>
      <c r="O64" s="139"/>
      <c r="P64" s="139">
        <f>Q64/12*$P$3</f>
        <v>0</v>
      </c>
      <c r="Q64" s="139">
        <f t="shared" si="112"/>
        <v>0</v>
      </c>
      <c r="R64" s="139">
        <v>0</v>
      </c>
      <c r="S64" s="170">
        <f t="shared" si="13"/>
        <v>0</v>
      </c>
      <c r="T64" s="168">
        <f>T137</f>
        <v>0</v>
      </c>
      <c r="U64" s="168">
        <f>U137</f>
        <v>0</v>
      </c>
      <c r="V64" s="168">
        <f>V137</f>
        <v>0</v>
      </c>
      <c r="W64" s="168">
        <f t="shared" ref="W64:AE64" si="128">W137</f>
        <v>0</v>
      </c>
      <c r="X64" s="168">
        <f>X137</f>
        <v>0</v>
      </c>
      <c r="Y64" s="168">
        <f t="shared" si="128"/>
        <v>0</v>
      </c>
      <c r="Z64" s="168">
        <f t="shared" si="128"/>
        <v>0</v>
      </c>
      <c r="AA64" s="168">
        <f t="shared" si="128"/>
        <v>0</v>
      </c>
      <c r="AB64" s="168">
        <f t="shared" si="128"/>
        <v>0</v>
      </c>
      <c r="AC64" s="168">
        <f t="shared" si="128"/>
        <v>0</v>
      </c>
      <c r="AD64" s="168">
        <f t="shared" si="128"/>
        <v>0</v>
      </c>
      <c r="AE64" s="168">
        <f t="shared" si="128"/>
        <v>0</v>
      </c>
      <c r="AF64" s="139">
        <f t="shared" si="5"/>
        <v>0</v>
      </c>
      <c r="AG64" s="139">
        <f t="shared" si="6"/>
        <v>0</v>
      </c>
    </row>
    <row r="65" spans="1:33" x14ac:dyDescent="0.25">
      <c r="A65" s="130" t="s">
        <v>42</v>
      </c>
      <c r="B65" s="139">
        <f t="shared" ref="B65:L65" si="129">B148+B180+B153+B154+B192+B183</f>
        <v>29898.889999999996</v>
      </c>
      <c r="C65" s="139">
        <f t="shared" si="129"/>
        <v>32677.109999999997</v>
      </c>
      <c r="D65" s="139">
        <f t="shared" ref="D65:E65" si="130">D148+D180+D153+D154+D192+D183</f>
        <v>18690.239999999998</v>
      </c>
      <c r="E65" s="139">
        <f t="shared" si="130"/>
        <v>258212.49999999997</v>
      </c>
      <c r="F65" s="139">
        <f t="shared" si="129"/>
        <v>0</v>
      </c>
      <c r="G65" s="139">
        <f t="shared" si="129"/>
        <v>0</v>
      </c>
      <c r="H65" s="139">
        <f t="shared" si="129"/>
        <v>0</v>
      </c>
      <c r="I65" s="139">
        <f t="shared" si="129"/>
        <v>0</v>
      </c>
      <c r="J65" s="139">
        <f t="shared" si="129"/>
        <v>0</v>
      </c>
      <c r="K65" s="139">
        <f t="shared" si="129"/>
        <v>0</v>
      </c>
      <c r="L65" s="139">
        <f t="shared" si="129"/>
        <v>0</v>
      </c>
      <c r="M65" s="139">
        <f t="shared" ref="M65" si="131">M148+M180+M153+M154+M192+M183</f>
        <v>0</v>
      </c>
      <c r="N65" s="139">
        <f t="shared" ref="N65:N71" si="132">SUM(B65:M65)</f>
        <v>339478.74</v>
      </c>
      <c r="O65" s="139"/>
      <c r="P65" s="139">
        <f t="shared" ref="P65:P71" si="133">Q65/12*$P$3</f>
        <v>365446.88249999995</v>
      </c>
      <c r="Q65" s="139">
        <f t="shared" si="112"/>
        <v>487262.50999999995</v>
      </c>
      <c r="R65" s="139">
        <v>487262.50999999995</v>
      </c>
      <c r="S65" s="170">
        <f t="shared" si="13"/>
        <v>0</v>
      </c>
      <c r="T65" s="168">
        <f>T148+T153+T154+T192+T180+T183+T191</f>
        <v>57082.080000000009</v>
      </c>
      <c r="U65" s="168">
        <f>U148+U153+U154+U192+U180+U183+U191</f>
        <v>43072.58</v>
      </c>
      <c r="V65" s="168">
        <f>V148+V153+V154+V192+V180+V183+V191</f>
        <v>59675.47</v>
      </c>
      <c r="W65" s="168">
        <f>W148+W153+W154+W192+W180+W183+W191</f>
        <v>4134.2700000000004</v>
      </c>
      <c r="X65" s="168">
        <f>X148+X153+X154+X192+X180+X183+X191</f>
        <v>5289.5499999999993</v>
      </c>
      <c r="Y65" s="168">
        <f t="shared" ref="Y65:AA65" si="134">Y148+Y180+Y153+Y154+Y147+Y191+Y192+Y183</f>
        <v>13894.16</v>
      </c>
      <c r="Z65" s="168">
        <f t="shared" si="134"/>
        <v>20530.47</v>
      </c>
      <c r="AA65" s="168">
        <f t="shared" si="134"/>
        <v>5400.13</v>
      </c>
      <c r="AB65" s="168">
        <f>AB148+AB180+AB153+AB154+AB192+AB183</f>
        <v>10087.08</v>
      </c>
      <c r="AC65" s="168">
        <f>AC148+AC180+AC153+AC154+AC192+AC183</f>
        <v>20598.52</v>
      </c>
      <c r="AD65" s="168">
        <f>AD148+AD180+AD153+AD154+AD192+AD183</f>
        <v>28536.52</v>
      </c>
      <c r="AE65" s="168">
        <f>AE148+AE180+AE153+AE154+AE192+AE183</f>
        <v>218961.68</v>
      </c>
      <c r="AF65" s="139">
        <f t="shared" si="5"/>
        <v>30861.703636363636</v>
      </c>
      <c r="AG65" s="139">
        <f t="shared" si="6"/>
        <v>-30861.703636363636</v>
      </c>
    </row>
    <row r="66" spans="1:33" x14ac:dyDescent="0.25">
      <c r="A66" s="130" t="s">
        <v>43</v>
      </c>
      <c r="B66" s="139">
        <f>B150+B152+B198</f>
        <v>145965.72999999998</v>
      </c>
      <c r="C66" s="139">
        <f>C150+C152+C198</f>
        <v>171828.44</v>
      </c>
      <c r="D66" s="139">
        <f>D150+D152+D198</f>
        <v>347700.31999999995</v>
      </c>
      <c r="E66" s="139">
        <f>E150+E152+E198</f>
        <v>390869.13</v>
      </c>
      <c r="F66" s="139">
        <f t="shared" ref="F66:L66" si="135">F150+F152</f>
        <v>0</v>
      </c>
      <c r="G66" s="139">
        <f t="shared" si="135"/>
        <v>0</v>
      </c>
      <c r="H66" s="139">
        <f t="shared" si="135"/>
        <v>0</v>
      </c>
      <c r="I66" s="139">
        <f t="shared" si="135"/>
        <v>0</v>
      </c>
      <c r="J66" s="139">
        <f t="shared" si="135"/>
        <v>0</v>
      </c>
      <c r="K66" s="139">
        <f t="shared" si="135"/>
        <v>0</v>
      </c>
      <c r="L66" s="139">
        <f t="shared" si="135"/>
        <v>0</v>
      </c>
      <c r="M66" s="139">
        <f t="shared" ref="M66" si="136">M150+M152</f>
        <v>0</v>
      </c>
      <c r="N66" s="139">
        <f t="shared" si="132"/>
        <v>1056363.6200000001</v>
      </c>
      <c r="O66" s="139"/>
      <c r="P66" s="139">
        <f t="shared" si="133"/>
        <v>1276499.22</v>
      </c>
      <c r="Q66" s="139">
        <f t="shared" si="112"/>
        <v>1701998.96</v>
      </c>
      <c r="R66" s="139">
        <v>1701998.96</v>
      </c>
      <c r="S66" s="170">
        <f t="shared" si="13"/>
        <v>0</v>
      </c>
      <c r="T66" s="168">
        <f>T150+T152</f>
        <v>162526.82</v>
      </c>
      <c r="U66" s="168">
        <f>U150+U152</f>
        <v>186551.2</v>
      </c>
      <c r="V66" s="168">
        <f>V150+V152+V151</f>
        <v>121471.26</v>
      </c>
      <c r="W66" s="168">
        <f t="shared" ref="W66:AE66" si="137">W150+W152</f>
        <v>104538.95</v>
      </c>
      <c r="X66" s="168">
        <f>X150+X152+X151</f>
        <v>112337.33</v>
      </c>
      <c r="Y66" s="168">
        <f t="shared" si="137"/>
        <v>58522.59</v>
      </c>
      <c r="Z66" s="168">
        <f t="shared" si="137"/>
        <v>142640.88</v>
      </c>
      <c r="AA66" s="168">
        <f t="shared" si="137"/>
        <v>302010.69</v>
      </c>
      <c r="AB66" s="168">
        <f t="shared" si="137"/>
        <v>148375.73000000001</v>
      </c>
      <c r="AC66" s="168">
        <f t="shared" si="137"/>
        <v>124519.01</v>
      </c>
      <c r="AD66" s="168">
        <f t="shared" si="137"/>
        <v>101255.08</v>
      </c>
      <c r="AE66" s="168">
        <f t="shared" si="137"/>
        <v>137249.42000000001</v>
      </c>
      <c r="AF66" s="139">
        <f t="shared" si="5"/>
        <v>96033.05636363638</v>
      </c>
      <c r="AG66" s="139">
        <f t="shared" si="6"/>
        <v>-96033.05636363638</v>
      </c>
    </row>
    <row r="67" spans="1:33" x14ac:dyDescent="0.25">
      <c r="A67" s="130" t="s">
        <v>44</v>
      </c>
      <c r="B67" s="139">
        <f t="shared" ref="B67:L67" si="138">B182</f>
        <v>5000</v>
      </c>
      <c r="C67" s="139">
        <f t="shared" si="138"/>
        <v>5000</v>
      </c>
      <c r="D67" s="139">
        <f t="shared" ref="D67:E67" si="139">D182</f>
        <v>5000</v>
      </c>
      <c r="E67" s="139">
        <f t="shared" si="139"/>
        <v>5000</v>
      </c>
      <c r="F67" s="139">
        <f t="shared" si="138"/>
        <v>0</v>
      </c>
      <c r="G67" s="139">
        <f t="shared" si="138"/>
        <v>0</v>
      </c>
      <c r="H67" s="139">
        <f t="shared" si="138"/>
        <v>0</v>
      </c>
      <c r="I67" s="139">
        <f t="shared" si="138"/>
        <v>0</v>
      </c>
      <c r="J67" s="139">
        <f t="shared" si="138"/>
        <v>0</v>
      </c>
      <c r="K67" s="139">
        <f t="shared" si="138"/>
        <v>0</v>
      </c>
      <c r="L67" s="139">
        <f t="shared" si="138"/>
        <v>0</v>
      </c>
      <c r="M67" s="139">
        <f t="shared" ref="M67" si="140">M182</f>
        <v>0</v>
      </c>
      <c r="N67" s="139">
        <f t="shared" si="132"/>
        <v>20000</v>
      </c>
      <c r="O67" s="139"/>
      <c r="P67" s="139">
        <f t="shared" si="133"/>
        <v>45000</v>
      </c>
      <c r="Q67" s="139">
        <f t="shared" si="112"/>
        <v>60000</v>
      </c>
      <c r="R67" s="139">
        <v>60000</v>
      </c>
      <c r="S67" s="170">
        <f t="shared" si="13"/>
        <v>0</v>
      </c>
      <c r="T67" s="168">
        <f t="shared" ref="T67:AE67" si="141">T182</f>
        <v>5000</v>
      </c>
      <c r="U67" s="168">
        <f t="shared" si="141"/>
        <v>16772.5</v>
      </c>
      <c r="V67" s="168">
        <f t="shared" si="141"/>
        <v>-6772.5</v>
      </c>
      <c r="W67" s="168">
        <f t="shared" si="141"/>
        <v>5000</v>
      </c>
      <c r="X67" s="168">
        <f t="shared" si="141"/>
        <v>5000</v>
      </c>
      <c r="Y67" s="168">
        <f t="shared" si="141"/>
        <v>5000</v>
      </c>
      <c r="Z67" s="168">
        <f t="shared" si="141"/>
        <v>5000</v>
      </c>
      <c r="AA67" s="168">
        <f t="shared" si="141"/>
        <v>5000</v>
      </c>
      <c r="AB67" s="168">
        <f t="shared" si="141"/>
        <v>5000</v>
      </c>
      <c r="AC67" s="168">
        <f t="shared" si="141"/>
        <v>5000</v>
      </c>
      <c r="AD67" s="168">
        <f t="shared" si="141"/>
        <v>5000</v>
      </c>
      <c r="AE67" s="168">
        <f t="shared" si="141"/>
        <v>5000</v>
      </c>
      <c r="AF67" s="139">
        <f t="shared" si="5"/>
        <v>1818.1818181818182</v>
      </c>
      <c r="AG67" s="139">
        <f t="shared" si="6"/>
        <v>-1818.1818181818182</v>
      </c>
    </row>
    <row r="68" spans="1:33" x14ac:dyDescent="0.25">
      <c r="A68" s="130" t="s">
        <v>45</v>
      </c>
      <c r="B68" s="139">
        <f t="shared" ref="B68:L68" si="142">B189+B193+B194+B188+B190</f>
        <v>19423.060000000001</v>
      </c>
      <c r="C68" s="139">
        <f t="shared" si="142"/>
        <v>13162.29</v>
      </c>
      <c r="D68" s="139">
        <f t="shared" ref="D68:E68" si="143">D189+D193+D194+D188+D190</f>
        <v>44330.799999999996</v>
      </c>
      <c r="E68" s="139">
        <f t="shared" si="143"/>
        <v>36773.120000000003</v>
      </c>
      <c r="F68" s="139">
        <f t="shared" si="142"/>
        <v>0</v>
      </c>
      <c r="G68" s="139">
        <f t="shared" si="142"/>
        <v>0</v>
      </c>
      <c r="H68" s="139">
        <f t="shared" si="142"/>
        <v>0</v>
      </c>
      <c r="I68" s="139">
        <f t="shared" si="142"/>
        <v>0</v>
      </c>
      <c r="J68" s="139">
        <f t="shared" si="142"/>
        <v>0</v>
      </c>
      <c r="K68" s="139">
        <f t="shared" si="142"/>
        <v>0</v>
      </c>
      <c r="L68" s="139">
        <f t="shared" si="142"/>
        <v>0</v>
      </c>
      <c r="M68" s="139">
        <f t="shared" ref="M68" si="144">M189+M193+M194+M188+M190</f>
        <v>0</v>
      </c>
      <c r="N68" s="139">
        <f t="shared" si="132"/>
        <v>113689.26999999999</v>
      </c>
      <c r="O68" s="139"/>
      <c r="P68" s="139">
        <f t="shared" si="133"/>
        <v>154624.76999999999</v>
      </c>
      <c r="Q68" s="139">
        <f t="shared" si="112"/>
        <v>206166.36</v>
      </c>
      <c r="R68" s="139">
        <v>206166.36</v>
      </c>
      <c r="S68" s="170">
        <f t="shared" si="13"/>
        <v>0</v>
      </c>
      <c r="T68" s="168">
        <f>T189+T193+T194+T188+T190</f>
        <v>15314.77</v>
      </c>
      <c r="U68" s="168">
        <f>U189+U193+U194+U188+U190</f>
        <v>24623.15</v>
      </c>
      <c r="V68" s="168">
        <f t="shared" ref="V68:AE68" si="145">V189+V193+V194+V188+V190</f>
        <v>20393.25</v>
      </c>
      <c r="W68" s="168">
        <f t="shared" si="145"/>
        <v>17847.68</v>
      </c>
      <c r="X68" s="168">
        <f t="shared" si="145"/>
        <v>17603.449999999997</v>
      </c>
      <c r="Y68" s="168">
        <f t="shared" si="145"/>
        <v>14073.55</v>
      </c>
      <c r="Z68" s="168">
        <f t="shared" si="145"/>
        <v>12245.060000000001</v>
      </c>
      <c r="AA68" s="168">
        <f t="shared" si="145"/>
        <v>18464.39</v>
      </c>
      <c r="AB68" s="168">
        <f t="shared" si="145"/>
        <v>6687.04</v>
      </c>
      <c r="AC68" s="168">
        <f t="shared" si="145"/>
        <v>29655.07</v>
      </c>
      <c r="AD68" s="168">
        <f t="shared" si="145"/>
        <v>19372.400000000001</v>
      </c>
      <c r="AE68" s="168">
        <f t="shared" si="145"/>
        <v>9886.5500000000011</v>
      </c>
      <c r="AF68" s="139">
        <f t="shared" si="5"/>
        <v>10335.388181818182</v>
      </c>
      <c r="AG68" s="139">
        <f t="shared" si="6"/>
        <v>-10335.388181818182</v>
      </c>
    </row>
    <row r="69" spans="1:33" x14ac:dyDescent="0.25">
      <c r="A69" s="130" t="s">
        <v>46</v>
      </c>
      <c r="B69" s="139">
        <f t="shared" ref="B69:L69" si="146">B186</f>
        <v>22100.25</v>
      </c>
      <c r="C69" s="139">
        <f t="shared" si="146"/>
        <v>22100.25</v>
      </c>
      <c r="D69" s="139">
        <f t="shared" ref="D69:E69" si="147">D186</f>
        <v>22462.75</v>
      </c>
      <c r="E69" s="139">
        <f t="shared" si="147"/>
        <v>22100.25</v>
      </c>
      <c r="F69" s="139">
        <f t="shared" si="146"/>
        <v>0</v>
      </c>
      <c r="G69" s="139">
        <f t="shared" si="146"/>
        <v>0</v>
      </c>
      <c r="H69" s="139">
        <f t="shared" si="146"/>
        <v>0</v>
      </c>
      <c r="I69" s="139">
        <f t="shared" si="146"/>
        <v>0</v>
      </c>
      <c r="J69" s="139">
        <f t="shared" si="146"/>
        <v>0</v>
      </c>
      <c r="K69" s="139">
        <f t="shared" si="146"/>
        <v>0</v>
      </c>
      <c r="L69" s="139">
        <f t="shared" si="146"/>
        <v>0</v>
      </c>
      <c r="M69" s="139">
        <f t="shared" ref="M69" si="148">M186</f>
        <v>0</v>
      </c>
      <c r="N69" s="139">
        <f t="shared" si="132"/>
        <v>88763.5</v>
      </c>
      <c r="O69" s="139"/>
      <c r="P69" s="139">
        <f t="shared" si="133"/>
        <v>233311.41000000003</v>
      </c>
      <c r="Q69" s="139">
        <f t="shared" si="112"/>
        <v>311081.88000000006</v>
      </c>
      <c r="R69" s="139">
        <v>311081.88000000006</v>
      </c>
      <c r="S69" s="170">
        <f t="shared" si="13"/>
        <v>0</v>
      </c>
      <c r="T69" s="168">
        <f>T186</f>
        <v>28233.33</v>
      </c>
      <c r="U69" s="168">
        <f>U186</f>
        <v>28233.33</v>
      </c>
      <c r="V69" s="168">
        <f>V186</f>
        <v>28595.83</v>
      </c>
      <c r="W69" s="168">
        <f t="shared" ref="W69:AE69" si="149">W186</f>
        <v>28233.33</v>
      </c>
      <c r="X69" s="168">
        <f>X186</f>
        <v>28233.33</v>
      </c>
      <c r="Y69" s="168">
        <f t="shared" si="149"/>
        <v>7627.91</v>
      </c>
      <c r="Z69" s="168">
        <f t="shared" si="149"/>
        <v>28233.33</v>
      </c>
      <c r="AA69" s="168">
        <f t="shared" si="149"/>
        <v>28233.33</v>
      </c>
      <c r="AB69" s="168">
        <f t="shared" si="149"/>
        <v>28233.33</v>
      </c>
      <c r="AC69" s="168">
        <f t="shared" si="149"/>
        <v>28233.33</v>
      </c>
      <c r="AD69" s="168">
        <f t="shared" si="149"/>
        <v>24925.040000000001</v>
      </c>
      <c r="AE69" s="168">
        <f t="shared" si="149"/>
        <v>24066.46</v>
      </c>
      <c r="AF69" s="139">
        <f t="shared" si="5"/>
        <v>8069.409090909091</v>
      </c>
      <c r="AG69" s="139">
        <f t="shared" si="6"/>
        <v>-8069.409090909091</v>
      </c>
    </row>
    <row r="70" spans="1:33" x14ac:dyDescent="0.25">
      <c r="A70" s="130" t="s">
        <v>47</v>
      </c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>
        <f t="shared" si="132"/>
        <v>0</v>
      </c>
      <c r="O70" s="139"/>
      <c r="P70" s="139">
        <f t="shared" si="133"/>
        <v>0</v>
      </c>
      <c r="Q70" s="139">
        <f t="shared" si="112"/>
        <v>0</v>
      </c>
      <c r="R70" s="139">
        <v>0</v>
      </c>
      <c r="S70" s="170">
        <f t="shared" si="13"/>
        <v>0</v>
      </c>
      <c r="T70" s="168">
        <v>0</v>
      </c>
      <c r="U70" s="168">
        <v>0</v>
      </c>
      <c r="V70" s="168">
        <v>0</v>
      </c>
      <c r="W70" s="168">
        <v>0</v>
      </c>
      <c r="X70" s="168">
        <v>0</v>
      </c>
      <c r="Y70" s="168">
        <v>0</v>
      </c>
      <c r="Z70" s="168">
        <v>0</v>
      </c>
      <c r="AA70" s="168">
        <v>0</v>
      </c>
      <c r="AB70" s="168"/>
      <c r="AC70" s="168"/>
      <c r="AD70" s="168"/>
      <c r="AE70" s="168"/>
      <c r="AF70" s="139">
        <f t="shared" si="5"/>
        <v>0</v>
      </c>
      <c r="AG70" s="139">
        <f t="shared" si="6"/>
        <v>0</v>
      </c>
    </row>
    <row r="71" spans="1:33" x14ac:dyDescent="0.25">
      <c r="A71" s="130" t="s">
        <v>48</v>
      </c>
      <c r="B71" s="139">
        <f t="shared" ref="B71:L71" si="150">B187</f>
        <v>0</v>
      </c>
      <c r="C71" s="139">
        <f t="shared" si="150"/>
        <v>0</v>
      </c>
      <c r="D71" s="139">
        <f t="shared" ref="D71:E71" si="151">D187</f>
        <v>0</v>
      </c>
      <c r="E71" s="139">
        <f t="shared" si="151"/>
        <v>0</v>
      </c>
      <c r="F71" s="139">
        <f t="shared" si="150"/>
        <v>0</v>
      </c>
      <c r="G71" s="139">
        <f t="shared" si="150"/>
        <v>0</v>
      </c>
      <c r="H71" s="139">
        <f t="shared" si="150"/>
        <v>0</v>
      </c>
      <c r="I71" s="139">
        <f t="shared" si="150"/>
        <v>0</v>
      </c>
      <c r="J71" s="139">
        <f t="shared" si="150"/>
        <v>0</v>
      </c>
      <c r="K71" s="139">
        <f t="shared" si="150"/>
        <v>0</v>
      </c>
      <c r="L71" s="139">
        <f t="shared" si="150"/>
        <v>0</v>
      </c>
      <c r="M71" s="139">
        <f t="shared" ref="M71" si="152">M187</f>
        <v>0</v>
      </c>
      <c r="N71" s="139">
        <f t="shared" si="132"/>
        <v>0</v>
      </c>
      <c r="O71" s="139"/>
      <c r="P71" s="139">
        <f t="shared" si="133"/>
        <v>1360.4549999999999</v>
      </c>
      <c r="Q71" s="139">
        <f t="shared" si="112"/>
        <v>1813.94</v>
      </c>
      <c r="R71" s="139">
        <v>1813.94</v>
      </c>
      <c r="S71" s="170">
        <f t="shared" si="13"/>
        <v>0</v>
      </c>
      <c r="T71" s="139">
        <f>T187</f>
        <v>0</v>
      </c>
      <c r="U71" s="139">
        <f>U187</f>
        <v>878</v>
      </c>
      <c r="V71" s="179">
        <f>V187</f>
        <v>0</v>
      </c>
      <c r="W71" s="168">
        <f t="shared" ref="W71:AE71" si="153">W187</f>
        <v>0</v>
      </c>
      <c r="X71" s="168">
        <f>X187</f>
        <v>620</v>
      </c>
      <c r="Y71" s="168">
        <f t="shared" si="153"/>
        <v>0</v>
      </c>
      <c r="Z71" s="168">
        <f t="shared" si="153"/>
        <v>12</v>
      </c>
      <c r="AA71" s="168">
        <f t="shared" si="153"/>
        <v>0</v>
      </c>
      <c r="AB71" s="168">
        <f t="shared" si="153"/>
        <v>0</v>
      </c>
      <c r="AC71" s="168">
        <f t="shared" si="153"/>
        <v>0</v>
      </c>
      <c r="AD71" s="168">
        <f t="shared" si="153"/>
        <v>0</v>
      </c>
      <c r="AE71" s="168">
        <f t="shared" si="153"/>
        <v>303.94</v>
      </c>
      <c r="AF71" s="139">
        <f t="shared" si="5"/>
        <v>0</v>
      </c>
      <c r="AG71" s="139">
        <f t="shared" si="6"/>
        <v>0</v>
      </c>
    </row>
    <row r="72" spans="1:33" x14ac:dyDescent="0.25">
      <c r="A72" s="130" t="s">
        <v>49</v>
      </c>
      <c r="B72" s="142">
        <f t="shared" ref="B72:L72" si="154">SUM(B64:B71)</f>
        <v>222387.92999999996</v>
      </c>
      <c r="C72" s="142">
        <f t="shared" si="154"/>
        <v>244768.09</v>
      </c>
      <c r="D72" s="142">
        <f t="shared" ref="D72" si="155">SUM(D64:D71)</f>
        <v>438184.10999999993</v>
      </c>
      <c r="E72" s="142">
        <f t="shared" si="154"/>
        <v>712955</v>
      </c>
      <c r="F72" s="142">
        <f t="shared" si="154"/>
        <v>0</v>
      </c>
      <c r="G72" s="142">
        <f t="shared" si="154"/>
        <v>0</v>
      </c>
      <c r="H72" s="142">
        <f t="shared" si="154"/>
        <v>0</v>
      </c>
      <c r="I72" s="142">
        <f t="shared" si="154"/>
        <v>0</v>
      </c>
      <c r="J72" s="142">
        <f t="shared" si="154"/>
        <v>0</v>
      </c>
      <c r="K72" s="142">
        <f t="shared" si="154"/>
        <v>0</v>
      </c>
      <c r="L72" s="142">
        <f t="shared" si="154"/>
        <v>0</v>
      </c>
      <c r="M72" s="142">
        <f t="shared" ref="M72" si="156">SUM(M64:M71)</f>
        <v>0</v>
      </c>
      <c r="N72" s="142">
        <f>SUM(N64:N71)</f>
        <v>1618295.1300000001</v>
      </c>
      <c r="O72" s="142"/>
      <c r="P72" s="142">
        <f>SUM(P64:P71)</f>
        <v>2076242.7375000003</v>
      </c>
      <c r="Q72" s="142">
        <f>SUM(Q64:Q71)</f>
        <v>2768323.6499999994</v>
      </c>
      <c r="R72" s="142">
        <v>2768323.6499999994</v>
      </c>
      <c r="S72" s="170">
        <f t="shared" si="13"/>
        <v>0</v>
      </c>
      <c r="T72" s="142">
        <f>SUM(T64:T71)</f>
        <v>268157</v>
      </c>
      <c r="U72" s="142">
        <f t="shared" ref="U72:AE72" si="157">SUM(U64:U71)</f>
        <v>300130.76000000007</v>
      </c>
      <c r="V72" s="139">
        <f t="shared" si="157"/>
        <v>223363.31</v>
      </c>
      <c r="W72" s="142">
        <f t="shared" si="157"/>
        <v>159754.22999999998</v>
      </c>
      <c r="X72" s="142">
        <f t="shared" si="157"/>
        <v>169083.66000000003</v>
      </c>
      <c r="Y72" s="142">
        <f t="shared" si="157"/>
        <v>99118.21</v>
      </c>
      <c r="Z72" s="142">
        <f t="shared" si="157"/>
        <v>208661.74</v>
      </c>
      <c r="AA72" s="142">
        <f t="shared" si="157"/>
        <v>359108.54000000004</v>
      </c>
      <c r="AB72" s="142">
        <f t="shared" si="157"/>
        <v>198383.18</v>
      </c>
      <c r="AC72" s="142">
        <f t="shared" si="157"/>
        <v>208005.93</v>
      </c>
      <c r="AD72" s="142">
        <f t="shared" si="157"/>
        <v>179089.04</v>
      </c>
      <c r="AE72" s="142">
        <f t="shared" si="157"/>
        <v>395468.05</v>
      </c>
      <c r="AF72" s="142">
        <f t="shared" si="5"/>
        <v>147117.7390909091</v>
      </c>
      <c r="AG72" s="142">
        <f t="shared" si="6"/>
        <v>-147117.7390909091</v>
      </c>
    </row>
    <row r="73" spans="1:33" x14ac:dyDescent="0.25">
      <c r="A73" s="130" t="s">
        <v>50</v>
      </c>
      <c r="B73" s="148">
        <f t="shared" ref="B73:L73" si="158">+B62-B72</f>
        <v>-170676.24999999997</v>
      </c>
      <c r="C73" s="148">
        <f t="shared" si="158"/>
        <v>-169410.02</v>
      </c>
      <c r="D73" s="148">
        <f t="shared" ref="D73" si="159">+D62-D72</f>
        <v>-333451.33999999997</v>
      </c>
      <c r="E73" s="148">
        <f t="shared" si="158"/>
        <v>-430608.15</v>
      </c>
      <c r="F73" s="148">
        <f t="shared" si="158"/>
        <v>0</v>
      </c>
      <c r="G73" s="148">
        <f t="shared" si="158"/>
        <v>0</v>
      </c>
      <c r="H73" s="148">
        <f t="shared" si="158"/>
        <v>0</v>
      </c>
      <c r="I73" s="148">
        <f t="shared" si="158"/>
        <v>0</v>
      </c>
      <c r="J73" s="148">
        <f t="shared" si="158"/>
        <v>0</v>
      </c>
      <c r="K73" s="148">
        <f t="shared" si="158"/>
        <v>0</v>
      </c>
      <c r="L73" s="148">
        <f t="shared" si="158"/>
        <v>0</v>
      </c>
      <c r="M73" s="148">
        <f t="shared" ref="M73" si="160">+M62-M72</f>
        <v>0</v>
      </c>
      <c r="N73" s="148">
        <f t="shared" ref="N73:P73" si="161">+N62-N72</f>
        <v>-1104145.7600000002</v>
      </c>
      <c r="O73" s="148"/>
      <c r="P73" s="148">
        <f t="shared" si="161"/>
        <v>-1172047.2000000002</v>
      </c>
      <c r="Q73" s="148">
        <f t="shared" ref="Q73" si="162">+Q62-Q72</f>
        <v>-1562729.5999999994</v>
      </c>
      <c r="R73" s="148">
        <v>-1562729.5999999994</v>
      </c>
      <c r="S73" s="170">
        <f t="shared" ref="S73:S138" si="163">R73-SUM(T73:AE73)</f>
        <v>0</v>
      </c>
      <c r="T73" s="148">
        <f>+T62-T72</f>
        <v>-179885.99</v>
      </c>
      <c r="U73" s="148">
        <f t="shared" ref="U73:AE73" si="164">+U62-U72</f>
        <v>-185059.40000000008</v>
      </c>
      <c r="V73" s="148">
        <f t="shared" si="164"/>
        <v>-107826.16</v>
      </c>
      <c r="W73" s="148">
        <f t="shared" si="164"/>
        <v>-112146.59999999998</v>
      </c>
      <c r="X73" s="148">
        <f t="shared" si="164"/>
        <v>-89126.310000000027</v>
      </c>
      <c r="Y73" s="148">
        <f t="shared" si="164"/>
        <v>-46955.010000000009</v>
      </c>
      <c r="Z73" s="148">
        <f t="shared" si="164"/>
        <v>-89108.409999999989</v>
      </c>
      <c r="AA73" s="148">
        <f t="shared" si="164"/>
        <v>-313178.53000000003</v>
      </c>
      <c r="AB73" s="148">
        <f t="shared" si="164"/>
        <v>-110694.52999999998</v>
      </c>
      <c r="AC73" s="148">
        <f t="shared" si="164"/>
        <v>-141264.22</v>
      </c>
      <c r="AD73" s="148">
        <f t="shared" si="164"/>
        <v>-79138.570000000007</v>
      </c>
      <c r="AE73" s="148">
        <f t="shared" si="164"/>
        <v>-108345.86999999994</v>
      </c>
      <c r="AF73" s="148">
        <f t="shared" si="5"/>
        <v>-100376.8872727273</v>
      </c>
      <c r="AG73" s="148">
        <f t="shared" si="6"/>
        <v>100376.8872727273</v>
      </c>
    </row>
    <row r="74" spans="1:33" x14ac:dyDescent="0.25"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3"/>
      <c r="O74" s="143"/>
      <c r="P74" s="143"/>
      <c r="Q74" s="139"/>
      <c r="R74" s="143"/>
      <c r="S74" s="170">
        <f t="shared" si="163"/>
        <v>0</v>
      </c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43">
        <f t="shared" si="5"/>
        <v>0</v>
      </c>
      <c r="AG74" s="143">
        <f t="shared" si="6"/>
        <v>0</v>
      </c>
    </row>
    <row r="75" spans="1:33" x14ac:dyDescent="0.25">
      <c r="A75" s="130" t="s">
        <v>51</v>
      </c>
      <c r="B75" s="139">
        <f t="shared" ref="B75:L75" si="165">B224</f>
        <v>352176.53000000009</v>
      </c>
      <c r="C75" s="139">
        <f t="shared" si="165"/>
        <v>298188.26000000007</v>
      </c>
      <c r="D75" s="139">
        <f t="shared" ref="D75:E75" si="166">D224</f>
        <v>3321817.9399999995</v>
      </c>
      <c r="E75" s="139">
        <f t="shared" si="166"/>
        <v>477102.99</v>
      </c>
      <c r="F75" s="139">
        <f t="shared" si="165"/>
        <v>0</v>
      </c>
      <c r="G75" s="139">
        <f t="shared" si="165"/>
        <v>0</v>
      </c>
      <c r="H75" s="139">
        <f t="shared" si="165"/>
        <v>0</v>
      </c>
      <c r="I75" s="139">
        <f t="shared" si="165"/>
        <v>0</v>
      </c>
      <c r="J75" s="139">
        <f t="shared" si="165"/>
        <v>0</v>
      </c>
      <c r="K75" s="139">
        <f t="shared" si="165"/>
        <v>0</v>
      </c>
      <c r="L75" s="139">
        <f t="shared" si="165"/>
        <v>0</v>
      </c>
      <c r="M75" s="139">
        <f t="shared" ref="M75" si="167">M224</f>
        <v>0</v>
      </c>
      <c r="N75" s="139">
        <f>SUM(B75:M75)</f>
        <v>4449285.72</v>
      </c>
      <c r="O75" s="139"/>
      <c r="P75" s="139">
        <f>Q75/12*$P$3</f>
        <v>2409135.8625000003</v>
      </c>
      <c r="Q75" s="139">
        <f t="shared" si="112"/>
        <v>3212181.1500000004</v>
      </c>
      <c r="R75" s="139">
        <v>3212181.1500000004</v>
      </c>
      <c r="S75" s="170">
        <f t="shared" si="163"/>
        <v>0</v>
      </c>
      <c r="T75" s="168">
        <f t="shared" ref="T75:AA75" si="168">T224</f>
        <v>405193.11</v>
      </c>
      <c r="U75" s="168">
        <f t="shared" si="168"/>
        <v>341937.99000000005</v>
      </c>
      <c r="V75" s="168">
        <f t="shared" si="168"/>
        <v>343625.55</v>
      </c>
      <c r="W75" s="168">
        <f t="shared" si="168"/>
        <v>353871.56</v>
      </c>
      <c r="X75" s="168">
        <f t="shared" si="168"/>
        <v>420339.36000000004</v>
      </c>
      <c r="Y75" s="168">
        <f t="shared" si="168"/>
        <v>403802.07</v>
      </c>
      <c r="Z75" s="168">
        <f t="shared" si="168"/>
        <v>404965.73</v>
      </c>
      <c r="AA75" s="168">
        <f t="shared" si="168"/>
        <v>398996.33</v>
      </c>
      <c r="AB75" s="168">
        <f>AB224</f>
        <v>-774085.3</v>
      </c>
      <c r="AC75" s="168">
        <f>AC224</f>
        <v>288817.17</v>
      </c>
      <c r="AD75" s="168">
        <f>AD224</f>
        <v>212558.63</v>
      </c>
      <c r="AE75" s="168">
        <f>AE224</f>
        <v>412158.95</v>
      </c>
      <c r="AF75" s="139">
        <f t="shared" si="5"/>
        <v>404480.51999999996</v>
      </c>
      <c r="AG75" s="139">
        <f t="shared" si="6"/>
        <v>-404480.51999999996</v>
      </c>
    </row>
    <row r="76" spans="1:33" x14ac:dyDescent="0.25">
      <c r="A76" s="130" t="s">
        <v>52</v>
      </c>
      <c r="B76" s="139">
        <f t="shared" ref="B76:L76" si="169">B249</f>
        <v>202577.27999999997</v>
      </c>
      <c r="C76" s="139">
        <f t="shared" si="169"/>
        <v>210231.26</v>
      </c>
      <c r="D76" s="139">
        <f t="shared" ref="D76:E76" si="170">D249</f>
        <v>197294.59999999998</v>
      </c>
      <c r="E76" s="139">
        <f t="shared" si="170"/>
        <v>192737.44999999998</v>
      </c>
      <c r="F76" s="139">
        <f t="shared" si="169"/>
        <v>0</v>
      </c>
      <c r="G76" s="139">
        <f t="shared" si="169"/>
        <v>0</v>
      </c>
      <c r="H76" s="139">
        <f t="shared" si="169"/>
        <v>0</v>
      </c>
      <c r="I76" s="139">
        <f t="shared" si="169"/>
        <v>0</v>
      </c>
      <c r="J76" s="139">
        <f t="shared" si="169"/>
        <v>0</v>
      </c>
      <c r="K76" s="139">
        <f t="shared" si="169"/>
        <v>0</v>
      </c>
      <c r="L76" s="139">
        <f t="shared" si="169"/>
        <v>0</v>
      </c>
      <c r="M76" s="139">
        <f t="shared" ref="M76" si="171">M249</f>
        <v>0</v>
      </c>
      <c r="N76" s="139">
        <f t="shared" ref="N76:N79" si="172">SUM(B76:M76)</f>
        <v>802840.58999999985</v>
      </c>
      <c r="O76" s="139"/>
      <c r="P76" s="139">
        <f>Q76/12*$P$3</f>
        <v>1993590.2700000003</v>
      </c>
      <c r="Q76" s="139">
        <f t="shared" si="112"/>
        <v>2658120.3600000003</v>
      </c>
      <c r="R76" s="139">
        <v>2658120.3600000003</v>
      </c>
      <c r="S76" s="170">
        <f t="shared" si="163"/>
        <v>0</v>
      </c>
      <c r="T76" s="168">
        <f t="shared" ref="T76:Y76" si="173">T249</f>
        <v>217438.18</v>
      </c>
      <c r="U76" s="168">
        <f t="shared" si="173"/>
        <v>209198.51</v>
      </c>
      <c r="V76" s="168">
        <f t="shared" si="173"/>
        <v>217237.15000000002</v>
      </c>
      <c r="W76" s="168">
        <f t="shared" si="173"/>
        <v>198728.25999999998</v>
      </c>
      <c r="X76" s="168">
        <f t="shared" si="173"/>
        <v>199475.94999999998</v>
      </c>
      <c r="Y76" s="168">
        <f t="shared" si="173"/>
        <v>222170.33999999997</v>
      </c>
      <c r="Z76" s="168">
        <f>Z249</f>
        <v>232432.36999999997</v>
      </c>
      <c r="AA76" s="168">
        <f t="shared" ref="AA76" si="174">AA249</f>
        <v>206199.65</v>
      </c>
      <c r="AB76" s="168">
        <f>AB249</f>
        <v>262615.36</v>
      </c>
      <c r="AC76" s="168">
        <f>AC249</f>
        <v>237014.89</v>
      </c>
      <c r="AD76" s="168">
        <f>AD249</f>
        <v>216333.72999999995</v>
      </c>
      <c r="AE76" s="168">
        <f>AE249</f>
        <v>239275.96999999997</v>
      </c>
      <c r="AF76" s="139">
        <f t="shared" si="5"/>
        <v>72985.508181818164</v>
      </c>
      <c r="AG76" s="139">
        <f t="shared" si="6"/>
        <v>-72985.508181818164</v>
      </c>
    </row>
    <row r="77" spans="1:33" x14ac:dyDescent="0.25">
      <c r="A77" s="130" t="s">
        <v>53</v>
      </c>
      <c r="B77" s="139">
        <f t="shared" ref="B77:L77" si="175">B285</f>
        <v>65226.31</v>
      </c>
      <c r="C77" s="139">
        <f t="shared" si="175"/>
        <v>72006.94</v>
      </c>
      <c r="D77" s="139">
        <f t="shared" ref="D77:E77" si="176">D285</f>
        <v>83518.689999999988</v>
      </c>
      <c r="E77" s="139">
        <f t="shared" si="176"/>
        <v>83464.210000000006</v>
      </c>
      <c r="F77" s="139">
        <f t="shared" si="175"/>
        <v>0</v>
      </c>
      <c r="G77" s="139">
        <f t="shared" si="175"/>
        <v>0</v>
      </c>
      <c r="H77" s="139">
        <f t="shared" si="175"/>
        <v>0</v>
      </c>
      <c r="I77" s="139">
        <f t="shared" si="175"/>
        <v>0</v>
      </c>
      <c r="J77" s="139">
        <f t="shared" si="175"/>
        <v>0</v>
      </c>
      <c r="K77" s="139">
        <f t="shared" si="175"/>
        <v>0</v>
      </c>
      <c r="L77" s="139">
        <f t="shared" si="175"/>
        <v>0</v>
      </c>
      <c r="M77" s="139">
        <f t="shared" ref="M77" si="177">M285</f>
        <v>0</v>
      </c>
      <c r="N77" s="139">
        <f>SUM(B77:M77)</f>
        <v>304216.15000000002</v>
      </c>
      <c r="O77" s="139"/>
      <c r="P77" s="139">
        <f>Q77/12*$P$3</f>
        <v>709984.13250000007</v>
      </c>
      <c r="Q77" s="139">
        <f t="shared" si="112"/>
        <v>946645.51</v>
      </c>
      <c r="R77" s="139">
        <v>946645.51</v>
      </c>
      <c r="S77" s="170">
        <f t="shared" si="163"/>
        <v>0</v>
      </c>
      <c r="T77" s="168">
        <f t="shared" ref="T77:AA77" si="178">T285</f>
        <v>90442.829999999987</v>
      </c>
      <c r="U77" s="168">
        <f t="shared" si="178"/>
        <v>71415.44</v>
      </c>
      <c r="V77" s="168">
        <f t="shared" si="178"/>
        <v>72804.350000000006</v>
      </c>
      <c r="W77" s="168">
        <f t="shared" si="178"/>
        <v>77596.460000000006</v>
      </c>
      <c r="X77" s="168">
        <f t="shared" si="178"/>
        <v>76368.37</v>
      </c>
      <c r="Y77" s="168">
        <f t="shared" si="178"/>
        <v>87260.21</v>
      </c>
      <c r="Z77" s="168">
        <f t="shared" si="178"/>
        <v>100682.48999999999</v>
      </c>
      <c r="AA77" s="168">
        <f t="shared" si="178"/>
        <v>93622.96</v>
      </c>
      <c r="AB77" s="168">
        <f>AB285</f>
        <v>3254.6100000000069</v>
      </c>
      <c r="AC77" s="168">
        <f>AC285</f>
        <v>90818.64</v>
      </c>
      <c r="AD77" s="168">
        <f>AD285</f>
        <v>66473.72</v>
      </c>
      <c r="AE77" s="168">
        <f>AE285</f>
        <v>115905.43000000002</v>
      </c>
      <c r="AF77" s="139">
        <f t="shared" ref="AF77:AF149" si="179">(N77-M77)/11</f>
        <v>27656.013636363637</v>
      </c>
      <c r="AG77" s="139">
        <f t="shared" ref="AG77:AG149" si="180">M77-AF77</f>
        <v>-27656.013636363637</v>
      </c>
    </row>
    <row r="78" spans="1:33" x14ac:dyDescent="0.25">
      <c r="A78" s="130" t="s">
        <v>54</v>
      </c>
      <c r="B78" s="139">
        <f t="shared" ref="B78:L78" si="181">-B301</f>
        <v>-39521.440000000002</v>
      </c>
      <c r="C78" s="139">
        <f t="shared" si="181"/>
        <v>-55985.09</v>
      </c>
      <c r="D78" s="139">
        <f t="shared" ref="D78:E78" si="182">-D301</f>
        <v>-98659.49</v>
      </c>
      <c r="E78" s="139">
        <f t="shared" si="182"/>
        <v>-39227.560000000005</v>
      </c>
      <c r="F78" s="139">
        <f t="shared" si="181"/>
        <v>0</v>
      </c>
      <c r="G78" s="139">
        <f t="shared" si="181"/>
        <v>0</v>
      </c>
      <c r="H78" s="139">
        <f t="shared" si="181"/>
        <v>0</v>
      </c>
      <c r="I78" s="139">
        <f t="shared" si="181"/>
        <v>0</v>
      </c>
      <c r="J78" s="139">
        <f t="shared" si="181"/>
        <v>0</v>
      </c>
      <c r="K78" s="139">
        <f t="shared" si="181"/>
        <v>0</v>
      </c>
      <c r="L78" s="139">
        <f t="shared" si="181"/>
        <v>0</v>
      </c>
      <c r="M78" s="139">
        <f t="shared" ref="M78" si="183">-M301</f>
        <v>0</v>
      </c>
      <c r="N78" s="139">
        <f t="shared" si="172"/>
        <v>-233393.58000000002</v>
      </c>
      <c r="O78" s="139"/>
      <c r="P78" s="139">
        <f>Q78/12*$P$3</f>
        <v>-518103.9975</v>
      </c>
      <c r="Q78" s="139">
        <f t="shared" si="112"/>
        <v>-690805.33</v>
      </c>
      <c r="R78" s="139">
        <v>-690805.33</v>
      </c>
      <c r="S78" s="170">
        <f t="shared" si="163"/>
        <v>0</v>
      </c>
      <c r="T78" s="139">
        <f t="shared" ref="T78:AA78" si="184">-T301</f>
        <v>-81297.39</v>
      </c>
      <c r="U78" s="139">
        <f t="shared" si="184"/>
        <v>-60573.55</v>
      </c>
      <c r="V78" s="139">
        <f t="shared" si="184"/>
        <v>-54599.840000000004</v>
      </c>
      <c r="W78" s="173">
        <f t="shared" si="184"/>
        <v>-82044.150000000009</v>
      </c>
      <c r="X78" s="173">
        <f t="shared" si="184"/>
        <v>-105834.51000000001</v>
      </c>
      <c r="Y78" s="173">
        <f t="shared" si="184"/>
        <v>-92499.849999999991</v>
      </c>
      <c r="Z78" s="168">
        <f t="shared" si="184"/>
        <v>-94568.209999999992</v>
      </c>
      <c r="AA78" s="168">
        <f t="shared" si="184"/>
        <v>-83366.98</v>
      </c>
      <c r="AB78" s="168">
        <f>-AB301</f>
        <v>211658.71</v>
      </c>
      <c r="AC78" s="168">
        <f>-AC301</f>
        <v>-66662.75</v>
      </c>
      <c r="AD78" s="168">
        <f>-AD301</f>
        <v>-75012.94</v>
      </c>
      <c r="AE78" s="168">
        <f>-AE301</f>
        <v>-106003.87000000001</v>
      </c>
      <c r="AF78" s="139">
        <f t="shared" si="179"/>
        <v>-21217.598181818183</v>
      </c>
      <c r="AG78" s="139">
        <f t="shared" si="180"/>
        <v>21217.598181818183</v>
      </c>
    </row>
    <row r="79" spans="1:33" x14ac:dyDescent="0.25">
      <c r="A79" s="130" t="s">
        <v>55</v>
      </c>
      <c r="B79" s="139">
        <f t="shared" ref="B79:L79" si="185">B136</f>
        <v>-10052.25</v>
      </c>
      <c r="C79" s="139">
        <f t="shared" si="185"/>
        <v>-6006.61</v>
      </c>
      <c r="D79" s="139">
        <f t="shared" ref="D79:E79" si="186">D136</f>
        <v>-11329.62</v>
      </c>
      <c r="E79" s="139">
        <f t="shared" si="186"/>
        <v>-11187.29</v>
      </c>
      <c r="F79" s="139">
        <f t="shared" si="185"/>
        <v>0</v>
      </c>
      <c r="G79" s="139">
        <f t="shared" si="185"/>
        <v>0</v>
      </c>
      <c r="H79" s="139">
        <f t="shared" si="185"/>
        <v>0</v>
      </c>
      <c r="I79" s="139">
        <f t="shared" si="185"/>
        <v>0</v>
      </c>
      <c r="J79" s="139">
        <f t="shared" si="185"/>
        <v>0</v>
      </c>
      <c r="K79" s="139">
        <f t="shared" si="185"/>
        <v>0</v>
      </c>
      <c r="L79" s="139">
        <f t="shared" si="185"/>
        <v>0</v>
      </c>
      <c r="M79" s="139">
        <f t="shared" ref="M79" si="187">M136</f>
        <v>0</v>
      </c>
      <c r="N79" s="139">
        <f t="shared" si="172"/>
        <v>-38575.770000000004</v>
      </c>
      <c r="O79" s="139"/>
      <c r="P79" s="139">
        <f>Q79/12*$P$3</f>
        <v>-19776.202499999999</v>
      </c>
      <c r="Q79" s="139">
        <f t="shared" si="112"/>
        <v>-26368.269999999997</v>
      </c>
      <c r="R79" s="139">
        <v>-26368.269999999997</v>
      </c>
      <c r="S79" s="170">
        <f t="shared" si="163"/>
        <v>0</v>
      </c>
      <c r="T79" s="139">
        <f>T136</f>
        <v>-3595.4</v>
      </c>
      <c r="U79" s="139">
        <f>U136</f>
        <v>-2471.31</v>
      </c>
      <c r="V79" s="139">
        <f>V136</f>
        <v>-4621.22</v>
      </c>
      <c r="W79" s="173">
        <f t="shared" ref="W79:AE79" si="188">W136</f>
        <v>-5799.91</v>
      </c>
      <c r="X79" s="173">
        <f>X136</f>
        <v>-1360.64</v>
      </c>
      <c r="Y79" s="173">
        <f t="shared" si="188"/>
        <v>-1536.21</v>
      </c>
      <c r="Z79" s="168">
        <f t="shared" si="188"/>
        <v>-2242.15</v>
      </c>
      <c r="AA79" s="168">
        <f t="shared" si="188"/>
        <v>-4335.7700000000004</v>
      </c>
      <c r="AB79" s="168">
        <f t="shared" si="188"/>
        <v>-2948.83</v>
      </c>
      <c r="AC79" s="168">
        <f t="shared" si="188"/>
        <v>-5190.07</v>
      </c>
      <c r="AD79" s="168">
        <f t="shared" si="188"/>
        <v>1017.16</v>
      </c>
      <c r="AE79" s="168">
        <f t="shared" si="188"/>
        <v>6716.08</v>
      </c>
      <c r="AF79" s="139">
        <f t="shared" si="179"/>
        <v>-3506.8881818181821</v>
      </c>
      <c r="AG79" s="139">
        <f t="shared" si="180"/>
        <v>3506.8881818181821</v>
      </c>
    </row>
    <row r="80" spans="1:33" x14ac:dyDescent="0.25">
      <c r="A80" s="130" t="s">
        <v>56</v>
      </c>
      <c r="B80" s="142">
        <f t="shared" ref="B80:L80" si="189">SUM(B75:B79)</f>
        <v>570406.43000000017</v>
      </c>
      <c r="C80" s="142">
        <f t="shared" si="189"/>
        <v>518434.76000000013</v>
      </c>
      <c r="D80" s="142">
        <f t="shared" ref="D80" si="190">SUM(D75:D79)</f>
        <v>3492642.1199999992</v>
      </c>
      <c r="E80" s="142">
        <f t="shared" si="189"/>
        <v>702889.79999999981</v>
      </c>
      <c r="F80" s="142">
        <f t="shared" si="189"/>
        <v>0</v>
      </c>
      <c r="G80" s="142">
        <f t="shared" si="189"/>
        <v>0</v>
      </c>
      <c r="H80" s="142">
        <f t="shared" si="189"/>
        <v>0</v>
      </c>
      <c r="I80" s="142">
        <f t="shared" si="189"/>
        <v>0</v>
      </c>
      <c r="J80" s="142">
        <f t="shared" si="189"/>
        <v>0</v>
      </c>
      <c r="K80" s="142">
        <f t="shared" si="189"/>
        <v>0</v>
      </c>
      <c r="L80" s="142">
        <f t="shared" si="189"/>
        <v>0</v>
      </c>
      <c r="M80" s="142">
        <f t="shared" ref="M80" si="191">SUM(M75:M79)</f>
        <v>0</v>
      </c>
      <c r="N80" s="142">
        <f>SUM(N75:N79)</f>
        <v>5284373.1100000003</v>
      </c>
      <c r="O80" s="142"/>
      <c r="P80" s="142">
        <f t="shared" ref="P80" si="192">SUM(P75:P79)</f>
        <v>4574830.0650000013</v>
      </c>
      <c r="Q80" s="142">
        <f>SUM(Q75:Q79)</f>
        <v>6099773.4200000009</v>
      </c>
      <c r="R80" s="142">
        <v>6099773.4200000009</v>
      </c>
      <c r="S80" s="170">
        <f t="shared" si="163"/>
        <v>0</v>
      </c>
      <c r="T80" s="171">
        <f>SUM(T75:T79)</f>
        <v>628181.32999999996</v>
      </c>
      <c r="U80" s="171">
        <f>SUM(U75:U79)</f>
        <v>559507.07999999984</v>
      </c>
      <c r="V80" s="171">
        <f t="shared" ref="V80:AD80" si="193">SUM(V75:V79)</f>
        <v>574445.99</v>
      </c>
      <c r="W80" s="171">
        <f>SUM(W75:W79)</f>
        <v>542352.21999999986</v>
      </c>
      <c r="X80" s="171">
        <f t="shared" si="193"/>
        <v>588988.53</v>
      </c>
      <c r="Y80" s="171">
        <f t="shared" si="193"/>
        <v>619196.55999999994</v>
      </c>
      <c r="Z80" s="171">
        <f>SUM(Z75:Z79)</f>
        <v>641270.23</v>
      </c>
      <c r="AA80" s="171">
        <f>SUM(AA75:AA79)</f>
        <v>611116.18999999994</v>
      </c>
      <c r="AB80" s="171">
        <f t="shared" si="193"/>
        <v>-299505.45000000013</v>
      </c>
      <c r="AC80" s="171">
        <f t="shared" si="193"/>
        <v>544797.88000000012</v>
      </c>
      <c r="AD80" s="171">
        <f t="shared" si="193"/>
        <v>421370.29999999993</v>
      </c>
      <c r="AE80" s="171">
        <f>SUM(AE75:AE79)</f>
        <v>668052.55999999994</v>
      </c>
      <c r="AF80" s="142">
        <f t="shared" si="179"/>
        <v>480397.55545454548</v>
      </c>
      <c r="AG80" s="142">
        <f t="shared" si="180"/>
        <v>-480397.55545454548</v>
      </c>
    </row>
    <row r="81" spans="1:33" ht="27" customHeight="1" thickBot="1" x14ac:dyDescent="0.3">
      <c r="A81" s="130" t="s">
        <v>57</v>
      </c>
      <c r="B81" s="145">
        <f>+B35+B73-B80</f>
        <v>561677.80999994976</v>
      </c>
      <c r="C81" s="145">
        <f>+C35+C73-C80</f>
        <v>504619.2700003098</v>
      </c>
      <c r="D81" s="145">
        <f>+D35+D73-D80</f>
        <v>3670884.3999998961</v>
      </c>
      <c r="E81" s="145">
        <f>+E35+E73-E80</f>
        <v>12339151.049999822</v>
      </c>
      <c r="F81" s="145">
        <f>+F35+F73-F80</f>
        <v>0</v>
      </c>
      <c r="G81" s="145">
        <f>+G35+G73-G80</f>
        <v>0</v>
      </c>
      <c r="H81" s="145">
        <f>+H35+H73-H80</f>
        <v>0</v>
      </c>
      <c r="I81" s="145">
        <f>+I35+I73-I80</f>
        <v>0</v>
      </c>
      <c r="J81" s="145">
        <f>+J35+J73-J80</f>
        <v>0</v>
      </c>
      <c r="K81" s="145">
        <f>+K35+K73-K80</f>
        <v>0</v>
      </c>
      <c r="L81" s="145">
        <f>+L35+L73-L80</f>
        <v>0</v>
      </c>
      <c r="M81" s="145">
        <f>+M35+M73-M80</f>
        <v>0</v>
      </c>
      <c r="N81" s="145">
        <f>+N35+N73-N80</f>
        <v>17076332.529999617</v>
      </c>
      <c r="O81" s="145"/>
      <c r="P81" s="145">
        <f>+P35+P73-P80</f>
        <v>-427955.81999839935</v>
      </c>
      <c r="Q81" s="145">
        <f>+Q35+Q73-Q80</f>
        <v>-570607.75999881793</v>
      </c>
      <c r="R81" s="145">
        <v>-570607.75999881793</v>
      </c>
      <c r="S81" s="170">
        <f t="shared" si="163"/>
        <v>9.8254531621932983E-7</v>
      </c>
      <c r="T81" s="174">
        <f>+T35+T73-T80</f>
        <v>65733.430000119261</v>
      </c>
      <c r="U81" s="174">
        <f>+U35+U73-U80</f>
        <v>62568.98999979021</v>
      </c>
      <c r="V81" s="174">
        <f>+V35+V73-V80</f>
        <v>190852.60999993084</v>
      </c>
      <c r="W81" s="174">
        <f>+W35+W73-W80</f>
        <v>-70572.120000041556</v>
      </c>
      <c r="X81" s="174">
        <f>+X35+X73-X80</f>
        <v>-203742.99999999651</v>
      </c>
      <c r="Y81" s="174">
        <f>+Y35+Y73-Y80</f>
        <v>-88358.510000057169</v>
      </c>
      <c r="Z81" s="174">
        <f>+Z35+Z73-Z80</f>
        <v>-303625.03999997611</v>
      </c>
      <c r="AA81" s="174">
        <f>+AA35+AA73-AA80</f>
        <v>-208857.14999994752</v>
      </c>
      <c r="AB81" s="174">
        <f>+AB35+AB73-AB80</f>
        <v>624726.29000006453</v>
      </c>
      <c r="AC81" s="174">
        <f>+AC35+AC73-AC80</f>
        <v>-30452.229999876115</v>
      </c>
      <c r="AD81" s="174">
        <f>+AD35+AD73-AD80</f>
        <v>-220404.46999987477</v>
      </c>
      <c r="AE81" s="174">
        <f>+AE35+AE73-AE80</f>
        <v>-388476.5599999355</v>
      </c>
      <c r="AF81" s="145">
        <f t="shared" si="179"/>
        <v>1552393.8663636015</v>
      </c>
      <c r="AG81" s="145">
        <f t="shared" si="180"/>
        <v>-1552393.8663636015</v>
      </c>
    </row>
    <row r="82" spans="1:33" ht="15.75" thickTop="1" x14ac:dyDescent="0.25"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S82" s="170">
        <f t="shared" si="163"/>
        <v>0</v>
      </c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30">
        <f t="shared" si="179"/>
        <v>0</v>
      </c>
      <c r="AG82" s="130">
        <f t="shared" si="180"/>
        <v>0</v>
      </c>
    </row>
    <row r="83" spans="1:33" x14ac:dyDescent="0.25">
      <c r="A83" s="130" t="s">
        <v>58</v>
      </c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S83" s="170">
        <f t="shared" si="163"/>
        <v>0</v>
      </c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30">
        <f t="shared" si="179"/>
        <v>0</v>
      </c>
      <c r="AG83" s="130">
        <f t="shared" si="180"/>
        <v>0</v>
      </c>
    </row>
    <row r="84" spans="1:33" x14ac:dyDescent="0.25"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70">
        <f t="shared" si="163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9">
        <f t="shared" si="179"/>
        <v>0</v>
      </c>
      <c r="AG84" s="139">
        <f t="shared" si="180"/>
        <v>0</v>
      </c>
    </row>
    <row r="85" spans="1:33" hidden="1" x14ac:dyDescent="0.25">
      <c r="B85" s="139">
        <f t="shared" ref="B85:K85" si="194">+B81-B84</f>
        <v>561677.80999994976</v>
      </c>
      <c r="C85" s="139">
        <f t="shared" si="194"/>
        <v>504619.2700003098</v>
      </c>
      <c r="D85" s="139">
        <f t="shared" si="194"/>
        <v>3670884.3999998961</v>
      </c>
      <c r="E85" s="139">
        <f t="shared" si="194"/>
        <v>12339151.049999822</v>
      </c>
      <c r="F85" s="139">
        <f t="shared" si="194"/>
        <v>0</v>
      </c>
      <c r="G85" s="139">
        <f t="shared" si="194"/>
        <v>0</v>
      </c>
      <c r="H85" s="139">
        <f t="shared" ref="H85" si="195">+H81-H84</f>
        <v>0</v>
      </c>
      <c r="I85" s="139">
        <f t="shared" si="194"/>
        <v>0</v>
      </c>
      <c r="J85" s="139">
        <f t="shared" si="194"/>
        <v>0</v>
      </c>
      <c r="K85" s="139">
        <f t="shared" si="194"/>
        <v>0</v>
      </c>
      <c r="L85" s="139">
        <v>0</v>
      </c>
      <c r="M85" s="139"/>
      <c r="N85" s="139">
        <v>0</v>
      </c>
      <c r="O85" s="139"/>
      <c r="P85" s="139"/>
      <c r="Q85" s="139"/>
      <c r="R85" s="139">
        <v>0</v>
      </c>
      <c r="S85" s="170">
        <f t="shared" si="163"/>
        <v>-38273.270000009798</v>
      </c>
      <c r="T85" s="168">
        <f t="shared" ref="T85:AC85" si="196">+T81-T84</f>
        <v>65733.430000119261</v>
      </c>
      <c r="U85" s="168">
        <f t="shared" si="196"/>
        <v>62568.98999979021</v>
      </c>
      <c r="V85" s="168">
        <f t="shared" si="196"/>
        <v>190852.60999993084</v>
      </c>
      <c r="W85" s="168">
        <f t="shared" si="196"/>
        <v>-70572.120000041556</v>
      </c>
      <c r="X85" s="168">
        <f t="shared" si="196"/>
        <v>-203742.99999999651</v>
      </c>
      <c r="Y85" s="168">
        <f t="shared" si="196"/>
        <v>-88358.510000057169</v>
      </c>
      <c r="Z85" s="168">
        <f t="shared" si="196"/>
        <v>-303625.03999997611</v>
      </c>
      <c r="AA85" s="168">
        <f t="shared" si="196"/>
        <v>-208857.14999994752</v>
      </c>
      <c r="AB85" s="168">
        <f t="shared" si="196"/>
        <v>624726.29000006453</v>
      </c>
      <c r="AC85" s="168">
        <f t="shared" si="196"/>
        <v>-30452.229999876115</v>
      </c>
      <c r="AD85" s="168">
        <v>0</v>
      </c>
      <c r="AE85" s="168"/>
      <c r="AF85" s="139">
        <f t="shared" si="179"/>
        <v>0</v>
      </c>
      <c r="AG85" s="139">
        <f t="shared" si="180"/>
        <v>0</v>
      </c>
    </row>
    <row r="86" spans="1:33" ht="15.75" thickBot="1" x14ac:dyDescent="0.3"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S86" s="170">
        <f t="shared" si="163"/>
        <v>0</v>
      </c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30">
        <f t="shared" si="179"/>
        <v>0</v>
      </c>
      <c r="AG86" s="130">
        <f t="shared" si="180"/>
        <v>0</v>
      </c>
    </row>
    <row r="87" spans="1:33" x14ac:dyDescent="0.25">
      <c r="A87" s="133" t="s">
        <v>59</v>
      </c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50"/>
      <c r="O87" s="150"/>
      <c r="P87" s="150"/>
      <c r="Q87" s="150"/>
      <c r="R87" s="150"/>
      <c r="S87" s="170">
        <f t="shared" si="163"/>
        <v>0</v>
      </c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50">
        <f t="shared" si="179"/>
        <v>0</v>
      </c>
      <c r="AG87" s="150">
        <f t="shared" si="180"/>
        <v>0</v>
      </c>
    </row>
    <row r="88" spans="1:33" x14ac:dyDescent="0.25">
      <c r="A88" s="134" t="s">
        <v>36</v>
      </c>
      <c r="B88" s="139">
        <f t="shared" ref="B88:L89" si="197">+B58</f>
        <v>0</v>
      </c>
      <c r="C88" s="139">
        <f t="shared" si="197"/>
        <v>0</v>
      </c>
      <c r="D88" s="139">
        <f t="shared" ref="D88:E88" si="198">+D58</f>
        <v>0</v>
      </c>
      <c r="E88" s="139">
        <f t="shared" si="198"/>
        <v>0</v>
      </c>
      <c r="F88" s="139">
        <f t="shared" si="197"/>
        <v>0</v>
      </c>
      <c r="G88" s="139">
        <f t="shared" si="197"/>
        <v>0</v>
      </c>
      <c r="H88" s="139">
        <f t="shared" si="197"/>
        <v>0</v>
      </c>
      <c r="I88" s="139">
        <f t="shared" si="197"/>
        <v>0</v>
      </c>
      <c r="J88" s="139">
        <f t="shared" si="197"/>
        <v>0</v>
      </c>
      <c r="K88" s="139">
        <f t="shared" si="197"/>
        <v>0</v>
      </c>
      <c r="L88" s="139">
        <f t="shared" si="197"/>
        <v>0</v>
      </c>
      <c r="M88" s="139">
        <f t="shared" ref="M88" si="199">+M58</f>
        <v>0</v>
      </c>
      <c r="N88" s="151">
        <f>SUM(B88:M88)</f>
        <v>0</v>
      </c>
      <c r="O88" s="151"/>
      <c r="P88" s="151">
        <f>Q88/12*$P$3</f>
        <v>0</v>
      </c>
      <c r="Q88" s="151">
        <f>R88</f>
        <v>0</v>
      </c>
      <c r="R88" s="151">
        <v>0</v>
      </c>
      <c r="S88" s="170">
        <f t="shared" si="163"/>
        <v>0</v>
      </c>
      <c r="T88" s="168">
        <f t="shared" ref="T88:W89" si="200">+T58</f>
        <v>0</v>
      </c>
      <c r="U88" s="168">
        <f t="shared" si="200"/>
        <v>0</v>
      </c>
      <c r="V88" s="168">
        <f t="shared" si="200"/>
        <v>0</v>
      </c>
      <c r="W88" s="168">
        <f t="shared" si="200"/>
        <v>0</v>
      </c>
      <c r="X88" s="168">
        <f>X109</f>
        <v>0</v>
      </c>
      <c r="Y88" s="168">
        <f t="shared" ref="Y88:AE89" si="201">+Y58</f>
        <v>0</v>
      </c>
      <c r="Z88" s="168">
        <f t="shared" si="201"/>
        <v>0</v>
      </c>
      <c r="AA88" s="168">
        <f t="shared" si="201"/>
        <v>0</v>
      </c>
      <c r="AB88" s="168">
        <f t="shared" si="201"/>
        <v>0</v>
      </c>
      <c r="AC88" s="168">
        <f t="shared" si="201"/>
        <v>0</v>
      </c>
      <c r="AD88" s="168">
        <f t="shared" si="201"/>
        <v>0</v>
      </c>
      <c r="AE88" s="168">
        <f t="shared" si="201"/>
        <v>0</v>
      </c>
      <c r="AF88" s="151">
        <f t="shared" si="179"/>
        <v>0</v>
      </c>
      <c r="AG88" s="151">
        <f t="shared" si="180"/>
        <v>0</v>
      </c>
    </row>
    <row r="89" spans="1:33" x14ac:dyDescent="0.25">
      <c r="A89" s="134" t="s">
        <v>60</v>
      </c>
      <c r="B89" s="139">
        <f t="shared" si="197"/>
        <v>25767.99</v>
      </c>
      <c r="C89" s="139">
        <f t="shared" si="197"/>
        <v>27684.39</v>
      </c>
      <c r="D89" s="139">
        <f t="shared" ref="D89:E89" si="202">+D59</f>
        <v>12945.12</v>
      </c>
      <c r="E89" s="139">
        <f t="shared" si="202"/>
        <v>191151.18</v>
      </c>
      <c r="F89" s="139">
        <f t="shared" si="197"/>
        <v>0</v>
      </c>
      <c r="G89" s="139">
        <f t="shared" si="197"/>
        <v>0</v>
      </c>
      <c r="H89" s="139">
        <f t="shared" si="197"/>
        <v>0</v>
      </c>
      <c r="I89" s="139">
        <f t="shared" si="197"/>
        <v>0</v>
      </c>
      <c r="J89" s="139">
        <f t="shared" si="197"/>
        <v>0</v>
      </c>
      <c r="K89" s="139">
        <f t="shared" si="197"/>
        <v>0</v>
      </c>
      <c r="L89" s="139">
        <f t="shared" si="197"/>
        <v>0</v>
      </c>
      <c r="M89" s="139">
        <f t="shared" ref="M89" si="203">+M59</f>
        <v>0</v>
      </c>
      <c r="N89" s="151">
        <f>SUM(B89:M89)</f>
        <v>257548.68</v>
      </c>
      <c r="O89" s="151"/>
      <c r="P89" s="151">
        <f>Q89/12*$P$3</f>
        <v>323715.04499999998</v>
      </c>
      <c r="Q89" s="151">
        <f>R89</f>
        <v>431620.06</v>
      </c>
      <c r="R89" s="151">
        <v>431620.06</v>
      </c>
      <c r="S89" s="170">
        <f t="shared" si="163"/>
        <v>0</v>
      </c>
      <c r="T89" s="168">
        <f t="shared" si="200"/>
        <v>44174.48</v>
      </c>
      <c r="U89" s="168">
        <f t="shared" si="200"/>
        <v>37026.959999999999</v>
      </c>
      <c r="V89" s="168">
        <f t="shared" si="200"/>
        <v>50952.97</v>
      </c>
      <c r="W89" s="168">
        <f t="shared" si="200"/>
        <v>17383</v>
      </c>
      <c r="X89" s="168">
        <f>X115+X127</f>
        <v>6537.5</v>
      </c>
      <c r="Y89" s="168">
        <f t="shared" si="201"/>
        <v>12690.5</v>
      </c>
      <c r="Z89" s="168">
        <f t="shared" si="201"/>
        <v>14136.99</v>
      </c>
      <c r="AA89" s="168">
        <f t="shared" si="201"/>
        <v>3546</v>
      </c>
      <c r="AB89" s="168">
        <f t="shared" si="201"/>
        <v>6577.55</v>
      </c>
      <c r="AC89" s="168">
        <f t="shared" si="201"/>
        <v>18560.79</v>
      </c>
      <c r="AD89" s="168">
        <f t="shared" si="201"/>
        <v>30425.09</v>
      </c>
      <c r="AE89" s="168">
        <f t="shared" si="201"/>
        <v>189608.23</v>
      </c>
      <c r="AF89" s="151">
        <f t="shared" si="179"/>
        <v>23413.516363636361</v>
      </c>
      <c r="AG89" s="151">
        <f t="shared" si="180"/>
        <v>-23413.516363636361</v>
      </c>
    </row>
    <row r="90" spans="1:33" x14ac:dyDescent="0.25">
      <c r="A90" s="134" t="s">
        <v>61</v>
      </c>
      <c r="B90" s="142">
        <f t="shared" ref="B90:L90" si="204">SUM(B88:B89)</f>
        <v>25767.99</v>
      </c>
      <c r="C90" s="142">
        <f t="shared" si="204"/>
        <v>27684.39</v>
      </c>
      <c r="D90" s="142">
        <f t="shared" ref="D90" si="205">SUM(D88:D89)</f>
        <v>12945.12</v>
      </c>
      <c r="E90" s="142">
        <f t="shared" si="204"/>
        <v>191151.18</v>
      </c>
      <c r="F90" s="142">
        <f t="shared" si="204"/>
        <v>0</v>
      </c>
      <c r="G90" s="142">
        <f t="shared" si="204"/>
        <v>0</v>
      </c>
      <c r="H90" s="142">
        <f t="shared" si="204"/>
        <v>0</v>
      </c>
      <c r="I90" s="142">
        <f t="shared" si="204"/>
        <v>0</v>
      </c>
      <c r="J90" s="142">
        <f t="shared" si="204"/>
        <v>0</v>
      </c>
      <c r="K90" s="142">
        <f t="shared" si="204"/>
        <v>0</v>
      </c>
      <c r="L90" s="142">
        <f t="shared" si="204"/>
        <v>0</v>
      </c>
      <c r="M90" s="142">
        <f t="shared" ref="M90" si="206">SUM(M88:M89)</f>
        <v>0</v>
      </c>
      <c r="N90" s="152">
        <f>SUM(N88:N89)</f>
        <v>257548.68</v>
      </c>
      <c r="O90" s="152"/>
      <c r="P90" s="152">
        <f>SUM(P88:P89)</f>
        <v>323715.04499999998</v>
      </c>
      <c r="Q90" s="152">
        <f>SUM(Q88:Q89)</f>
        <v>431620.06</v>
      </c>
      <c r="R90" s="152">
        <v>431620.06</v>
      </c>
      <c r="S90" s="170">
        <f t="shared" si="163"/>
        <v>0</v>
      </c>
      <c r="T90" s="171">
        <f>SUM(T88:T89)</f>
        <v>44174.48</v>
      </c>
      <c r="U90" s="171">
        <f t="shared" ref="U90:AB90" si="207">SUM(U88:U89)</f>
        <v>37026.959999999999</v>
      </c>
      <c r="V90" s="171">
        <f t="shared" si="207"/>
        <v>50952.97</v>
      </c>
      <c r="W90" s="171">
        <f t="shared" si="207"/>
        <v>17383</v>
      </c>
      <c r="X90" s="171">
        <f t="shared" si="207"/>
        <v>6537.5</v>
      </c>
      <c r="Y90" s="171">
        <f t="shared" si="207"/>
        <v>12690.5</v>
      </c>
      <c r="Z90" s="171">
        <f t="shared" si="207"/>
        <v>14136.99</v>
      </c>
      <c r="AA90" s="171">
        <f t="shared" si="207"/>
        <v>3546</v>
      </c>
      <c r="AB90" s="171">
        <f t="shared" si="207"/>
        <v>6577.55</v>
      </c>
      <c r="AC90" s="171">
        <f>SUM(AC88:AC89)</f>
        <v>18560.79</v>
      </c>
      <c r="AD90" s="171">
        <f>SUM(AD88:AD89)</f>
        <v>30425.09</v>
      </c>
      <c r="AE90" s="171">
        <f>SUM(AE88:AE89)</f>
        <v>189608.23</v>
      </c>
      <c r="AF90" s="152">
        <f t="shared" si="179"/>
        <v>23413.516363636361</v>
      </c>
      <c r="AG90" s="152">
        <f t="shared" si="180"/>
        <v>-23413.516363636361</v>
      </c>
    </row>
    <row r="91" spans="1:33" x14ac:dyDescent="0.25">
      <c r="A91" s="134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53"/>
      <c r="O91" s="153"/>
      <c r="P91" s="153"/>
      <c r="Q91" s="153"/>
      <c r="R91" s="153"/>
      <c r="S91" s="170">
        <f t="shared" si="163"/>
        <v>0</v>
      </c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53">
        <f t="shared" si="179"/>
        <v>0</v>
      </c>
      <c r="AG91" s="153">
        <f t="shared" si="180"/>
        <v>0</v>
      </c>
    </row>
    <row r="92" spans="1:33" x14ac:dyDescent="0.25">
      <c r="A92" s="134" t="s">
        <v>62</v>
      </c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53"/>
      <c r="O92" s="153"/>
      <c r="P92" s="153"/>
      <c r="Q92" s="153"/>
      <c r="R92" s="153"/>
      <c r="S92" s="170">
        <f t="shared" si="163"/>
        <v>0</v>
      </c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53">
        <f t="shared" si="179"/>
        <v>0</v>
      </c>
      <c r="AG92" s="153">
        <f t="shared" si="180"/>
        <v>0</v>
      </c>
    </row>
    <row r="93" spans="1:33" x14ac:dyDescent="0.25">
      <c r="A93" s="134" t="s">
        <v>63</v>
      </c>
      <c r="B93" s="139">
        <f t="shared" ref="B93:L94" si="208">+B64</f>
        <v>0</v>
      </c>
      <c r="C93" s="139">
        <f t="shared" si="208"/>
        <v>0</v>
      </c>
      <c r="D93" s="139">
        <f t="shared" ref="D93:E93" si="209">+D64</f>
        <v>0</v>
      </c>
      <c r="E93" s="139">
        <f t="shared" si="209"/>
        <v>0</v>
      </c>
      <c r="F93" s="139">
        <f t="shared" si="208"/>
        <v>0</v>
      </c>
      <c r="G93" s="139">
        <f t="shared" si="208"/>
        <v>0</v>
      </c>
      <c r="H93" s="139">
        <f t="shared" si="208"/>
        <v>0</v>
      </c>
      <c r="I93" s="139">
        <f t="shared" si="208"/>
        <v>0</v>
      </c>
      <c r="J93" s="139">
        <f t="shared" si="208"/>
        <v>0</v>
      </c>
      <c r="K93" s="139">
        <f t="shared" si="208"/>
        <v>0</v>
      </c>
      <c r="L93" s="139">
        <f t="shared" si="208"/>
        <v>0</v>
      </c>
      <c r="M93" s="139">
        <f t="shared" ref="M93" si="210">+M64</f>
        <v>0</v>
      </c>
      <c r="N93" s="151">
        <f>SUM(B93:M93)</f>
        <v>0</v>
      </c>
      <c r="O93" s="151"/>
      <c r="P93" s="151">
        <f>Q93/12*$P$3</f>
        <v>0</v>
      </c>
      <c r="Q93" s="151">
        <f>R93</f>
        <v>0</v>
      </c>
      <c r="R93" s="151">
        <v>0</v>
      </c>
      <c r="S93" s="170">
        <f t="shared" si="163"/>
        <v>0</v>
      </c>
      <c r="T93" s="168">
        <f>+T64</f>
        <v>0</v>
      </c>
      <c r="U93" s="168">
        <f>+U64</f>
        <v>0</v>
      </c>
      <c r="V93" s="168">
        <f>+V64</f>
        <v>0</v>
      </c>
      <c r="W93" s="168">
        <f>+W64</f>
        <v>0</v>
      </c>
      <c r="X93" s="168">
        <f>X137</f>
        <v>0</v>
      </c>
      <c r="Y93" s="168">
        <f t="shared" ref="Y93:AE94" si="211">+Y64</f>
        <v>0</v>
      </c>
      <c r="Z93" s="168">
        <f t="shared" si="211"/>
        <v>0</v>
      </c>
      <c r="AA93" s="168">
        <f t="shared" si="211"/>
        <v>0</v>
      </c>
      <c r="AB93" s="168">
        <f t="shared" si="211"/>
        <v>0</v>
      </c>
      <c r="AC93" s="168">
        <f t="shared" si="211"/>
        <v>0</v>
      </c>
      <c r="AD93" s="168">
        <f t="shared" si="211"/>
        <v>0</v>
      </c>
      <c r="AE93" s="168">
        <f t="shared" si="211"/>
        <v>0</v>
      </c>
      <c r="AF93" s="151">
        <f t="shared" si="179"/>
        <v>0</v>
      </c>
      <c r="AG93" s="151">
        <f t="shared" si="180"/>
        <v>0</v>
      </c>
    </row>
    <row r="94" spans="1:33" x14ac:dyDescent="0.25">
      <c r="A94" s="134" t="s">
        <v>64</v>
      </c>
      <c r="B94" s="139">
        <f t="shared" si="208"/>
        <v>29898.889999999996</v>
      </c>
      <c r="C94" s="139">
        <f t="shared" si="208"/>
        <v>32677.109999999997</v>
      </c>
      <c r="D94" s="139">
        <f t="shared" ref="D94:E94" si="212">+D65</f>
        <v>18690.239999999998</v>
      </c>
      <c r="E94" s="139">
        <f t="shared" si="212"/>
        <v>258212.49999999997</v>
      </c>
      <c r="F94" s="139">
        <f t="shared" si="208"/>
        <v>0</v>
      </c>
      <c r="G94" s="139">
        <f t="shared" si="208"/>
        <v>0</v>
      </c>
      <c r="H94" s="139">
        <f t="shared" si="208"/>
        <v>0</v>
      </c>
      <c r="I94" s="139">
        <f t="shared" si="208"/>
        <v>0</v>
      </c>
      <c r="J94" s="139">
        <f t="shared" si="208"/>
        <v>0</v>
      </c>
      <c r="K94" s="139">
        <f t="shared" si="208"/>
        <v>0</v>
      </c>
      <c r="L94" s="139">
        <f t="shared" si="208"/>
        <v>0</v>
      </c>
      <c r="M94" s="139">
        <f t="shared" ref="M94" si="213">+M65</f>
        <v>0</v>
      </c>
      <c r="N94" s="151">
        <f t="shared" ref="N94:N97" si="214">SUM(B94:M94)</f>
        <v>339478.74</v>
      </c>
      <c r="O94" s="151"/>
      <c r="P94" s="151">
        <f t="shared" ref="P94:P97" si="215">Q94/12*$P$3</f>
        <v>344512.38750000001</v>
      </c>
      <c r="Q94" s="151">
        <f t="shared" ref="Q94:Q97" si="216">R94</f>
        <v>459349.85</v>
      </c>
      <c r="R94" s="151">
        <v>459349.85</v>
      </c>
      <c r="S94" s="170">
        <f t="shared" si="163"/>
        <v>0</v>
      </c>
      <c r="T94" s="168">
        <f t="shared" ref="T94:Y94" si="217">T148</f>
        <v>47744.73</v>
      </c>
      <c r="U94" s="168">
        <f t="shared" si="217"/>
        <v>40318.61</v>
      </c>
      <c r="V94" s="168">
        <f t="shared" si="217"/>
        <v>53566.29</v>
      </c>
      <c r="W94" s="168">
        <f t="shared" si="217"/>
        <v>-3427.84</v>
      </c>
      <c r="X94" s="168">
        <f t="shared" si="217"/>
        <v>5808.03</v>
      </c>
      <c r="Y94" s="168">
        <f t="shared" si="217"/>
        <v>11225.63</v>
      </c>
      <c r="Z94" s="168">
        <f t="shared" si="211"/>
        <v>20530.47</v>
      </c>
      <c r="AA94" s="168">
        <f t="shared" si="211"/>
        <v>5400.13</v>
      </c>
      <c r="AB94" s="168">
        <f t="shared" si="211"/>
        <v>10087.08</v>
      </c>
      <c r="AC94" s="168">
        <f t="shared" si="211"/>
        <v>20598.52</v>
      </c>
      <c r="AD94" s="168">
        <f t="shared" si="211"/>
        <v>28536.52</v>
      </c>
      <c r="AE94" s="168">
        <f t="shared" si="211"/>
        <v>218961.68</v>
      </c>
      <c r="AF94" s="151">
        <f t="shared" si="179"/>
        <v>30861.703636363636</v>
      </c>
      <c r="AG94" s="151">
        <f t="shared" si="180"/>
        <v>-30861.703636363636</v>
      </c>
    </row>
    <row r="95" spans="1:33" x14ac:dyDescent="0.25">
      <c r="A95" s="134" t="s">
        <v>65</v>
      </c>
      <c r="B95" s="139">
        <f t="shared" ref="B95:L95" si="218">B180</f>
        <v>0</v>
      </c>
      <c r="C95" s="139">
        <f t="shared" si="218"/>
        <v>0</v>
      </c>
      <c r="D95" s="139">
        <f t="shared" ref="D95:E95" si="219">D180</f>
        <v>0</v>
      </c>
      <c r="E95" s="139">
        <f t="shared" si="219"/>
        <v>0</v>
      </c>
      <c r="F95" s="139">
        <f t="shared" si="218"/>
        <v>0</v>
      </c>
      <c r="G95" s="139">
        <f t="shared" si="218"/>
        <v>0</v>
      </c>
      <c r="H95" s="139">
        <f t="shared" si="218"/>
        <v>0</v>
      </c>
      <c r="I95" s="139">
        <f t="shared" si="218"/>
        <v>0</v>
      </c>
      <c r="J95" s="139">
        <f t="shared" si="218"/>
        <v>0</v>
      </c>
      <c r="K95" s="139">
        <f t="shared" si="218"/>
        <v>0</v>
      </c>
      <c r="L95" s="139">
        <f t="shared" si="218"/>
        <v>0</v>
      </c>
      <c r="M95" s="139">
        <f t="shared" ref="M95" si="220">M180</f>
        <v>0</v>
      </c>
      <c r="N95" s="151">
        <f t="shared" si="214"/>
        <v>0</v>
      </c>
      <c r="O95" s="151"/>
      <c r="P95" s="151">
        <f t="shared" si="215"/>
        <v>-4200</v>
      </c>
      <c r="Q95" s="151">
        <f t="shared" si="216"/>
        <v>-5600</v>
      </c>
      <c r="R95" s="151">
        <v>-5600</v>
      </c>
      <c r="S95" s="170">
        <f t="shared" si="163"/>
        <v>0</v>
      </c>
      <c r="T95" s="168">
        <f t="shared" ref="T95:AE95" si="221">T180</f>
        <v>0</v>
      </c>
      <c r="U95" s="168">
        <f t="shared" si="221"/>
        <v>800</v>
      </c>
      <c r="V95" s="168">
        <f t="shared" si="221"/>
        <v>0</v>
      </c>
      <c r="W95" s="168">
        <f t="shared" si="221"/>
        <v>0</v>
      </c>
      <c r="X95" s="168">
        <f t="shared" si="221"/>
        <v>0</v>
      </c>
      <c r="Y95" s="168">
        <f t="shared" si="221"/>
        <v>0</v>
      </c>
      <c r="Z95" s="168">
        <f t="shared" si="221"/>
        <v>0</v>
      </c>
      <c r="AA95" s="168">
        <f t="shared" si="221"/>
        <v>0</v>
      </c>
      <c r="AB95" s="168">
        <f t="shared" si="221"/>
        <v>0</v>
      </c>
      <c r="AC95" s="168">
        <f t="shared" si="221"/>
        <v>0</v>
      </c>
      <c r="AD95" s="168">
        <f t="shared" si="221"/>
        <v>-6400</v>
      </c>
      <c r="AE95" s="168">
        <f t="shared" si="221"/>
        <v>0</v>
      </c>
      <c r="AF95" s="151">
        <f t="shared" si="179"/>
        <v>0</v>
      </c>
      <c r="AG95" s="151">
        <f t="shared" si="180"/>
        <v>0</v>
      </c>
    </row>
    <row r="96" spans="1:33" x14ac:dyDescent="0.25">
      <c r="A96" s="134" t="s">
        <v>66</v>
      </c>
      <c r="B96" s="139">
        <f t="shared" ref="B96:L96" si="222">B192</f>
        <v>0</v>
      </c>
      <c r="C96" s="139">
        <f t="shared" si="222"/>
        <v>0</v>
      </c>
      <c r="D96" s="139">
        <f t="shared" ref="D96:E96" si="223">D192</f>
        <v>0</v>
      </c>
      <c r="E96" s="139">
        <f t="shared" si="223"/>
        <v>13404.37</v>
      </c>
      <c r="F96" s="139">
        <f t="shared" si="222"/>
        <v>0</v>
      </c>
      <c r="G96" s="139">
        <f t="shared" si="222"/>
        <v>0</v>
      </c>
      <c r="H96" s="139">
        <f t="shared" si="222"/>
        <v>0</v>
      </c>
      <c r="I96" s="139">
        <f t="shared" si="222"/>
        <v>0</v>
      </c>
      <c r="J96" s="139">
        <f t="shared" si="222"/>
        <v>0</v>
      </c>
      <c r="K96" s="139">
        <f t="shared" si="222"/>
        <v>0</v>
      </c>
      <c r="L96" s="139">
        <f t="shared" si="222"/>
        <v>0</v>
      </c>
      <c r="M96" s="139">
        <f t="shared" ref="M96" si="224">M192</f>
        <v>0</v>
      </c>
      <c r="N96" s="151">
        <f t="shared" si="214"/>
        <v>13404.37</v>
      </c>
      <c r="O96" s="151"/>
      <c r="P96" s="151">
        <f t="shared" si="215"/>
        <v>596.40750000000003</v>
      </c>
      <c r="Q96" s="151">
        <f t="shared" si="216"/>
        <v>795.20999999999992</v>
      </c>
      <c r="R96" s="151">
        <v>795.20999999999992</v>
      </c>
      <c r="S96" s="170">
        <f t="shared" si="163"/>
        <v>0</v>
      </c>
      <c r="T96" s="168">
        <f>T192</f>
        <v>1.87</v>
      </c>
      <c r="U96" s="168">
        <f t="shared" ref="U96:AE96" si="225">U192</f>
        <v>0</v>
      </c>
      <c r="V96" s="168">
        <f t="shared" si="225"/>
        <v>-115.12</v>
      </c>
      <c r="W96" s="168">
        <f t="shared" si="225"/>
        <v>3216.06</v>
      </c>
      <c r="X96" s="168">
        <f t="shared" si="225"/>
        <v>-2308</v>
      </c>
      <c r="Y96" s="168">
        <f t="shared" si="225"/>
        <v>0</v>
      </c>
      <c r="Z96" s="168">
        <f t="shared" si="225"/>
        <v>0</v>
      </c>
      <c r="AA96" s="168">
        <f t="shared" si="225"/>
        <v>0</v>
      </c>
      <c r="AB96" s="168">
        <f t="shared" si="225"/>
        <v>0</v>
      </c>
      <c r="AC96" s="168">
        <f t="shared" si="225"/>
        <v>0</v>
      </c>
      <c r="AD96" s="168">
        <f t="shared" si="225"/>
        <v>0.4</v>
      </c>
      <c r="AE96" s="168">
        <f t="shared" si="225"/>
        <v>0</v>
      </c>
      <c r="AF96" s="151">
        <f t="shared" si="179"/>
        <v>1218.5790909090911</v>
      </c>
      <c r="AG96" s="151">
        <f t="shared" si="180"/>
        <v>-1218.5790909090911</v>
      </c>
    </row>
    <row r="97" spans="1:33" x14ac:dyDescent="0.25">
      <c r="A97" s="134" t="s">
        <v>67</v>
      </c>
      <c r="B97" s="139">
        <f t="shared" ref="B97:L97" si="226">B71</f>
        <v>0</v>
      </c>
      <c r="C97" s="139">
        <f t="shared" si="226"/>
        <v>0</v>
      </c>
      <c r="D97" s="139">
        <f t="shared" ref="D97:E97" si="227">D71</f>
        <v>0</v>
      </c>
      <c r="E97" s="139">
        <f t="shared" si="227"/>
        <v>0</v>
      </c>
      <c r="F97" s="139">
        <f t="shared" si="226"/>
        <v>0</v>
      </c>
      <c r="G97" s="139">
        <f t="shared" si="226"/>
        <v>0</v>
      </c>
      <c r="H97" s="139">
        <f t="shared" si="226"/>
        <v>0</v>
      </c>
      <c r="I97" s="139">
        <f t="shared" si="226"/>
        <v>0</v>
      </c>
      <c r="J97" s="139">
        <f t="shared" si="226"/>
        <v>0</v>
      </c>
      <c r="K97" s="139">
        <f t="shared" si="226"/>
        <v>0</v>
      </c>
      <c r="L97" s="139">
        <f t="shared" si="226"/>
        <v>0</v>
      </c>
      <c r="M97" s="139">
        <f t="shared" ref="M97" si="228">M71</f>
        <v>0</v>
      </c>
      <c r="N97" s="151">
        <f t="shared" si="214"/>
        <v>0</v>
      </c>
      <c r="O97" s="151"/>
      <c r="P97" s="151">
        <f t="shared" si="215"/>
        <v>1360.4549999999999</v>
      </c>
      <c r="Q97" s="151">
        <f t="shared" si="216"/>
        <v>1813.94</v>
      </c>
      <c r="R97" s="151">
        <v>1813.94</v>
      </c>
      <c r="S97" s="170">
        <f t="shared" si="163"/>
        <v>0</v>
      </c>
      <c r="T97" s="168">
        <f>T71</f>
        <v>0</v>
      </c>
      <c r="U97" s="168">
        <f>U71</f>
        <v>878</v>
      </c>
      <c r="V97" s="168">
        <f>V71</f>
        <v>0</v>
      </c>
      <c r="W97" s="168">
        <f>W71</f>
        <v>0</v>
      </c>
      <c r="X97" s="168">
        <f>X187</f>
        <v>620</v>
      </c>
      <c r="Y97" s="168">
        <f t="shared" ref="Y97:AE97" si="229">Y71</f>
        <v>0</v>
      </c>
      <c r="Z97" s="168">
        <f t="shared" si="229"/>
        <v>12</v>
      </c>
      <c r="AA97" s="168">
        <f t="shared" si="229"/>
        <v>0</v>
      </c>
      <c r="AB97" s="168">
        <f t="shared" si="229"/>
        <v>0</v>
      </c>
      <c r="AC97" s="168">
        <f t="shared" si="229"/>
        <v>0</v>
      </c>
      <c r="AD97" s="168">
        <f t="shared" si="229"/>
        <v>0</v>
      </c>
      <c r="AE97" s="168">
        <f t="shared" si="229"/>
        <v>303.94</v>
      </c>
      <c r="AF97" s="151">
        <f t="shared" si="179"/>
        <v>0</v>
      </c>
      <c r="AG97" s="151">
        <f t="shared" si="180"/>
        <v>0</v>
      </c>
    </row>
    <row r="98" spans="1:33" x14ac:dyDescent="0.25">
      <c r="A98" s="134"/>
      <c r="B98" s="142">
        <f t="shared" ref="B98:L98" si="230">SUM(B93:B97)</f>
        <v>29898.889999999996</v>
      </c>
      <c r="C98" s="142">
        <f t="shared" si="230"/>
        <v>32677.109999999997</v>
      </c>
      <c r="D98" s="142">
        <f t="shared" ref="D98" si="231">SUM(D93:D97)</f>
        <v>18690.239999999998</v>
      </c>
      <c r="E98" s="142">
        <f t="shared" si="230"/>
        <v>271616.87</v>
      </c>
      <c r="F98" s="142">
        <f t="shared" si="230"/>
        <v>0</v>
      </c>
      <c r="G98" s="142">
        <f t="shared" si="230"/>
        <v>0</v>
      </c>
      <c r="H98" s="142">
        <f t="shared" si="230"/>
        <v>0</v>
      </c>
      <c r="I98" s="142">
        <f t="shared" si="230"/>
        <v>0</v>
      </c>
      <c r="J98" s="142">
        <f t="shared" si="230"/>
        <v>0</v>
      </c>
      <c r="K98" s="142">
        <f t="shared" si="230"/>
        <v>0</v>
      </c>
      <c r="L98" s="142">
        <f t="shared" si="230"/>
        <v>0</v>
      </c>
      <c r="M98" s="142">
        <f t="shared" ref="M98" si="232">SUM(M93:M97)</f>
        <v>0</v>
      </c>
      <c r="N98" s="152">
        <f>SUM(N93:N97)</f>
        <v>352883.11</v>
      </c>
      <c r="O98" s="152"/>
      <c r="P98" s="152">
        <f>SUM(P93:P97)</f>
        <v>342269.25</v>
      </c>
      <c r="Q98" s="152">
        <f>SUM(Q93:Q97)</f>
        <v>456359</v>
      </c>
      <c r="R98" s="152">
        <v>456359</v>
      </c>
      <c r="S98" s="170">
        <f t="shared" si="163"/>
        <v>0</v>
      </c>
      <c r="T98" s="171">
        <f>SUM(T93:T97)</f>
        <v>47746.600000000006</v>
      </c>
      <c r="U98" s="171">
        <f t="shared" ref="U98:AD98" si="233">SUM(U93:U97)</f>
        <v>41996.61</v>
      </c>
      <c r="V98" s="171">
        <f t="shared" si="233"/>
        <v>53451.17</v>
      </c>
      <c r="W98" s="171">
        <f t="shared" si="233"/>
        <v>-211.7800000000002</v>
      </c>
      <c r="X98" s="171">
        <f t="shared" si="233"/>
        <v>4120.03</v>
      </c>
      <c r="Y98" s="171">
        <f t="shared" si="233"/>
        <v>11225.63</v>
      </c>
      <c r="Z98" s="171">
        <f t="shared" si="233"/>
        <v>20542.47</v>
      </c>
      <c r="AA98" s="171">
        <f t="shared" si="233"/>
        <v>5400.13</v>
      </c>
      <c r="AB98" s="171">
        <f t="shared" si="233"/>
        <v>10087.08</v>
      </c>
      <c r="AC98" s="171">
        <f t="shared" si="233"/>
        <v>20598.52</v>
      </c>
      <c r="AD98" s="171">
        <f t="shared" si="233"/>
        <v>22136.920000000002</v>
      </c>
      <c r="AE98" s="171">
        <f>SUM(AE93:AE97)</f>
        <v>219265.62</v>
      </c>
      <c r="AF98" s="152">
        <f t="shared" si="179"/>
        <v>32080.282727272726</v>
      </c>
      <c r="AG98" s="152">
        <f t="shared" si="180"/>
        <v>-32080.282727272726</v>
      </c>
    </row>
    <row r="99" spans="1:33" ht="27" customHeight="1" thickBot="1" x14ac:dyDescent="0.3">
      <c r="A99" s="134"/>
      <c r="B99" s="145">
        <f t="shared" ref="B99:L99" si="234">+B90-B98</f>
        <v>-4130.8999999999942</v>
      </c>
      <c r="C99" s="145">
        <f t="shared" si="234"/>
        <v>-4992.7199999999975</v>
      </c>
      <c r="D99" s="145">
        <f t="shared" ref="D99" si="235">+D90-D98</f>
        <v>-5745.1199999999972</v>
      </c>
      <c r="E99" s="145">
        <f t="shared" si="234"/>
        <v>-80465.69</v>
      </c>
      <c r="F99" s="145">
        <f t="shared" si="234"/>
        <v>0</v>
      </c>
      <c r="G99" s="145">
        <f t="shared" si="234"/>
        <v>0</v>
      </c>
      <c r="H99" s="145">
        <f t="shared" si="234"/>
        <v>0</v>
      </c>
      <c r="I99" s="145">
        <f t="shared" si="234"/>
        <v>0</v>
      </c>
      <c r="J99" s="145">
        <f t="shared" si="234"/>
        <v>0</v>
      </c>
      <c r="K99" s="145">
        <f t="shared" si="234"/>
        <v>0</v>
      </c>
      <c r="L99" s="145">
        <f t="shared" si="234"/>
        <v>0</v>
      </c>
      <c r="M99" s="145">
        <f t="shared" ref="M99" si="236">+M90-M98</f>
        <v>0</v>
      </c>
      <c r="N99" s="154">
        <f>+N90-N98</f>
        <v>-95334.43</v>
      </c>
      <c r="O99" s="154"/>
      <c r="P99" s="154">
        <f>+P90-P98</f>
        <v>-18554.205000000016</v>
      </c>
      <c r="Q99" s="154">
        <f>+Q90-Q98</f>
        <v>-24738.940000000002</v>
      </c>
      <c r="R99" s="154">
        <v>-24738.940000000002</v>
      </c>
      <c r="S99" s="170">
        <f t="shared" si="163"/>
        <v>0</v>
      </c>
      <c r="T99" s="174">
        <f>+T90-T98</f>
        <v>-3572.1200000000026</v>
      </c>
      <c r="U99" s="174">
        <f t="shared" ref="U99:AD99" si="237">+U90-U98</f>
        <v>-4969.6500000000015</v>
      </c>
      <c r="V99" s="174">
        <f t="shared" si="237"/>
        <v>-2498.1999999999971</v>
      </c>
      <c r="W99" s="174">
        <f t="shared" si="237"/>
        <v>17594.78</v>
      </c>
      <c r="X99" s="174">
        <f t="shared" si="237"/>
        <v>2417.4700000000003</v>
      </c>
      <c r="Y99" s="174">
        <f t="shared" si="237"/>
        <v>1464.8700000000008</v>
      </c>
      <c r="Z99" s="174">
        <f t="shared" si="237"/>
        <v>-6405.4800000000014</v>
      </c>
      <c r="AA99" s="174">
        <f t="shared" si="237"/>
        <v>-1854.13</v>
      </c>
      <c r="AB99" s="174">
        <f t="shared" si="237"/>
        <v>-3509.5299999999997</v>
      </c>
      <c r="AC99" s="174">
        <f t="shared" si="237"/>
        <v>-2037.7299999999996</v>
      </c>
      <c r="AD99" s="174">
        <f t="shared" si="237"/>
        <v>8288.1699999999983</v>
      </c>
      <c r="AE99" s="174">
        <f>+AE90-AE98</f>
        <v>-29657.389999999985</v>
      </c>
      <c r="AF99" s="154">
        <f t="shared" si="179"/>
        <v>-8666.7663636363632</v>
      </c>
      <c r="AG99" s="154">
        <f t="shared" si="180"/>
        <v>8666.7663636363632</v>
      </c>
    </row>
    <row r="100" spans="1:33" ht="16.5" thickTop="1" thickBot="1" x14ac:dyDescent="0.3">
      <c r="A100" s="13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6"/>
      <c r="O100" s="156"/>
      <c r="P100" s="156"/>
      <c r="Q100" s="156"/>
      <c r="R100" s="156"/>
      <c r="S100" s="170">
        <f t="shared" si="163"/>
        <v>0</v>
      </c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56">
        <f t="shared" si="179"/>
        <v>0</v>
      </c>
      <c r="AG100" s="156">
        <f t="shared" si="180"/>
        <v>0</v>
      </c>
    </row>
    <row r="101" spans="1:33" x14ac:dyDescent="0.25"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S101" s="170">
        <f t="shared" si="163"/>
        <v>0</v>
      </c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30">
        <f t="shared" si="179"/>
        <v>0</v>
      </c>
      <c r="AG101" s="130">
        <f t="shared" si="180"/>
        <v>0</v>
      </c>
    </row>
    <row r="102" spans="1:33" hidden="1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163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179"/>
        <v>0</v>
      </c>
      <c r="AG102" s="130">
        <f t="shared" si="180"/>
        <v>0</v>
      </c>
    </row>
    <row r="103" spans="1:33" ht="30.75" hidden="1" customHeight="1" x14ac:dyDescent="0.25">
      <c r="A103" s="130" t="s">
        <v>68</v>
      </c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43">
        <f>SUM(B103:M103)</f>
        <v>0</v>
      </c>
      <c r="O103" s="143"/>
      <c r="P103" s="143"/>
      <c r="Q103" s="143">
        <f>S103/12*$P$3</f>
        <v>0</v>
      </c>
      <c r="R103" s="143">
        <v>0</v>
      </c>
      <c r="S103" s="170">
        <f t="shared" si="163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43">
        <f t="shared" si="179"/>
        <v>0</v>
      </c>
      <c r="AG103" s="143">
        <f t="shared" si="180"/>
        <v>0</v>
      </c>
    </row>
    <row r="104" spans="1:33" hidden="1" x14ac:dyDescent="0.25"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S104" s="170">
        <f t="shared" si="163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30">
        <f t="shared" si="179"/>
        <v>0</v>
      </c>
      <c r="AG104" s="130">
        <f t="shared" si="180"/>
        <v>0</v>
      </c>
    </row>
    <row r="105" spans="1:33" hidden="1" x14ac:dyDescent="0.25"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S105" s="170">
        <f t="shared" si="163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30">
        <f t="shared" si="179"/>
        <v>0</v>
      </c>
      <c r="AG105" s="130">
        <f t="shared" si="180"/>
        <v>0</v>
      </c>
    </row>
    <row r="106" spans="1:33" hidden="1" x14ac:dyDescent="0.25"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163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179"/>
        <v>0</v>
      </c>
      <c r="AG106" s="130">
        <f t="shared" si="180"/>
        <v>0</v>
      </c>
    </row>
    <row r="107" spans="1:33" s="136" customFormat="1" ht="15.75" thickBot="1" x14ac:dyDescent="0.3"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S107" s="170">
        <f t="shared" si="163"/>
        <v>0</v>
      </c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36">
        <f t="shared" si="179"/>
        <v>0</v>
      </c>
      <c r="AG107" s="136">
        <f t="shared" si="180"/>
        <v>0</v>
      </c>
    </row>
    <row r="108" spans="1:33" x14ac:dyDescent="0.25">
      <c r="A108" s="137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S108" s="170">
        <f t="shared" si="163"/>
        <v>0</v>
      </c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30">
        <f t="shared" si="179"/>
        <v>0</v>
      </c>
      <c r="AG108" s="130">
        <f t="shared" si="180"/>
        <v>0</v>
      </c>
    </row>
    <row r="109" spans="1:33" hidden="1" x14ac:dyDescent="0.25">
      <c r="A109" s="130" t="s">
        <v>69</v>
      </c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>
        <f>SUM(B109:M109)</f>
        <v>0</v>
      </c>
      <c r="O109" s="139"/>
      <c r="P109" s="139">
        <f t="shared" ref="P109:P133" si="238">Q109/12*$P$3</f>
        <v>0</v>
      </c>
      <c r="Q109" s="139">
        <f>R109</f>
        <v>0</v>
      </c>
      <c r="R109" s="139">
        <v>0</v>
      </c>
      <c r="S109" s="170">
        <f t="shared" si="163"/>
        <v>0</v>
      </c>
      <c r="T109" s="168">
        <v>0</v>
      </c>
      <c r="U109" s="168">
        <v>0</v>
      </c>
      <c r="V109" s="168">
        <v>0</v>
      </c>
      <c r="W109" s="168"/>
      <c r="X109" s="168"/>
      <c r="Y109" s="168">
        <v>0</v>
      </c>
      <c r="Z109" s="168">
        <v>0</v>
      </c>
      <c r="AA109" s="168">
        <v>0</v>
      </c>
      <c r="AB109" s="168">
        <v>0</v>
      </c>
      <c r="AC109" s="168"/>
      <c r="AD109" s="168"/>
      <c r="AE109" s="168"/>
      <c r="AF109" s="139">
        <f t="shared" si="179"/>
        <v>0</v>
      </c>
      <c r="AG109" s="139">
        <f t="shared" si="180"/>
        <v>0</v>
      </c>
    </row>
    <row r="110" spans="1:33" x14ac:dyDescent="0.25">
      <c r="A110" s="130" t="s">
        <v>70</v>
      </c>
      <c r="B110" s="139">
        <v>153164253.25999999</v>
      </c>
      <c r="C110" s="139">
        <v>323407635.95999998</v>
      </c>
      <c r="D110" s="139">
        <v>271949320.60000002</v>
      </c>
      <c r="E110" s="139">
        <v>373475788.17000002</v>
      </c>
      <c r="F110" s="139"/>
      <c r="G110" s="139"/>
      <c r="H110" s="139"/>
      <c r="I110" s="139"/>
      <c r="J110" s="139"/>
      <c r="K110" s="139"/>
      <c r="L110" s="139"/>
      <c r="M110" s="139"/>
      <c r="N110" s="139">
        <f>SUM(B110:M110)</f>
        <v>1121996997.99</v>
      </c>
      <c r="O110" s="139"/>
      <c r="P110" s="139">
        <f t="shared" si="238"/>
        <v>931678150.86750007</v>
      </c>
      <c r="Q110" s="139">
        <f t="shared" ref="Q110:Q133" si="239">R110</f>
        <v>1242237534.49</v>
      </c>
      <c r="R110" s="139">
        <v>1242237534.49</v>
      </c>
      <c r="S110" s="170">
        <f t="shared" si="163"/>
        <v>0</v>
      </c>
      <c r="T110" s="168">
        <v>154744703.27000001</v>
      </c>
      <c r="U110" s="168">
        <v>123954975.27</v>
      </c>
      <c r="V110" s="168">
        <v>101935013.19</v>
      </c>
      <c r="W110" s="168">
        <v>92863307.959999993</v>
      </c>
      <c r="X110" s="168">
        <v>94258757.019999996</v>
      </c>
      <c r="Y110" s="168">
        <v>97605649.239999995</v>
      </c>
      <c r="Z110" s="168">
        <v>123097958.22</v>
      </c>
      <c r="AA110" s="168">
        <v>127862684.09999999</v>
      </c>
      <c r="AB110" s="168">
        <v>96885769.400000006</v>
      </c>
      <c r="AC110" s="168">
        <v>91117545.120000005</v>
      </c>
      <c r="AD110" s="168">
        <v>79237235.719999999</v>
      </c>
      <c r="AE110" s="168">
        <v>58673935.979999997</v>
      </c>
      <c r="AF110" s="139">
        <f t="shared" si="179"/>
        <v>101999727.09</v>
      </c>
      <c r="AG110" s="139">
        <f t="shared" si="180"/>
        <v>-101999727.09</v>
      </c>
    </row>
    <row r="111" spans="1:33" x14ac:dyDescent="0.25">
      <c r="A111" s="130" t="s">
        <v>71</v>
      </c>
      <c r="B111" s="139">
        <v>328326967.17000002</v>
      </c>
      <c r="C111" s="139">
        <v>598245028.20000005</v>
      </c>
      <c r="D111" s="139">
        <v>230752186.94</v>
      </c>
      <c r="E111" s="139">
        <v>72284330.129999995</v>
      </c>
      <c r="F111" s="139"/>
      <c r="G111" s="139"/>
      <c r="H111" s="139"/>
      <c r="I111" s="139"/>
      <c r="J111" s="139"/>
      <c r="K111" s="139"/>
      <c r="L111" s="139"/>
      <c r="M111" s="139"/>
      <c r="N111" s="139">
        <f t="shared" ref="N111:N133" si="240">SUM(B111:M111)</f>
        <v>1229608512.4400001</v>
      </c>
      <c r="O111" s="139"/>
      <c r="P111" s="139">
        <f t="shared" si="238"/>
        <v>2658149847.8700004</v>
      </c>
      <c r="Q111" s="139">
        <f t="shared" si="239"/>
        <v>3544199797.1600003</v>
      </c>
      <c r="R111" s="139">
        <v>3544199797.1600003</v>
      </c>
      <c r="S111" s="170">
        <f t="shared" si="163"/>
        <v>0</v>
      </c>
      <c r="T111" s="168">
        <v>474420383.94999999</v>
      </c>
      <c r="U111" s="168">
        <v>1272769788.22</v>
      </c>
      <c r="V111" s="168">
        <v>305526926.99000001</v>
      </c>
      <c r="W111" s="168">
        <v>46941731.32</v>
      </c>
      <c r="X111" s="168">
        <v>115118797.62</v>
      </c>
      <c r="Y111" s="168">
        <v>261188870.69</v>
      </c>
      <c r="Z111" s="168">
        <v>167224902.31999999</v>
      </c>
      <c r="AA111" s="168">
        <v>334958641.80000001</v>
      </c>
      <c r="AB111" s="168">
        <v>240211825.59</v>
      </c>
      <c r="AC111" s="168">
        <v>61729895.789999999</v>
      </c>
      <c r="AD111" s="168">
        <v>139453291.03999999</v>
      </c>
      <c r="AE111" s="168">
        <v>124654741.83</v>
      </c>
      <c r="AF111" s="139">
        <f t="shared" si="179"/>
        <v>111782592.04000001</v>
      </c>
      <c r="AG111" s="139">
        <f t="shared" si="180"/>
        <v>-111782592.04000001</v>
      </c>
    </row>
    <row r="112" spans="1:33" x14ac:dyDescent="0.25">
      <c r="A112" s="130" t="s">
        <v>72</v>
      </c>
      <c r="B112" s="139">
        <v>1932533</v>
      </c>
      <c r="C112" s="139">
        <v>2563748.62</v>
      </c>
      <c r="D112" s="139">
        <v>4263827.0599999996</v>
      </c>
      <c r="E112" s="139">
        <v>6377854.2699999996</v>
      </c>
      <c r="F112" s="139"/>
      <c r="G112" s="139"/>
      <c r="H112" s="139"/>
      <c r="I112" s="139"/>
      <c r="J112" s="139"/>
      <c r="K112" s="139"/>
      <c r="L112" s="139"/>
      <c r="M112" s="139"/>
      <c r="N112" s="139">
        <f t="shared" si="240"/>
        <v>15137962.949999999</v>
      </c>
      <c r="O112" s="139"/>
      <c r="P112" s="139">
        <f t="shared" si="238"/>
        <v>12605631.960000001</v>
      </c>
      <c r="Q112" s="139">
        <f t="shared" si="239"/>
        <v>16807509.280000001</v>
      </c>
      <c r="R112" s="139">
        <v>16807509.280000001</v>
      </c>
      <c r="S112" s="170">
        <f t="shared" si="163"/>
        <v>0</v>
      </c>
      <c r="T112" s="168">
        <v>2898099.37</v>
      </c>
      <c r="U112" s="168">
        <v>2610105.7200000002</v>
      </c>
      <c r="V112" s="168">
        <v>622399.88</v>
      </c>
      <c r="W112" s="168">
        <v>1945746.84</v>
      </c>
      <c r="X112" s="168">
        <v>1927944.8</v>
      </c>
      <c r="Y112" s="168">
        <v>474866.98</v>
      </c>
      <c r="Z112" s="168">
        <v>1059505.05</v>
      </c>
      <c r="AA112" s="168">
        <v>1458942.34</v>
      </c>
      <c r="AB112" s="168">
        <v>319490.71999999997</v>
      </c>
      <c r="AC112" s="168">
        <v>210539.64</v>
      </c>
      <c r="AD112" s="168">
        <v>2119802.66</v>
      </c>
      <c r="AE112" s="168">
        <v>1160065.28</v>
      </c>
      <c r="AF112" s="139">
        <f t="shared" si="179"/>
        <v>1376178.45</v>
      </c>
      <c r="AG112" s="139">
        <f t="shared" si="180"/>
        <v>-1376178.45</v>
      </c>
    </row>
    <row r="113" spans="1:33" x14ac:dyDescent="0.25">
      <c r="A113" s="130" t="s">
        <v>73</v>
      </c>
      <c r="B113" s="139">
        <v>19224117.800000001</v>
      </c>
      <c r="C113" s="139">
        <v>16999671.379999999</v>
      </c>
      <c r="D113" s="139">
        <v>14438514.710000001</v>
      </c>
      <c r="E113" s="139">
        <v>2003009.08</v>
      </c>
      <c r="F113" s="139"/>
      <c r="G113" s="139"/>
      <c r="H113" s="139"/>
      <c r="I113" s="139"/>
      <c r="J113" s="139"/>
      <c r="K113" s="139"/>
      <c r="L113" s="139"/>
      <c r="M113" s="139"/>
      <c r="N113" s="139">
        <f t="shared" si="240"/>
        <v>52665312.969999999</v>
      </c>
      <c r="O113" s="139"/>
      <c r="P113" s="139">
        <f t="shared" si="238"/>
        <v>16307923.7925</v>
      </c>
      <c r="Q113" s="139">
        <f t="shared" si="239"/>
        <v>21743898.390000001</v>
      </c>
      <c r="R113" s="139">
        <v>21743898.390000001</v>
      </c>
      <c r="S113" s="170">
        <f t="shared" si="163"/>
        <v>0</v>
      </c>
      <c r="T113" s="168">
        <v>3238349</v>
      </c>
      <c r="U113" s="168">
        <v>1478660.42</v>
      </c>
      <c r="V113" s="168">
        <v>1427673</v>
      </c>
      <c r="W113" s="168">
        <v>2167697.4500000002</v>
      </c>
      <c r="X113" s="168">
        <v>847867.6</v>
      </c>
      <c r="Y113" s="168">
        <v>844240.5</v>
      </c>
      <c r="Z113" s="168">
        <v>518684.94</v>
      </c>
      <c r="AA113" s="168">
        <v>749745</v>
      </c>
      <c r="AB113" s="168">
        <v>593767</v>
      </c>
      <c r="AC113" s="168">
        <v>2838661.13</v>
      </c>
      <c r="AD113" s="168">
        <v>1687433.35</v>
      </c>
      <c r="AE113" s="168">
        <v>5351119</v>
      </c>
      <c r="AF113" s="139">
        <f t="shared" si="179"/>
        <v>4787755.7245454546</v>
      </c>
      <c r="AG113" s="139">
        <f t="shared" si="180"/>
        <v>-4787755.7245454546</v>
      </c>
    </row>
    <row r="114" spans="1:33" x14ac:dyDescent="0.25">
      <c r="A114" s="130" t="s">
        <v>74</v>
      </c>
      <c r="B114" s="139">
        <v>0</v>
      </c>
      <c r="C114" s="139"/>
      <c r="D114" s="139">
        <v>1600</v>
      </c>
      <c r="E114" s="139">
        <v>1894.28</v>
      </c>
      <c r="F114" s="139"/>
      <c r="G114" s="139"/>
      <c r="H114" s="139"/>
      <c r="I114" s="139"/>
      <c r="J114" s="139"/>
      <c r="K114" s="139"/>
      <c r="L114" s="139"/>
      <c r="M114" s="139"/>
      <c r="N114" s="139">
        <f t="shared" si="240"/>
        <v>3494.2799999999997</v>
      </c>
      <c r="O114" s="139"/>
      <c r="P114" s="139">
        <f t="shared" si="238"/>
        <v>8893.83</v>
      </c>
      <c r="Q114" s="139">
        <f t="shared" si="239"/>
        <v>11858.44</v>
      </c>
      <c r="R114" s="139">
        <v>11858.44</v>
      </c>
      <c r="S114" s="170">
        <f t="shared" si="163"/>
        <v>0</v>
      </c>
      <c r="T114" s="168">
        <v>0</v>
      </c>
      <c r="U114" s="168">
        <v>0</v>
      </c>
      <c r="V114" s="168">
        <v>0</v>
      </c>
      <c r="W114" s="168">
        <v>0</v>
      </c>
      <c r="X114" s="168">
        <v>100</v>
      </c>
      <c r="Y114" s="168">
        <v>0</v>
      </c>
      <c r="Z114" s="168">
        <v>100</v>
      </c>
      <c r="AA114" s="168">
        <v>275</v>
      </c>
      <c r="AB114" s="168">
        <v>780</v>
      </c>
      <c r="AC114" s="168">
        <v>145</v>
      </c>
      <c r="AD114" s="168">
        <v>800</v>
      </c>
      <c r="AE114" s="168">
        <v>9658.44</v>
      </c>
      <c r="AF114" s="139">
        <f t="shared" si="179"/>
        <v>317.66181818181815</v>
      </c>
      <c r="AG114" s="139">
        <f t="shared" si="180"/>
        <v>-317.66181818181815</v>
      </c>
    </row>
    <row r="115" spans="1:33" x14ac:dyDescent="0.25">
      <c r="A115" s="130" t="s">
        <v>75</v>
      </c>
      <c r="B115" s="139">
        <v>25767.99</v>
      </c>
      <c r="C115" s="139">
        <v>27684.39</v>
      </c>
      <c r="D115" s="139">
        <v>12945.12</v>
      </c>
      <c r="E115" s="139">
        <v>191151.18</v>
      </c>
      <c r="F115" s="139"/>
      <c r="G115" s="139"/>
      <c r="H115" s="139"/>
      <c r="I115" s="139"/>
      <c r="J115" s="139"/>
      <c r="K115" s="139"/>
      <c r="L115" s="139"/>
      <c r="M115" s="139"/>
      <c r="N115" s="139">
        <f t="shared" si="240"/>
        <v>257548.68</v>
      </c>
      <c r="O115" s="139"/>
      <c r="P115" s="139">
        <f t="shared" si="238"/>
        <v>323778.79500000004</v>
      </c>
      <c r="Q115" s="139">
        <f t="shared" si="239"/>
        <v>431705.06</v>
      </c>
      <c r="R115" s="139">
        <v>431705.06</v>
      </c>
      <c r="S115" s="170">
        <f t="shared" si="163"/>
        <v>0</v>
      </c>
      <c r="T115" s="168">
        <v>44174.48</v>
      </c>
      <c r="U115" s="168">
        <v>37026.959999999999</v>
      </c>
      <c r="V115" s="168">
        <v>50952.97</v>
      </c>
      <c r="W115" s="168">
        <v>17383</v>
      </c>
      <c r="X115" s="168">
        <v>6537.5</v>
      </c>
      <c r="Y115" s="168">
        <v>12690.5</v>
      </c>
      <c r="Z115" s="168">
        <v>14136.99</v>
      </c>
      <c r="AA115" s="168">
        <v>3631</v>
      </c>
      <c r="AB115" s="168">
        <v>6577.55</v>
      </c>
      <c r="AC115" s="168">
        <v>18560.79</v>
      </c>
      <c r="AD115" s="168">
        <v>30425.09</v>
      </c>
      <c r="AE115" s="168">
        <v>189608.23</v>
      </c>
      <c r="AF115" s="139">
        <f t="shared" si="179"/>
        <v>23413.516363636361</v>
      </c>
      <c r="AG115" s="139">
        <f t="shared" si="180"/>
        <v>-23413.516363636361</v>
      </c>
    </row>
    <row r="116" spans="1:33" hidden="1" x14ac:dyDescent="0.25">
      <c r="A116" s="130" t="s">
        <v>76</v>
      </c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>
        <f t="shared" si="240"/>
        <v>0</v>
      </c>
      <c r="O116" s="139"/>
      <c r="P116" s="139">
        <f t="shared" si="238"/>
        <v>46875</v>
      </c>
      <c r="Q116" s="139">
        <f t="shared" si="239"/>
        <v>62500</v>
      </c>
      <c r="R116" s="139">
        <v>62500</v>
      </c>
      <c r="S116" s="170">
        <f t="shared" si="163"/>
        <v>0</v>
      </c>
      <c r="T116" s="168">
        <v>0</v>
      </c>
      <c r="U116" s="168">
        <v>40000</v>
      </c>
      <c r="V116" s="168">
        <v>0</v>
      </c>
      <c r="W116" s="168">
        <v>0</v>
      </c>
      <c r="X116" s="168">
        <v>0</v>
      </c>
      <c r="Y116" s="168">
        <v>0</v>
      </c>
      <c r="Z116" s="168">
        <v>10000</v>
      </c>
      <c r="AA116" s="168">
        <v>0</v>
      </c>
      <c r="AB116" s="168">
        <v>0</v>
      </c>
      <c r="AC116" s="168">
        <v>10700</v>
      </c>
      <c r="AD116" s="168">
        <v>1800</v>
      </c>
      <c r="AE116" s="168">
        <v>0</v>
      </c>
      <c r="AF116" s="139">
        <f t="shared" si="179"/>
        <v>0</v>
      </c>
      <c r="AG116" s="139">
        <f t="shared" si="180"/>
        <v>0</v>
      </c>
    </row>
    <row r="117" spans="1:33" x14ac:dyDescent="0.25">
      <c r="A117" s="130" t="s">
        <v>77</v>
      </c>
      <c r="B117" s="139">
        <v>5615755.9000000004</v>
      </c>
      <c r="C117" s="139">
        <v>8285275</v>
      </c>
      <c r="D117" s="139">
        <v>5836400</v>
      </c>
      <c r="E117" s="139">
        <v>978188.5</v>
      </c>
      <c r="F117" s="139"/>
      <c r="G117" s="139"/>
      <c r="H117" s="139"/>
      <c r="I117" s="139"/>
      <c r="J117" s="139"/>
      <c r="K117" s="139"/>
      <c r="L117" s="139"/>
      <c r="M117" s="139"/>
      <c r="N117" s="139">
        <f t="shared" si="240"/>
        <v>20715619.399999999</v>
      </c>
      <c r="O117" s="139"/>
      <c r="P117" s="139">
        <f t="shared" si="238"/>
        <v>5283806.9775</v>
      </c>
      <c r="Q117" s="139">
        <f t="shared" si="239"/>
        <v>7045075.9700000007</v>
      </c>
      <c r="R117" s="139">
        <v>7045075.9700000007</v>
      </c>
      <c r="S117" s="170">
        <f t="shared" si="163"/>
        <v>0</v>
      </c>
      <c r="T117" s="168">
        <v>85825</v>
      </c>
      <c r="U117" s="168">
        <v>579872.5</v>
      </c>
      <c r="V117" s="168">
        <v>108078.75</v>
      </c>
      <c r="W117" s="168">
        <v>961999.14</v>
      </c>
      <c r="X117" s="168">
        <v>349854.6</v>
      </c>
      <c r="Y117" s="168">
        <v>1360150.98</v>
      </c>
      <c r="Z117" s="168">
        <v>454175</v>
      </c>
      <c r="AA117" s="168">
        <v>875445</v>
      </c>
      <c r="AB117" s="168">
        <v>461025</v>
      </c>
      <c r="AC117" s="168">
        <v>664960</v>
      </c>
      <c r="AD117" s="168">
        <v>720675</v>
      </c>
      <c r="AE117" s="168">
        <v>423015</v>
      </c>
      <c r="AF117" s="139">
        <f t="shared" si="179"/>
        <v>1883238.1272727272</v>
      </c>
      <c r="AG117" s="139">
        <f t="shared" si="180"/>
        <v>-1883238.1272727272</v>
      </c>
    </row>
    <row r="118" spans="1:33" x14ac:dyDescent="0.25">
      <c r="A118" s="130" t="s">
        <v>78</v>
      </c>
      <c r="B118" s="139">
        <v>9793.3799999999992</v>
      </c>
      <c r="C118" s="139">
        <v>33905.61</v>
      </c>
      <c r="D118" s="139">
        <v>50342.29</v>
      </c>
      <c r="E118" s="139">
        <v>64440.75</v>
      </c>
      <c r="F118" s="139"/>
      <c r="G118" s="139"/>
      <c r="H118" s="139"/>
      <c r="I118" s="139"/>
      <c r="J118" s="139"/>
      <c r="K118" s="139"/>
      <c r="L118" s="139"/>
      <c r="M118" s="139"/>
      <c r="N118" s="139">
        <f t="shared" si="240"/>
        <v>158482.03</v>
      </c>
      <c r="O118" s="139"/>
      <c r="P118" s="139">
        <f t="shared" si="238"/>
        <v>209819.31750000003</v>
      </c>
      <c r="Q118" s="139">
        <f t="shared" si="239"/>
        <v>279759.09000000003</v>
      </c>
      <c r="R118" s="139">
        <v>279759.09000000003</v>
      </c>
      <c r="S118" s="170">
        <f t="shared" si="163"/>
        <v>0</v>
      </c>
      <c r="T118" s="168">
        <v>26781.78</v>
      </c>
      <c r="U118" s="168">
        <v>27848.98</v>
      </c>
      <c r="V118" s="168">
        <v>17975.66</v>
      </c>
      <c r="W118" s="168">
        <v>19219.95</v>
      </c>
      <c r="X118" s="168">
        <v>22546.73</v>
      </c>
      <c r="Y118" s="168">
        <v>22323.95</v>
      </c>
      <c r="Z118" s="168">
        <v>27263.29</v>
      </c>
      <c r="AA118" s="168">
        <v>23494.07</v>
      </c>
      <c r="AB118" s="168">
        <v>23850.720000000001</v>
      </c>
      <c r="AC118" s="168">
        <v>18433.18</v>
      </c>
      <c r="AD118" s="168">
        <v>12973.45</v>
      </c>
      <c r="AE118" s="168">
        <v>37047.33</v>
      </c>
      <c r="AF118" s="139">
        <f t="shared" si="179"/>
        <v>14407.457272727273</v>
      </c>
      <c r="AG118" s="139">
        <f t="shared" si="180"/>
        <v>-14407.457272727273</v>
      </c>
    </row>
    <row r="119" spans="1:33" x14ac:dyDescent="0.25">
      <c r="A119" s="130" t="s">
        <v>79</v>
      </c>
      <c r="B119" s="139">
        <v>5219.17</v>
      </c>
      <c r="C119" s="139">
        <v>4019</v>
      </c>
      <c r="D119" s="139">
        <v>6788.63</v>
      </c>
      <c r="E119" s="139">
        <v>11453</v>
      </c>
      <c r="F119" s="139"/>
      <c r="G119" s="139"/>
      <c r="H119" s="139"/>
      <c r="I119" s="139"/>
      <c r="J119" s="139"/>
      <c r="K119" s="139"/>
      <c r="L119" s="139"/>
      <c r="M119" s="139"/>
      <c r="N119" s="139">
        <f t="shared" si="240"/>
        <v>27479.8</v>
      </c>
      <c r="O119" s="139"/>
      <c r="P119" s="139">
        <f t="shared" si="238"/>
        <v>39851.722500000003</v>
      </c>
      <c r="Q119" s="139">
        <f t="shared" si="239"/>
        <v>53135.63</v>
      </c>
      <c r="R119" s="139">
        <v>53135.63</v>
      </c>
      <c r="S119" s="170">
        <f t="shared" si="163"/>
        <v>0</v>
      </c>
      <c r="T119" s="168">
        <v>5348.08</v>
      </c>
      <c r="U119" s="168">
        <v>3319.45</v>
      </c>
      <c r="V119" s="168">
        <v>4134.66</v>
      </c>
      <c r="W119" s="168">
        <v>2672.3</v>
      </c>
      <c r="X119" s="168">
        <v>3055.3</v>
      </c>
      <c r="Y119" s="168">
        <v>3045.54</v>
      </c>
      <c r="Z119" s="168">
        <v>4022.15</v>
      </c>
      <c r="AA119" s="168">
        <v>6517.32</v>
      </c>
      <c r="AB119" s="168">
        <v>4329.42</v>
      </c>
      <c r="AC119" s="168">
        <v>5529.92</v>
      </c>
      <c r="AD119" s="168">
        <v>3482.32</v>
      </c>
      <c r="AE119" s="168">
        <v>7679.17</v>
      </c>
      <c r="AF119" s="139">
        <f t="shared" si="179"/>
        <v>2498.1636363636362</v>
      </c>
      <c r="AG119" s="139">
        <f t="shared" si="180"/>
        <v>-2498.1636363636362</v>
      </c>
    </row>
    <row r="120" spans="1:33" x14ac:dyDescent="0.25">
      <c r="A120" s="130" t="s">
        <v>80</v>
      </c>
      <c r="B120" s="139">
        <v>10806.14</v>
      </c>
      <c r="C120" s="139">
        <v>9489.07</v>
      </c>
      <c r="D120" s="139">
        <v>32056.73</v>
      </c>
      <c r="E120" s="139">
        <v>13407.64</v>
      </c>
      <c r="F120" s="139"/>
      <c r="G120" s="139"/>
      <c r="H120" s="139"/>
      <c r="I120" s="139"/>
      <c r="J120" s="139"/>
      <c r="K120" s="139"/>
      <c r="L120" s="139"/>
      <c r="M120" s="139"/>
      <c r="N120" s="139">
        <f t="shared" si="240"/>
        <v>65759.58</v>
      </c>
      <c r="O120" s="139"/>
      <c r="P120" s="139">
        <f t="shared" si="238"/>
        <v>275040.6225</v>
      </c>
      <c r="Q120" s="139">
        <f t="shared" si="239"/>
        <v>366720.82999999996</v>
      </c>
      <c r="R120" s="139">
        <v>366720.82999999996</v>
      </c>
      <c r="S120" s="170">
        <f t="shared" si="163"/>
        <v>0</v>
      </c>
      <c r="T120" s="168">
        <v>11966.67</v>
      </c>
      <c r="U120" s="168">
        <v>6875.97</v>
      </c>
      <c r="V120" s="168">
        <v>42473.86</v>
      </c>
      <c r="W120" s="168">
        <v>8332.3799999999992</v>
      </c>
      <c r="X120" s="168">
        <v>47717.82</v>
      </c>
      <c r="Y120" s="168">
        <v>14103.21</v>
      </c>
      <c r="Z120" s="168">
        <v>64030.9</v>
      </c>
      <c r="AA120" s="168">
        <v>12097.62</v>
      </c>
      <c r="AB120" s="168">
        <v>52150.96</v>
      </c>
      <c r="AC120" s="168">
        <v>13372.82</v>
      </c>
      <c r="AD120" s="168">
        <v>50469.61</v>
      </c>
      <c r="AE120" s="168">
        <v>43129.01</v>
      </c>
      <c r="AF120" s="139">
        <f t="shared" si="179"/>
        <v>5978.1436363636367</v>
      </c>
      <c r="AG120" s="139">
        <f t="shared" si="180"/>
        <v>-5978.1436363636367</v>
      </c>
    </row>
    <row r="121" spans="1:33" x14ac:dyDescent="0.25">
      <c r="A121" s="130" t="s">
        <v>599</v>
      </c>
      <c r="B121" s="139">
        <v>125</v>
      </c>
      <c r="C121" s="139">
        <v>260</v>
      </c>
      <c r="D121" s="139">
        <v>1000</v>
      </c>
      <c r="E121" s="139"/>
      <c r="F121" s="139"/>
      <c r="G121" s="139"/>
      <c r="H121" s="139"/>
      <c r="I121" s="139"/>
      <c r="J121" s="139"/>
      <c r="K121" s="139"/>
      <c r="L121" s="139"/>
      <c r="M121" s="139"/>
      <c r="N121" s="139">
        <f t="shared" si="240"/>
        <v>1385</v>
      </c>
      <c r="O121" s="139"/>
      <c r="P121" s="139"/>
      <c r="Q121" s="139"/>
      <c r="R121" s="139"/>
      <c r="S121" s="170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39"/>
      <c r="AG121" s="139"/>
    </row>
    <row r="122" spans="1:33" x14ac:dyDescent="0.25">
      <c r="A122" s="130" t="s">
        <v>81</v>
      </c>
      <c r="B122" s="139">
        <v>-8226772.7000000002</v>
      </c>
      <c r="C122" s="139">
        <v>-715068</v>
      </c>
      <c r="D122" s="139">
        <v>-160313</v>
      </c>
      <c r="E122" s="139">
        <v>-15604485.140000001</v>
      </c>
      <c r="F122" s="139"/>
      <c r="G122" s="139"/>
      <c r="H122" s="139"/>
      <c r="I122" s="139"/>
      <c r="J122" s="139"/>
      <c r="K122" s="139"/>
      <c r="L122" s="139"/>
      <c r="M122" s="139"/>
      <c r="N122" s="139">
        <f t="shared" si="240"/>
        <v>-24706638.84</v>
      </c>
      <c r="O122" s="139"/>
      <c r="P122" s="139">
        <f t="shared" si="238"/>
        <v>-25091803.439999998</v>
      </c>
      <c r="Q122" s="139">
        <f t="shared" si="239"/>
        <v>-33455737.919999998</v>
      </c>
      <c r="R122" s="139">
        <v>-33455737.919999998</v>
      </c>
      <c r="S122" s="170">
        <f t="shared" si="163"/>
        <v>0</v>
      </c>
      <c r="T122" s="168">
        <v>-181274.6</v>
      </c>
      <c r="U122" s="168">
        <v>-14353247.48</v>
      </c>
      <c r="V122" s="168">
        <v>-865145</v>
      </c>
      <c r="W122" s="168">
        <v>-191768.9</v>
      </c>
      <c r="X122" s="168">
        <v>0</v>
      </c>
      <c r="Y122" s="168">
        <v>-4824560.62</v>
      </c>
      <c r="Z122" s="168">
        <v>-481109.16</v>
      </c>
      <c r="AA122" s="168">
        <v>-1464419.23</v>
      </c>
      <c r="AB122" s="168">
        <v>-3207158.47</v>
      </c>
      <c r="AC122" s="168">
        <v>-7212416.5499999998</v>
      </c>
      <c r="AD122" s="168">
        <v>-555999.32999999996</v>
      </c>
      <c r="AE122" s="168">
        <v>-118638.58</v>
      </c>
      <c r="AF122" s="139">
        <f t="shared" si="179"/>
        <v>-2246058.0763636362</v>
      </c>
      <c r="AG122" s="139">
        <f t="shared" si="180"/>
        <v>2246058.0763636362</v>
      </c>
    </row>
    <row r="123" spans="1:33" x14ac:dyDescent="0.25">
      <c r="A123" s="130" t="s">
        <v>82</v>
      </c>
      <c r="B123" s="139">
        <v>-14180.1</v>
      </c>
      <c r="C123" s="139">
        <v>-1730</v>
      </c>
      <c r="D123" s="139">
        <v>-504786.86</v>
      </c>
      <c r="E123" s="139">
        <v>-848229.79</v>
      </c>
      <c r="F123" s="139"/>
      <c r="G123" s="139"/>
      <c r="H123" s="139"/>
      <c r="I123" s="139"/>
      <c r="J123" s="139"/>
      <c r="K123" s="139"/>
      <c r="L123" s="139"/>
      <c r="M123" s="139"/>
      <c r="N123" s="139">
        <f t="shared" si="240"/>
        <v>-1368926.75</v>
      </c>
      <c r="O123" s="139"/>
      <c r="P123" s="139">
        <f t="shared" si="238"/>
        <v>-92600220.389999986</v>
      </c>
      <c r="Q123" s="139">
        <f t="shared" si="239"/>
        <v>-123466960.51999998</v>
      </c>
      <c r="R123" s="139">
        <v>-123466960.51999998</v>
      </c>
      <c r="S123" s="170">
        <f t="shared" si="163"/>
        <v>0</v>
      </c>
      <c r="T123" s="168">
        <v>-49890630.729999997</v>
      </c>
      <c r="U123" s="168">
        <v>-60452389.869999997</v>
      </c>
      <c r="V123" s="168">
        <v>-214404.86</v>
      </c>
      <c r="W123" s="168">
        <v>0</v>
      </c>
      <c r="X123" s="168">
        <v>-57992.4</v>
      </c>
      <c r="Y123" s="168">
        <v>-225137.37</v>
      </c>
      <c r="Z123" s="168">
        <v>-521496.35</v>
      </c>
      <c r="AA123" s="168">
        <v>-10192938.970000001</v>
      </c>
      <c r="AB123" s="168">
        <v>-826272.24</v>
      </c>
      <c r="AC123" s="168">
        <v>-723408.49</v>
      </c>
      <c r="AD123" s="168">
        <v>-111920</v>
      </c>
      <c r="AE123" s="168">
        <v>-250369.24</v>
      </c>
      <c r="AF123" s="139">
        <f t="shared" si="179"/>
        <v>-124447.88636363637</v>
      </c>
      <c r="AG123" s="139">
        <f t="shared" si="180"/>
        <v>124447.88636363637</v>
      </c>
    </row>
    <row r="124" spans="1:33" x14ac:dyDescent="0.25">
      <c r="A124" s="130" t="s">
        <v>83</v>
      </c>
      <c r="B124" s="139">
        <v>0</v>
      </c>
      <c r="C124" s="139">
        <v>-2985</v>
      </c>
      <c r="D124" s="139">
        <v>-22796</v>
      </c>
      <c r="E124" s="139"/>
      <c r="F124" s="139"/>
      <c r="G124" s="139"/>
      <c r="H124" s="139"/>
      <c r="I124" s="139"/>
      <c r="J124" s="139"/>
      <c r="K124" s="139"/>
      <c r="L124" s="139"/>
      <c r="M124" s="139"/>
      <c r="N124" s="139">
        <f t="shared" si="240"/>
        <v>-25781</v>
      </c>
      <c r="O124" s="139"/>
      <c r="P124" s="139">
        <f t="shared" si="238"/>
        <v>-33238.934999999998</v>
      </c>
      <c r="Q124" s="139">
        <f t="shared" si="239"/>
        <v>-44318.58</v>
      </c>
      <c r="R124" s="139">
        <v>-44318.58</v>
      </c>
      <c r="S124" s="170">
        <f t="shared" si="163"/>
        <v>0</v>
      </c>
      <c r="T124" s="168">
        <v>-13395</v>
      </c>
      <c r="U124" s="168">
        <v>-13570</v>
      </c>
      <c r="V124" s="168">
        <v>0</v>
      </c>
      <c r="W124" s="168">
        <v>0</v>
      </c>
      <c r="X124" s="168">
        <v>0</v>
      </c>
      <c r="Y124" s="168">
        <v>0</v>
      </c>
      <c r="Z124" s="168">
        <v>0</v>
      </c>
      <c r="AA124" s="168">
        <v>-8300</v>
      </c>
      <c r="AB124" s="168">
        <v>0</v>
      </c>
      <c r="AC124" s="168"/>
      <c r="AD124" s="168"/>
      <c r="AE124" s="168">
        <v>-9053.58</v>
      </c>
      <c r="AF124" s="139">
        <f t="shared" si="179"/>
        <v>-2343.7272727272725</v>
      </c>
      <c r="AG124" s="139">
        <f t="shared" si="180"/>
        <v>2343.7272727272725</v>
      </c>
    </row>
    <row r="125" spans="1:33" x14ac:dyDescent="0.25">
      <c r="A125" s="130" t="s">
        <v>84</v>
      </c>
      <c r="B125" s="139">
        <v>-11410</v>
      </c>
      <c r="C125" s="139">
        <v>0</v>
      </c>
      <c r="D125" s="139">
        <v>0</v>
      </c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240"/>
        <v>-11410</v>
      </c>
      <c r="O125" s="139"/>
      <c r="P125" s="139">
        <f t="shared" si="238"/>
        <v>-44460</v>
      </c>
      <c r="Q125" s="139">
        <f t="shared" si="239"/>
        <v>-59280</v>
      </c>
      <c r="R125" s="139">
        <v>-59280</v>
      </c>
      <c r="S125" s="170">
        <f t="shared" si="163"/>
        <v>0</v>
      </c>
      <c r="T125" s="168">
        <v>0</v>
      </c>
      <c r="U125" s="168">
        <v>0</v>
      </c>
      <c r="V125" s="168">
        <v>0</v>
      </c>
      <c r="W125" s="168">
        <v>0</v>
      </c>
      <c r="X125" s="168">
        <v>0</v>
      </c>
      <c r="Y125" s="168">
        <v>-59280</v>
      </c>
      <c r="Z125" s="168">
        <v>0</v>
      </c>
      <c r="AA125" s="168">
        <v>0</v>
      </c>
      <c r="AB125" s="168">
        <v>0</v>
      </c>
      <c r="AC125" s="168"/>
      <c r="AD125" s="168"/>
      <c r="AE125" s="168">
        <v>0</v>
      </c>
      <c r="AF125" s="139">
        <f t="shared" si="179"/>
        <v>-1037.2727272727273</v>
      </c>
      <c r="AG125" s="139">
        <f t="shared" si="180"/>
        <v>1037.2727272727273</v>
      </c>
    </row>
    <row r="126" spans="1:33" hidden="1" x14ac:dyDescent="0.25">
      <c r="A126" s="130" t="s">
        <v>85</v>
      </c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240"/>
        <v>0</v>
      </c>
      <c r="O126" s="139"/>
      <c r="P126" s="139">
        <f t="shared" si="238"/>
        <v>0</v>
      </c>
      <c r="Q126" s="139">
        <f t="shared" si="239"/>
        <v>0</v>
      </c>
      <c r="R126" s="139">
        <v>0</v>
      </c>
      <c r="S126" s="170">
        <f t="shared" si="163"/>
        <v>0</v>
      </c>
      <c r="T126" s="168">
        <v>0</v>
      </c>
      <c r="U126" s="168">
        <v>0</v>
      </c>
      <c r="V126" s="168">
        <v>0</v>
      </c>
      <c r="W126" s="168">
        <v>0</v>
      </c>
      <c r="X126" s="168">
        <v>0</v>
      </c>
      <c r="Y126" s="168">
        <v>0</v>
      </c>
      <c r="Z126" s="168">
        <v>0</v>
      </c>
      <c r="AA126" s="168">
        <v>0</v>
      </c>
      <c r="AB126" s="168">
        <v>0</v>
      </c>
      <c r="AC126" s="168"/>
      <c r="AD126" s="168"/>
      <c r="AE126" s="168">
        <v>0</v>
      </c>
      <c r="AF126" s="139">
        <f t="shared" si="179"/>
        <v>0</v>
      </c>
      <c r="AG126" s="139">
        <f t="shared" si="180"/>
        <v>0</v>
      </c>
    </row>
    <row r="127" spans="1:33" hidden="1" x14ac:dyDescent="0.25">
      <c r="A127" s="130" t="s">
        <v>86</v>
      </c>
      <c r="B127" s="139">
        <v>0</v>
      </c>
      <c r="C127" s="139">
        <v>0</v>
      </c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>
        <f t="shared" si="240"/>
        <v>0</v>
      </c>
      <c r="O127" s="139"/>
      <c r="P127" s="139">
        <f t="shared" si="238"/>
        <v>-63.75</v>
      </c>
      <c r="Q127" s="139">
        <f t="shared" si="239"/>
        <v>-85</v>
      </c>
      <c r="R127" s="139">
        <v>-85</v>
      </c>
      <c r="S127" s="170">
        <f t="shared" si="163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0</v>
      </c>
      <c r="Z127" s="168">
        <v>0</v>
      </c>
      <c r="AA127" s="168">
        <v>-85</v>
      </c>
      <c r="AB127" s="168">
        <v>0</v>
      </c>
      <c r="AC127" s="168"/>
      <c r="AD127" s="168"/>
      <c r="AE127" s="168"/>
      <c r="AF127" s="139">
        <f t="shared" si="179"/>
        <v>0</v>
      </c>
      <c r="AG127" s="139">
        <f t="shared" si="180"/>
        <v>0</v>
      </c>
    </row>
    <row r="128" spans="1:33" hidden="1" x14ac:dyDescent="0.25">
      <c r="A128" s="130" t="s">
        <v>87</v>
      </c>
      <c r="B128" s="139">
        <v>0</v>
      </c>
      <c r="C128" s="139">
        <v>0</v>
      </c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240"/>
        <v>0</v>
      </c>
      <c r="O128" s="139"/>
      <c r="P128" s="139">
        <f t="shared" si="238"/>
        <v>-239621.25</v>
      </c>
      <c r="Q128" s="139">
        <f t="shared" si="239"/>
        <v>-319495</v>
      </c>
      <c r="R128" s="139">
        <v>-319495</v>
      </c>
      <c r="S128" s="170">
        <f t="shared" si="163"/>
        <v>0</v>
      </c>
      <c r="T128" s="168">
        <v>0</v>
      </c>
      <c r="U128" s="168">
        <v>0</v>
      </c>
      <c r="V128" s="168">
        <v>0</v>
      </c>
      <c r="W128" s="168">
        <v>-58450</v>
      </c>
      <c r="X128" s="168">
        <v>-38855</v>
      </c>
      <c r="Y128" s="168">
        <v>-113930</v>
      </c>
      <c r="Z128" s="168">
        <v>0</v>
      </c>
      <c r="AA128" s="168">
        <v>0</v>
      </c>
      <c r="AB128" s="168">
        <v>-2460</v>
      </c>
      <c r="AC128" s="168"/>
      <c r="AD128" s="168">
        <v>-100000</v>
      </c>
      <c r="AE128" s="168">
        <v>-5800</v>
      </c>
      <c r="AF128" s="139">
        <f t="shared" si="179"/>
        <v>0</v>
      </c>
      <c r="AG128" s="139">
        <f t="shared" si="180"/>
        <v>0</v>
      </c>
    </row>
    <row r="129" spans="1:33" x14ac:dyDescent="0.25">
      <c r="A129" s="130" t="s">
        <v>88</v>
      </c>
      <c r="B129" s="139">
        <v>270.17</v>
      </c>
      <c r="C129" s="139">
        <v>8278.6200000000008</v>
      </c>
      <c r="D129" s="139">
        <v>66</v>
      </c>
      <c r="E129" s="139"/>
      <c r="F129" s="139"/>
      <c r="G129" s="139"/>
      <c r="H129" s="139"/>
      <c r="I129" s="139"/>
      <c r="J129" s="139"/>
      <c r="K129" s="139"/>
      <c r="L129" s="139"/>
      <c r="M129" s="139"/>
      <c r="N129" s="139">
        <f t="shared" si="240"/>
        <v>8614.7900000000009</v>
      </c>
      <c r="O129" s="139"/>
      <c r="P129" s="139">
        <f t="shared" si="238"/>
        <v>216950.08500000002</v>
      </c>
      <c r="Q129" s="139">
        <f t="shared" si="239"/>
        <v>289266.78000000003</v>
      </c>
      <c r="R129" s="139">
        <v>289266.78000000003</v>
      </c>
      <c r="S129" s="170">
        <f t="shared" si="163"/>
        <v>0</v>
      </c>
      <c r="T129" s="168">
        <v>0</v>
      </c>
      <c r="U129" s="168">
        <v>0</v>
      </c>
      <c r="V129" s="168">
        <v>0</v>
      </c>
      <c r="W129" s="168">
        <v>279000</v>
      </c>
      <c r="X129" s="168">
        <v>0</v>
      </c>
      <c r="Y129" s="168">
        <v>1845</v>
      </c>
      <c r="Z129" s="168">
        <v>1346.78</v>
      </c>
      <c r="AA129" s="168">
        <v>132.93</v>
      </c>
      <c r="AB129" s="168">
        <v>3076.12</v>
      </c>
      <c r="AC129" s="168">
        <v>336</v>
      </c>
      <c r="AD129" s="168">
        <v>2943.62</v>
      </c>
      <c r="AE129" s="168">
        <v>586.33000000000004</v>
      </c>
      <c r="AF129" s="139"/>
      <c r="AG129" s="139"/>
    </row>
    <row r="130" spans="1:33" hidden="1" x14ac:dyDescent="0.25">
      <c r="A130" s="130" t="s">
        <v>442</v>
      </c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>
        <f t="shared" si="240"/>
        <v>0</v>
      </c>
      <c r="O130" s="139"/>
      <c r="P130" s="139">
        <f t="shared" si="238"/>
        <v>9300</v>
      </c>
      <c r="Q130" s="139">
        <f t="shared" si="239"/>
        <v>12400</v>
      </c>
      <c r="R130" s="139">
        <v>12400</v>
      </c>
      <c r="S130" s="170">
        <f t="shared" si="163"/>
        <v>0</v>
      </c>
      <c r="T130" s="168">
        <v>0</v>
      </c>
      <c r="U130" s="168">
        <v>0</v>
      </c>
      <c r="V130" s="168">
        <v>0</v>
      </c>
      <c r="W130" s="168">
        <v>0</v>
      </c>
      <c r="X130" s="168">
        <v>0</v>
      </c>
      <c r="Y130" s="168">
        <v>0</v>
      </c>
      <c r="Z130" s="168">
        <v>0</v>
      </c>
      <c r="AA130" s="168">
        <v>3720</v>
      </c>
      <c r="AB130" s="168">
        <v>3720</v>
      </c>
      <c r="AC130" s="168"/>
      <c r="AD130" s="168">
        <v>0</v>
      </c>
      <c r="AE130" s="168">
        <v>4960</v>
      </c>
      <c r="AF130" s="139"/>
    </row>
    <row r="131" spans="1:33" x14ac:dyDescent="0.25">
      <c r="A131" s="130" t="s">
        <v>89</v>
      </c>
      <c r="B131" s="139">
        <v>1580782.44</v>
      </c>
      <c r="C131" s="139">
        <v>2265754.85</v>
      </c>
      <c r="D131" s="139">
        <v>11966389</v>
      </c>
      <c r="E131" s="139">
        <v>20888337.27</v>
      </c>
      <c r="F131" s="139"/>
      <c r="G131" s="139"/>
      <c r="H131" s="139"/>
      <c r="I131" s="139"/>
      <c r="J131" s="139"/>
      <c r="K131" s="139"/>
      <c r="L131" s="139"/>
      <c r="M131" s="139"/>
      <c r="N131" s="139">
        <f t="shared" si="240"/>
        <v>36701263.560000002</v>
      </c>
      <c r="O131" s="139"/>
      <c r="P131" s="139">
        <f t="shared" si="238"/>
        <v>7768463.835</v>
      </c>
      <c r="Q131" s="139">
        <f t="shared" si="239"/>
        <v>10357951.779999999</v>
      </c>
      <c r="R131" s="139">
        <v>10357951.779999999</v>
      </c>
      <c r="S131" s="170">
        <f t="shared" si="163"/>
        <v>0</v>
      </c>
      <c r="T131" s="168">
        <v>0</v>
      </c>
      <c r="U131" s="168">
        <v>0</v>
      </c>
      <c r="V131" s="168">
        <v>0</v>
      </c>
      <c r="W131" s="168">
        <v>13312.5</v>
      </c>
      <c r="X131" s="168">
        <v>0</v>
      </c>
      <c r="Y131" s="168">
        <v>0</v>
      </c>
      <c r="Z131" s="168">
        <v>160130</v>
      </c>
      <c r="AA131" s="168">
        <v>231818.9</v>
      </c>
      <c r="AB131" s="168">
        <v>2021243.69</v>
      </c>
      <c r="AC131" s="168">
        <v>1627165.6</v>
      </c>
      <c r="AD131" s="168">
        <v>3275736.56</v>
      </c>
      <c r="AE131" s="168">
        <v>3028544.53</v>
      </c>
      <c r="AF131" s="139"/>
      <c r="AG131" s="139"/>
    </row>
    <row r="132" spans="1:33" x14ac:dyDescent="0.25">
      <c r="A132" s="130" t="s">
        <v>576</v>
      </c>
      <c r="B132" s="139">
        <v>35003.800000000003</v>
      </c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>
        <f t="shared" si="240"/>
        <v>35003.800000000003</v>
      </c>
      <c r="O132" s="139"/>
      <c r="P132" s="139"/>
      <c r="Q132" s="139"/>
      <c r="R132" s="139"/>
      <c r="S132" s="170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39"/>
      <c r="AG132" s="139"/>
    </row>
    <row r="133" spans="1:33" x14ac:dyDescent="0.25">
      <c r="A133" s="130" t="s">
        <v>443</v>
      </c>
      <c r="C133" s="139">
        <v>-37</v>
      </c>
      <c r="D133" s="139">
        <v>-40575</v>
      </c>
      <c r="E133" s="139">
        <v>-41300</v>
      </c>
      <c r="F133" s="139"/>
      <c r="G133" s="139"/>
      <c r="H133" s="139"/>
      <c r="I133" s="139"/>
      <c r="J133" s="139"/>
      <c r="K133" s="139"/>
      <c r="L133" s="139"/>
      <c r="M133" s="139"/>
      <c r="N133" s="139">
        <f t="shared" si="240"/>
        <v>-81912</v>
      </c>
      <c r="O133" s="139"/>
      <c r="P133" s="139">
        <f t="shared" si="238"/>
        <v>-194820</v>
      </c>
      <c r="Q133" s="139">
        <f t="shared" si="239"/>
        <v>-259760</v>
      </c>
      <c r="R133" s="139">
        <v>-259760</v>
      </c>
      <c r="S133" s="170">
        <f t="shared" si="163"/>
        <v>0</v>
      </c>
      <c r="T133" s="168">
        <v>0</v>
      </c>
      <c r="U133" s="168">
        <v>0</v>
      </c>
      <c r="V133" s="168">
        <v>0</v>
      </c>
      <c r="W133" s="168">
        <v>0</v>
      </c>
      <c r="X133" s="168">
        <v>0</v>
      </c>
      <c r="Y133" s="168">
        <v>0</v>
      </c>
      <c r="Z133" s="168">
        <v>0</v>
      </c>
      <c r="AA133" s="168">
        <v>-96720</v>
      </c>
      <c r="AB133" s="168">
        <v>0</v>
      </c>
      <c r="AC133" s="168">
        <v>-17990</v>
      </c>
      <c r="AD133" s="168">
        <v>-145050</v>
      </c>
      <c r="AE133" s="168">
        <v>0</v>
      </c>
      <c r="AF133" s="139"/>
    </row>
    <row r="134" spans="1:33" s="138" customFormat="1" ht="15.75" thickBot="1" x14ac:dyDescent="0.3">
      <c r="A134" s="138" t="s">
        <v>90</v>
      </c>
      <c r="B134" s="157">
        <f>SUM(B109:B133)</f>
        <v>501679032.42000002</v>
      </c>
      <c r="C134" s="157">
        <f t="shared" ref="C134:Q134" si="241">SUM(C109:C133)</f>
        <v>951130930.70000017</v>
      </c>
      <c r="D134" s="157">
        <f>SUM(D109:D133)</f>
        <v>538582966.22000003</v>
      </c>
      <c r="E134" s="157">
        <f t="shared" si="241"/>
        <v>459795839.33999991</v>
      </c>
      <c r="F134" s="157">
        <f t="shared" si="241"/>
        <v>0</v>
      </c>
      <c r="G134" s="157">
        <f t="shared" si="241"/>
        <v>0</v>
      </c>
      <c r="H134" s="157">
        <f t="shared" si="241"/>
        <v>0</v>
      </c>
      <c r="I134" s="157">
        <f t="shared" si="241"/>
        <v>0</v>
      </c>
      <c r="J134" s="157">
        <f t="shared" si="241"/>
        <v>0</v>
      </c>
      <c r="K134" s="157">
        <f t="shared" si="241"/>
        <v>0</v>
      </c>
      <c r="L134" s="157">
        <f t="shared" si="241"/>
        <v>0</v>
      </c>
      <c r="M134" s="157">
        <f>SUM(M109:M133)</f>
        <v>0</v>
      </c>
      <c r="N134" s="157">
        <f t="shared" si="241"/>
        <v>2451188768.6800003</v>
      </c>
      <c r="O134" s="157"/>
      <c r="P134" s="157">
        <f>SUM(P109:P133)</f>
        <v>3514720106.9100003</v>
      </c>
      <c r="Q134" s="157">
        <f t="shared" si="241"/>
        <v>4686293475.8800011</v>
      </c>
      <c r="R134" s="157">
        <v>4686293475.8800011</v>
      </c>
      <c r="S134" s="170">
        <f t="shared" si="163"/>
        <v>0</v>
      </c>
      <c r="T134" s="182">
        <f>SUM(T109:T131)</f>
        <v>585390331.26999998</v>
      </c>
      <c r="U134" s="182">
        <f t="shared" ref="U134:X134" si="242">SUM(U109:U131)</f>
        <v>1326689266.1400003</v>
      </c>
      <c r="V134" s="182">
        <f t="shared" si="242"/>
        <v>408656079.10000008</v>
      </c>
      <c r="W134" s="182">
        <f t="shared" si="242"/>
        <v>144970183.93999997</v>
      </c>
      <c r="X134" s="182">
        <f t="shared" si="242"/>
        <v>212486331.58999997</v>
      </c>
      <c r="Y134" s="182">
        <f>SUM(Y109:Y131)</f>
        <v>356304878.60000002</v>
      </c>
      <c r="Z134" s="182">
        <f t="shared" ref="Z134" si="243">SUM(Z109:Z131)</f>
        <v>291633650.12999988</v>
      </c>
      <c r="AA134" s="182">
        <f t="shared" ref="AA134:AE134" si="244">SUM(AA109:AA133)</f>
        <v>454424681.87999988</v>
      </c>
      <c r="AB134" s="182">
        <f t="shared" si="244"/>
        <v>336551715.46000004</v>
      </c>
      <c r="AC134" s="182">
        <f t="shared" si="244"/>
        <v>150302029.94999993</v>
      </c>
      <c r="AD134" s="182">
        <f t="shared" si="244"/>
        <v>225684099.08999997</v>
      </c>
      <c r="AE134" s="182">
        <f t="shared" si="244"/>
        <v>193200228.72999996</v>
      </c>
      <c r="AF134" s="157">
        <f t="shared" si="179"/>
        <v>222835342.60727274</v>
      </c>
      <c r="AG134" s="157">
        <f t="shared" si="180"/>
        <v>-222835342.60727274</v>
      </c>
    </row>
    <row r="135" spans="1:33" ht="15.75" thickTop="1" x14ac:dyDescent="0.25"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70">
        <f t="shared" si="163"/>
        <v>0</v>
      </c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39">
        <f t="shared" si="179"/>
        <v>0</v>
      </c>
      <c r="AG135" s="139">
        <f t="shared" si="180"/>
        <v>0</v>
      </c>
    </row>
    <row r="136" spans="1:33" x14ac:dyDescent="0.25">
      <c r="A136" s="130" t="s">
        <v>91</v>
      </c>
      <c r="B136" s="139">
        <v>-10052.25</v>
      </c>
      <c r="C136" s="139">
        <v>-6006.61</v>
      </c>
      <c r="D136" s="139">
        <v>-11329.62</v>
      </c>
      <c r="E136" s="139">
        <v>-11187.29</v>
      </c>
      <c r="F136" s="139"/>
      <c r="G136" s="139"/>
      <c r="H136" s="139"/>
      <c r="I136" s="139"/>
      <c r="J136" s="139"/>
      <c r="K136" s="139"/>
      <c r="L136" s="139"/>
      <c r="M136" s="139"/>
      <c r="N136" s="139">
        <f t="shared" ref="N136:N184" si="245">SUM(B136:M136)</f>
        <v>-38575.770000000004</v>
      </c>
      <c r="O136" s="139"/>
      <c r="P136" s="139">
        <f t="shared" ref="P136:P167" si="246">Q136/12*$P$3</f>
        <v>-19776.202499999999</v>
      </c>
      <c r="Q136" s="139">
        <f>R136</f>
        <v>-26368.269999999997</v>
      </c>
      <c r="R136" s="139">
        <v>-26368.269999999997</v>
      </c>
      <c r="S136" s="170">
        <f t="shared" si="163"/>
        <v>0</v>
      </c>
      <c r="T136" s="168">
        <v>-3595.4</v>
      </c>
      <c r="U136" s="168">
        <v>-2471.31</v>
      </c>
      <c r="V136" s="168">
        <v>-4621.22</v>
      </c>
      <c r="W136" s="168">
        <v>-5799.91</v>
      </c>
      <c r="X136" s="168">
        <v>-1360.64</v>
      </c>
      <c r="Y136" s="168">
        <v>-1536.21</v>
      </c>
      <c r="Z136" s="168">
        <v>-2242.15</v>
      </c>
      <c r="AA136" s="168">
        <v>-4335.7700000000004</v>
      </c>
      <c r="AB136" s="168">
        <v>-2948.83</v>
      </c>
      <c r="AC136" s="168">
        <v>-5190.07</v>
      </c>
      <c r="AD136" s="168">
        <v>1017.16</v>
      </c>
      <c r="AE136" s="168">
        <v>6716.08</v>
      </c>
      <c r="AF136" s="139">
        <f t="shared" si="179"/>
        <v>-3506.8881818181821</v>
      </c>
      <c r="AG136" s="139">
        <f t="shared" si="180"/>
        <v>3506.8881818181821</v>
      </c>
    </row>
    <row r="137" spans="1:33" hidden="1" x14ac:dyDescent="0.25">
      <c r="A137" s="130" t="s">
        <v>92</v>
      </c>
      <c r="B137" s="139">
        <v>0</v>
      </c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>
        <f t="shared" si="245"/>
        <v>0</v>
      </c>
      <c r="O137" s="139"/>
      <c r="P137" s="139">
        <f t="shared" si="246"/>
        <v>0</v>
      </c>
      <c r="Q137" s="139">
        <f t="shared" ref="Q137:Q203" si="247">R137</f>
        <v>0</v>
      </c>
      <c r="R137" s="139">
        <v>0</v>
      </c>
      <c r="S137" s="170">
        <f t="shared" si="163"/>
        <v>0</v>
      </c>
      <c r="T137" s="168">
        <v>0</v>
      </c>
      <c r="U137" s="168">
        <v>0</v>
      </c>
      <c r="V137" s="168">
        <v>0</v>
      </c>
      <c r="W137" s="168"/>
      <c r="X137" s="168">
        <v>0</v>
      </c>
      <c r="Y137" s="168">
        <v>0</v>
      </c>
      <c r="Z137" s="168">
        <v>0</v>
      </c>
      <c r="AA137" s="168">
        <v>0</v>
      </c>
      <c r="AB137" s="168">
        <v>0</v>
      </c>
      <c r="AC137" s="168"/>
      <c r="AD137" s="168"/>
      <c r="AE137" s="168"/>
      <c r="AF137" s="139">
        <f t="shared" si="179"/>
        <v>0</v>
      </c>
      <c r="AG137" s="139">
        <f t="shared" si="180"/>
        <v>0</v>
      </c>
    </row>
    <row r="138" spans="1:33" x14ac:dyDescent="0.25">
      <c r="A138" s="130" t="s">
        <v>457</v>
      </c>
      <c r="B138" s="139">
        <v>5762228.0499999998</v>
      </c>
      <c r="C138" s="139">
        <v>3827807.84</v>
      </c>
      <c r="D138" s="139">
        <v>1291110.6499999999</v>
      </c>
      <c r="E138" s="139">
        <v>7872799.7199999997</v>
      </c>
      <c r="F138" s="139"/>
      <c r="G138" s="139"/>
      <c r="H138" s="139"/>
      <c r="I138" s="139"/>
      <c r="J138" s="139"/>
      <c r="K138" s="139"/>
      <c r="L138" s="139"/>
      <c r="M138" s="139"/>
      <c r="N138" s="139">
        <f t="shared" si="245"/>
        <v>18753946.260000002</v>
      </c>
      <c r="O138" s="139"/>
      <c r="P138" s="139">
        <f t="shared" si="246"/>
        <v>14394351.150000002</v>
      </c>
      <c r="Q138" s="139">
        <f t="shared" si="247"/>
        <v>19192468.200000003</v>
      </c>
      <c r="R138" s="139">
        <v>19192468.200000003</v>
      </c>
      <c r="S138" s="170">
        <f t="shared" si="163"/>
        <v>0</v>
      </c>
      <c r="U138" s="168"/>
      <c r="V138" s="168"/>
      <c r="W138" s="168"/>
      <c r="X138" s="168"/>
      <c r="Y138" s="168"/>
      <c r="Z138" s="168"/>
      <c r="AA138" s="168"/>
      <c r="AB138" s="168">
        <v>15588272.5</v>
      </c>
      <c r="AC138" s="168">
        <v>1472539.23</v>
      </c>
      <c r="AD138" s="168">
        <v>250102.1</v>
      </c>
      <c r="AE138" s="168">
        <v>1881554.37</v>
      </c>
      <c r="AF138" s="139"/>
      <c r="AG138" s="139"/>
    </row>
    <row r="139" spans="1:33" x14ac:dyDescent="0.25">
      <c r="A139" s="130" t="s">
        <v>458</v>
      </c>
      <c r="B139" s="139">
        <v>2612532.7000000002</v>
      </c>
      <c r="C139" s="139">
        <v>24563356.649999999</v>
      </c>
      <c r="D139" s="139">
        <v>-18167531.190000001</v>
      </c>
      <c r="E139" s="139">
        <v>-1253847.3</v>
      </c>
      <c r="F139" s="139"/>
      <c r="G139" s="139"/>
      <c r="H139" s="139"/>
      <c r="I139" s="139"/>
      <c r="J139" s="139"/>
      <c r="K139" s="139"/>
      <c r="L139" s="139"/>
      <c r="M139" s="139"/>
      <c r="N139" s="139">
        <f t="shared" si="245"/>
        <v>7754510.8599999966</v>
      </c>
      <c r="O139" s="139"/>
      <c r="P139" s="139">
        <f t="shared" si="246"/>
        <v>-6943718.5425000004</v>
      </c>
      <c r="Q139" s="139">
        <f t="shared" si="247"/>
        <v>-9258291.3900000006</v>
      </c>
      <c r="R139" s="139">
        <v>-9258291.3900000006</v>
      </c>
      <c r="S139" s="170">
        <f t="shared" ref="S139:S205" si="248">R139-SUM(T139:AE139)</f>
        <v>0</v>
      </c>
      <c r="U139" s="168"/>
      <c r="V139" s="168"/>
      <c r="W139" s="168"/>
      <c r="X139" s="168"/>
      <c r="Y139" s="168"/>
      <c r="Z139" s="168"/>
      <c r="AA139" s="168"/>
      <c r="AB139" s="168">
        <v>-6396769.0099999998</v>
      </c>
      <c r="AC139" s="168">
        <v>4760717.22</v>
      </c>
      <c r="AD139" s="168">
        <v>-2945718.42</v>
      </c>
      <c r="AE139" s="168">
        <v>-4676521.18</v>
      </c>
      <c r="AF139" s="139"/>
      <c r="AG139" s="139"/>
    </row>
    <row r="140" spans="1:33" x14ac:dyDescent="0.25">
      <c r="A140" s="130" t="s">
        <v>459</v>
      </c>
      <c r="B140" s="139">
        <v>124326.35</v>
      </c>
      <c r="C140" s="139">
        <v>230101.91</v>
      </c>
      <c r="D140" s="139">
        <v>-325452.19</v>
      </c>
      <c r="E140" s="139">
        <v>-32304.94</v>
      </c>
      <c r="F140" s="139"/>
      <c r="G140" s="139"/>
      <c r="H140" s="139"/>
      <c r="I140" s="139"/>
      <c r="J140" s="139"/>
      <c r="K140" s="139"/>
      <c r="L140" s="139"/>
      <c r="M140" s="139"/>
      <c r="N140" s="139">
        <f t="shared" si="245"/>
        <v>-3328.8699999999917</v>
      </c>
      <c r="O140" s="139"/>
      <c r="P140" s="139">
        <f t="shared" si="246"/>
        <v>-605909.25750000007</v>
      </c>
      <c r="Q140" s="139">
        <f t="shared" si="247"/>
        <v>-807879.01</v>
      </c>
      <c r="R140" s="139">
        <v>-807879.01</v>
      </c>
      <c r="S140" s="170">
        <f t="shared" si="248"/>
        <v>0</v>
      </c>
      <c r="U140" s="168"/>
      <c r="V140" s="168"/>
      <c r="W140" s="168"/>
      <c r="X140" s="168"/>
      <c r="Y140" s="168"/>
      <c r="Z140" s="168"/>
      <c r="AA140" s="168"/>
      <c r="AB140" s="168">
        <v>-689871.66</v>
      </c>
      <c r="AC140" s="168">
        <v>12519.79</v>
      </c>
      <c r="AD140" s="168">
        <v>162218.01</v>
      </c>
      <c r="AE140" s="168">
        <v>-292745.15000000002</v>
      </c>
      <c r="AF140" s="139"/>
      <c r="AG140" s="139"/>
    </row>
    <row r="141" spans="1:33" x14ac:dyDescent="0.25">
      <c r="A141" s="130" t="s">
        <v>460</v>
      </c>
      <c r="B141" s="139">
        <v>-1000305.16</v>
      </c>
      <c r="C141" s="139">
        <v>133373.32</v>
      </c>
      <c r="D141" s="139">
        <v>276260.17</v>
      </c>
      <c r="E141" s="139">
        <v>-62617.31</v>
      </c>
      <c r="F141" s="139"/>
      <c r="G141" s="139"/>
      <c r="H141" s="139"/>
      <c r="I141" s="139"/>
      <c r="J141" s="139"/>
      <c r="K141" s="139"/>
      <c r="L141" s="139"/>
      <c r="M141" s="139"/>
      <c r="N141" s="139">
        <f t="shared" si="245"/>
        <v>-653288.98000000021</v>
      </c>
      <c r="O141" s="139"/>
      <c r="P141" s="139">
        <f t="shared" si="246"/>
        <v>-147888.33749999997</v>
      </c>
      <c r="Q141" s="139">
        <f t="shared" si="247"/>
        <v>-197184.44999999995</v>
      </c>
      <c r="R141" s="139">
        <v>-197184.44999999995</v>
      </c>
      <c r="S141" s="170">
        <f t="shared" si="248"/>
        <v>0</v>
      </c>
      <c r="U141" s="168"/>
      <c r="V141" s="168"/>
      <c r="W141" s="168"/>
      <c r="X141" s="168"/>
      <c r="Y141" s="168"/>
      <c r="Z141" s="168"/>
      <c r="AA141" s="168"/>
      <c r="AB141" s="168">
        <v>-374194.7</v>
      </c>
      <c r="AC141" s="168">
        <v>54321.4</v>
      </c>
      <c r="AD141" s="168">
        <v>-8364.91</v>
      </c>
      <c r="AE141" s="168">
        <v>131053.75999999999</v>
      </c>
      <c r="AF141" s="139"/>
      <c r="AG141" s="139"/>
    </row>
    <row r="142" spans="1:33" x14ac:dyDescent="0.25">
      <c r="A142" s="130" t="s">
        <v>461</v>
      </c>
      <c r="B142" s="139">
        <v>-163519.85</v>
      </c>
      <c r="C142" s="139">
        <v>188859.25</v>
      </c>
      <c r="D142" s="139">
        <v>-2356.15</v>
      </c>
      <c r="E142" s="139">
        <v>-84174.73</v>
      </c>
      <c r="F142" s="139"/>
      <c r="G142" s="139"/>
      <c r="H142" s="139"/>
      <c r="I142" s="139"/>
      <c r="J142" s="139"/>
      <c r="K142" s="139"/>
      <c r="L142" s="139"/>
      <c r="M142" s="139"/>
      <c r="N142" s="139">
        <f t="shared" si="245"/>
        <v>-61191.48</v>
      </c>
      <c r="O142" s="139"/>
      <c r="P142" s="139">
        <f t="shared" si="246"/>
        <v>-27937.747500000001</v>
      </c>
      <c r="Q142" s="139">
        <f t="shared" si="247"/>
        <v>-37250.33</v>
      </c>
      <c r="R142" s="139">
        <v>-37250.33</v>
      </c>
      <c r="S142" s="170">
        <f t="shared" si="248"/>
        <v>0</v>
      </c>
      <c r="U142" s="168"/>
      <c r="V142" s="168"/>
      <c r="W142" s="168"/>
      <c r="X142" s="168"/>
      <c r="Y142" s="168"/>
      <c r="Z142" s="168"/>
      <c r="AA142" s="168"/>
      <c r="AB142" s="168">
        <v>-38467.15</v>
      </c>
      <c r="AC142" s="168">
        <v>-6789.17</v>
      </c>
      <c r="AD142" s="168">
        <v>-9793.51</v>
      </c>
      <c r="AE142" s="168">
        <v>17799.5</v>
      </c>
      <c r="AF142" s="139"/>
      <c r="AG142" s="139"/>
    </row>
    <row r="143" spans="1:33" x14ac:dyDescent="0.25">
      <c r="A143" s="130" t="s">
        <v>93</v>
      </c>
      <c r="B143" s="139">
        <v>142255478.09999999</v>
      </c>
      <c r="C143" s="139">
        <v>319064817.13999999</v>
      </c>
      <c r="D143" s="139">
        <v>300858493.55000001</v>
      </c>
      <c r="E143" s="139">
        <v>353973685.99000001</v>
      </c>
      <c r="F143" s="139"/>
      <c r="G143" s="139"/>
      <c r="H143" s="139"/>
      <c r="I143" s="139"/>
      <c r="J143" s="139"/>
      <c r="K143" s="139"/>
      <c r="L143" s="139"/>
      <c r="M143" s="139"/>
      <c r="N143" s="139">
        <f t="shared" si="245"/>
        <v>1116152474.78</v>
      </c>
      <c r="O143" s="139"/>
      <c r="P143" s="139">
        <f t="shared" si="246"/>
        <v>906857930.61750007</v>
      </c>
      <c r="Q143" s="139">
        <f t="shared" si="247"/>
        <v>1209143907.49</v>
      </c>
      <c r="R143" s="139">
        <v>1209143907.49</v>
      </c>
      <c r="S143" s="170">
        <f t="shared" si="248"/>
        <v>0</v>
      </c>
      <c r="T143" s="168">
        <v>155441266.31</v>
      </c>
      <c r="U143" s="168">
        <v>109044152.26000001</v>
      </c>
      <c r="V143" s="168">
        <v>100539266.20999999</v>
      </c>
      <c r="W143" s="168">
        <v>91915243.909999996</v>
      </c>
      <c r="X143" s="168">
        <v>94245288.590000004</v>
      </c>
      <c r="Y143" s="168">
        <v>92942665.650000006</v>
      </c>
      <c r="Z143" s="168">
        <v>124203449.56999999</v>
      </c>
      <c r="AA143" s="168">
        <v>128282249.83</v>
      </c>
      <c r="AB143" s="168">
        <v>93706532.980000004</v>
      </c>
      <c r="AC143" s="168">
        <v>82976594.870000005</v>
      </c>
      <c r="AD143" s="168">
        <v>78235202.469999999</v>
      </c>
      <c r="AE143" s="168">
        <v>57611994.840000004</v>
      </c>
      <c r="AF143" s="139">
        <f t="shared" si="179"/>
        <v>101468406.79818182</v>
      </c>
      <c r="AG143" s="139">
        <f t="shared" si="180"/>
        <v>-101468406.79818182</v>
      </c>
    </row>
    <row r="144" spans="1:33" x14ac:dyDescent="0.25">
      <c r="A144" s="130" t="s">
        <v>94</v>
      </c>
      <c r="B144" s="139">
        <v>327797519.86000001</v>
      </c>
      <c r="C144" s="139">
        <v>596741546.51999998</v>
      </c>
      <c r="D144" s="139">
        <v>236252146.63999999</v>
      </c>
      <c r="E144" s="139">
        <v>69514554.659999996</v>
      </c>
      <c r="F144" s="139"/>
      <c r="G144" s="139"/>
      <c r="H144" s="139"/>
      <c r="I144" s="139"/>
      <c r="J144" s="139"/>
      <c r="K144" s="139"/>
      <c r="L144" s="139"/>
      <c r="M144" s="139"/>
      <c r="N144" s="139">
        <f t="shared" si="245"/>
        <v>1230305767.6800001</v>
      </c>
      <c r="O144" s="139"/>
      <c r="P144" s="139">
        <f t="shared" si="246"/>
        <v>2623000290.5474997</v>
      </c>
      <c r="Q144" s="139">
        <f t="shared" si="247"/>
        <v>3497333720.7299995</v>
      </c>
      <c r="R144" s="139">
        <v>3497333720.7299995</v>
      </c>
      <c r="S144" s="170">
        <f t="shared" si="248"/>
        <v>0</v>
      </c>
      <c r="T144" s="168">
        <v>422458884.52999997</v>
      </c>
      <c r="U144" s="168">
        <v>1215702481.6500001</v>
      </c>
      <c r="V144" s="168">
        <v>305866481.80000001</v>
      </c>
      <c r="W144" s="168">
        <v>46984540.060000002</v>
      </c>
      <c r="X144" s="168">
        <v>116527400.42</v>
      </c>
      <c r="Y144" s="168">
        <v>262829543.78999999</v>
      </c>
      <c r="Z144" s="168">
        <v>170093292.22</v>
      </c>
      <c r="AA144" s="168">
        <v>328155648.12</v>
      </c>
      <c r="AB144" s="168">
        <v>244306582.47999999</v>
      </c>
      <c r="AC144" s="168">
        <v>118310445.38</v>
      </c>
      <c r="AD144" s="168">
        <v>141465570.94999999</v>
      </c>
      <c r="AE144" s="168">
        <v>124632849.33</v>
      </c>
      <c r="AF144" s="139">
        <f t="shared" si="179"/>
        <v>111845978.88000001</v>
      </c>
      <c r="AG144" s="139">
        <f t="shared" si="180"/>
        <v>-111845978.88000001</v>
      </c>
    </row>
    <row r="145" spans="1:33" x14ac:dyDescent="0.25">
      <c r="A145" s="130" t="s">
        <v>95</v>
      </c>
      <c r="B145" s="139">
        <v>1822789.13</v>
      </c>
      <c r="C145" s="139">
        <v>2324432.9</v>
      </c>
      <c r="D145" s="139">
        <v>4240252.63</v>
      </c>
      <c r="E145" s="139">
        <v>6319121.3200000003</v>
      </c>
      <c r="F145" s="139"/>
      <c r="G145" s="139"/>
      <c r="H145" s="139"/>
      <c r="I145" s="139"/>
      <c r="J145" s="139"/>
      <c r="K145" s="139"/>
      <c r="L145" s="139"/>
      <c r="M145" s="139"/>
      <c r="N145" s="139">
        <f t="shared" si="245"/>
        <v>14706595.98</v>
      </c>
      <c r="O145" s="139"/>
      <c r="P145" s="139">
        <f t="shared" si="246"/>
        <v>12400239.247500002</v>
      </c>
      <c r="Q145" s="139">
        <f t="shared" si="247"/>
        <v>16533652.330000002</v>
      </c>
      <c r="R145" s="139">
        <v>16533652.330000002</v>
      </c>
      <c r="S145" s="170">
        <f t="shared" si="248"/>
        <v>0</v>
      </c>
      <c r="T145" s="168">
        <v>2776246.68</v>
      </c>
      <c r="U145" s="168">
        <v>2484320.38</v>
      </c>
      <c r="V145" s="168">
        <v>617771.9</v>
      </c>
      <c r="W145" s="168">
        <v>1936970.97</v>
      </c>
      <c r="X145" s="168">
        <v>2008716.84</v>
      </c>
      <c r="Y145" s="168">
        <v>489895.91</v>
      </c>
      <c r="Z145" s="168">
        <v>1072423.6100000001</v>
      </c>
      <c r="AA145" s="168">
        <v>1487745.77</v>
      </c>
      <c r="AB145" s="168">
        <v>330283.58</v>
      </c>
      <c r="AC145" s="168">
        <v>212260.13</v>
      </c>
      <c r="AD145" s="168">
        <v>1950809.67</v>
      </c>
      <c r="AE145" s="168">
        <v>1166206.8899999999</v>
      </c>
      <c r="AF145" s="139">
        <f t="shared" si="179"/>
        <v>1336963.270909091</v>
      </c>
      <c r="AG145" s="139">
        <f t="shared" si="180"/>
        <v>-1336963.270909091</v>
      </c>
    </row>
    <row r="146" spans="1:33" x14ac:dyDescent="0.25">
      <c r="A146" s="130" t="s">
        <v>96</v>
      </c>
      <c r="B146" s="139">
        <v>19218639.629999999</v>
      </c>
      <c r="C146" s="139">
        <v>16680281.039999999</v>
      </c>
      <c r="D146" s="139">
        <v>12881881.25</v>
      </c>
      <c r="E146" s="139">
        <v>2126588.7799999998</v>
      </c>
      <c r="F146" s="139"/>
      <c r="G146" s="139"/>
      <c r="H146" s="139"/>
      <c r="I146" s="139"/>
      <c r="J146" s="139"/>
      <c r="K146" s="139"/>
      <c r="L146" s="139"/>
      <c r="M146" s="139"/>
      <c r="N146" s="139">
        <f t="shared" si="245"/>
        <v>50907390.700000003</v>
      </c>
      <c r="O146" s="139"/>
      <c r="P146" s="139">
        <f t="shared" si="246"/>
        <v>16045213.777500002</v>
      </c>
      <c r="Q146" s="139">
        <f t="shared" si="247"/>
        <v>21393618.370000001</v>
      </c>
      <c r="R146" s="139">
        <v>21393618.370000001</v>
      </c>
      <c r="S146" s="170">
        <f t="shared" si="248"/>
        <v>0</v>
      </c>
      <c r="T146" s="168">
        <v>3078499.21</v>
      </c>
      <c r="U146" s="168">
        <v>1513901.47</v>
      </c>
      <c r="V146" s="168">
        <v>1441767.82</v>
      </c>
      <c r="W146" s="168">
        <v>2113636.39</v>
      </c>
      <c r="X146" s="168">
        <v>844764.25</v>
      </c>
      <c r="Y146" s="168">
        <v>760350.9</v>
      </c>
      <c r="Z146" s="168">
        <v>520958.08</v>
      </c>
      <c r="AA146" s="168">
        <v>746076.51</v>
      </c>
      <c r="AB146" s="168">
        <v>593567</v>
      </c>
      <c r="AC146" s="168">
        <v>2796158.3</v>
      </c>
      <c r="AD146" s="168">
        <v>1671669.22</v>
      </c>
      <c r="AE146" s="168">
        <v>5312269.22</v>
      </c>
      <c r="AF146" s="139">
        <f t="shared" si="179"/>
        <v>4627944.6090909094</v>
      </c>
      <c r="AG146" s="139">
        <f t="shared" si="180"/>
        <v>-4627944.6090909094</v>
      </c>
    </row>
    <row r="147" spans="1:33" x14ac:dyDescent="0.25">
      <c r="A147" s="130" t="s">
        <v>97</v>
      </c>
      <c r="B147" s="139">
        <v>-0.93</v>
      </c>
      <c r="C147" s="139"/>
      <c r="D147" s="139"/>
      <c r="E147" s="139">
        <v>2001</v>
      </c>
      <c r="F147" s="139"/>
      <c r="G147" s="139"/>
      <c r="H147" s="139"/>
      <c r="I147" s="139"/>
      <c r="J147" s="139"/>
      <c r="K147" s="139"/>
      <c r="L147" s="139"/>
      <c r="M147" s="139"/>
      <c r="N147" s="139">
        <f t="shared" si="245"/>
        <v>2000.07</v>
      </c>
      <c r="O147" s="139"/>
      <c r="P147" s="139">
        <f t="shared" si="246"/>
        <v>8307.1125000000011</v>
      </c>
      <c r="Q147" s="139">
        <f t="shared" si="247"/>
        <v>11076.150000000001</v>
      </c>
      <c r="R147" s="139">
        <v>11076.150000000001</v>
      </c>
      <c r="S147" s="170">
        <f t="shared" si="248"/>
        <v>0</v>
      </c>
      <c r="T147" s="168">
        <v>0</v>
      </c>
      <c r="U147" s="168">
        <v>0</v>
      </c>
      <c r="V147" s="168">
        <v>0</v>
      </c>
      <c r="W147" s="168">
        <v>0</v>
      </c>
      <c r="X147" s="168">
        <v>72</v>
      </c>
      <c r="Y147" s="168">
        <v>0</v>
      </c>
      <c r="Z147" s="168">
        <v>72</v>
      </c>
      <c r="AA147" s="168">
        <v>198</v>
      </c>
      <c r="AB147" s="168">
        <v>396</v>
      </c>
      <c r="AC147" s="168">
        <v>107.2</v>
      </c>
      <c r="AD147" s="168">
        <v>630</v>
      </c>
      <c r="AE147" s="168">
        <v>9600.9500000000007</v>
      </c>
      <c r="AF147" s="139">
        <f t="shared" si="179"/>
        <v>181.82454545454544</v>
      </c>
      <c r="AG147" s="139">
        <f t="shared" si="180"/>
        <v>-181.82454545454544</v>
      </c>
    </row>
    <row r="148" spans="1:33" x14ac:dyDescent="0.25">
      <c r="A148" s="130" t="s">
        <v>98</v>
      </c>
      <c r="B148" s="139">
        <v>24441.759999999998</v>
      </c>
      <c r="C148" s="139">
        <v>22836.91</v>
      </c>
      <c r="D148" s="139">
        <v>10967.88</v>
      </c>
      <c r="E148" s="139">
        <v>234017.96</v>
      </c>
      <c r="F148" s="139"/>
      <c r="G148" s="139"/>
      <c r="H148" s="139"/>
      <c r="I148" s="139"/>
      <c r="J148" s="139"/>
      <c r="K148" s="139"/>
      <c r="L148" s="139"/>
      <c r="M148" s="139"/>
      <c r="N148" s="139">
        <f t="shared" si="245"/>
        <v>292264.51</v>
      </c>
      <c r="O148" s="139"/>
      <c r="P148" s="139">
        <f t="shared" si="246"/>
        <v>335508.32999999996</v>
      </c>
      <c r="Q148" s="139">
        <f t="shared" si="247"/>
        <v>447344.44</v>
      </c>
      <c r="R148" s="139">
        <v>447344.44</v>
      </c>
      <c r="S148" s="170">
        <f t="shared" si="248"/>
        <v>0</v>
      </c>
      <c r="T148" s="168">
        <v>47744.73</v>
      </c>
      <c r="U148" s="168">
        <v>40318.61</v>
      </c>
      <c r="V148" s="168">
        <v>53566.29</v>
      </c>
      <c r="W148" s="168">
        <v>-3427.84</v>
      </c>
      <c r="X148" s="168">
        <v>5808.03</v>
      </c>
      <c r="Y148" s="168">
        <v>11225.63</v>
      </c>
      <c r="Z148" s="168">
        <v>11757.35</v>
      </c>
      <c r="AA148" s="168">
        <v>2887.52</v>
      </c>
      <c r="AB148" s="168">
        <v>5270.91</v>
      </c>
      <c r="AC148" s="168">
        <v>20141.43</v>
      </c>
      <c r="AD148" s="168">
        <v>34705.21</v>
      </c>
      <c r="AE148" s="168">
        <v>217346.57</v>
      </c>
      <c r="AF148" s="139">
        <f t="shared" si="179"/>
        <v>26569.500909090912</v>
      </c>
      <c r="AG148" s="139">
        <f t="shared" si="180"/>
        <v>-26569.500909090912</v>
      </c>
    </row>
    <row r="149" spans="1:33" x14ac:dyDescent="0.25">
      <c r="A149" s="130" t="s">
        <v>99</v>
      </c>
      <c r="B149" s="139">
        <v>5172446.9000000004</v>
      </c>
      <c r="C149" s="139">
        <v>7890031.6299999999</v>
      </c>
      <c r="D149" s="139">
        <v>5748712.0300000003</v>
      </c>
      <c r="E149" s="139">
        <v>992590.63</v>
      </c>
      <c r="F149" s="139"/>
      <c r="G149" s="139"/>
      <c r="H149" s="139"/>
      <c r="I149" s="139"/>
      <c r="J149" s="139"/>
      <c r="K149" s="139"/>
      <c r="L149" s="139"/>
      <c r="M149" s="139"/>
      <c r="N149" s="139">
        <f t="shared" si="245"/>
        <v>19803781.190000001</v>
      </c>
      <c r="O149" s="139"/>
      <c r="P149" s="139">
        <f t="shared" si="246"/>
        <v>4771766.4749999996</v>
      </c>
      <c r="Q149" s="139">
        <f t="shared" si="247"/>
        <v>6362355.2999999989</v>
      </c>
      <c r="R149" s="139">
        <v>6362355.2999999989</v>
      </c>
      <c r="S149" s="170">
        <f t="shared" si="248"/>
        <v>0</v>
      </c>
      <c r="T149" s="168">
        <v>82580.429999999993</v>
      </c>
      <c r="U149" s="168">
        <v>556415.63</v>
      </c>
      <c r="V149" s="168">
        <v>104546.19</v>
      </c>
      <c r="W149" s="168">
        <v>891459.31</v>
      </c>
      <c r="X149" s="168">
        <v>309417.95</v>
      </c>
      <c r="Y149" s="168">
        <v>1066421.99</v>
      </c>
      <c r="Z149" s="168">
        <v>438557.16</v>
      </c>
      <c r="AA149" s="168">
        <v>839710.44</v>
      </c>
      <c r="AB149" s="168">
        <v>439830.71</v>
      </c>
      <c r="AC149" s="168">
        <v>651036.23</v>
      </c>
      <c r="AD149" s="168">
        <v>611668.13</v>
      </c>
      <c r="AE149" s="168">
        <v>370711.13</v>
      </c>
      <c r="AF149" s="139">
        <f t="shared" si="179"/>
        <v>1800343.7445454546</v>
      </c>
      <c r="AG149" s="139">
        <f t="shared" si="180"/>
        <v>-1800343.7445454546</v>
      </c>
    </row>
    <row r="150" spans="1:33" x14ac:dyDescent="0.25">
      <c r="A150" s="130" t="s">
        <v>100</v>
      </c>
      <c r="B150" s="139">
        <v>139670.87</v>
      </c>
      <c r="C150" s="139">
        <v>162222.31</v>
      </c>
      <c r="D150" s="139">
        <v>285354.03999999998</v>
      </c>
      <c r="E150" s="139">
        <v>289563.52000000002</v>
      </c>
      <c r="F150" s="139"/>
      <c r="G150" s="139"/>
      <c r="H150" s="139"/>
      <c r="I150" s="139"/>
      <c r="J150" s="139"/>
      <c r="K150" s="139"/>
      <c r="L150" s="139"/>
      <c r="M150" s="139"/>
      <c r="N150" s="139">
        <f t="shared" si="245"/>
        <v>876810.74</v>
      </c>
      <c r="O150" s="139"/>
      <c r="P150" s="139">
        <f t="shared" si="246"/>
        <v>1276499.22</v>
      </c>
      <c r="Q150" s="139">
        <f t="shared" si="247"/>
        <v>1701998.96</v>
      </c>
      <c r="R150" s="139">
        <v>1701998.96</v>
      </c>
      <c r="S150" s="170">
        <f t="shared" si="248"/>
        <v>0</v>
      </c>
      <c r="T150" s="168">
        <v>162526.82</v>
      </c>
      <c r="U150" s="168">
        <v>186551.2</v>
      </c>
      <c r="V150" s="168">
        <f>120971.26+500</f>
        <v>121471.26</v>
      </c>
      <c r="W150" s="168">
        <v>104538.95</v>
      </c>
      <c r="X150" s="168">
        <f>108837.33+3500</f>
        <v>112337.33</v>
      </c>
      <c r="Y150" s="168">
        <v>58522.59</v>
      </c>
      <c r="Z150" s="168">
        <v>142640.88</v>
      </c>
      <c r="AA150" s="168">
        <v>302010.69</v>
      </c>
      <c r="AB150" s="168">
        <v>148375.73000000001</v>
      </c>
      <c r="AC150" s="168">
        <v>124519.01</v>
      </c>
      <c r="AD150" s="168">
        <v>101255.08</v>
      </c>
      <c r="AE150" s="168">
        <v>137249.42000000001</v>
      </c>
      <c r="AF150" s="139">
        <f t="shared" ref="AF150:AF225" si="249">(N150-M150)/11</f>
        <v>79710.067272727276</v>
      </c>
      <c r="AG150" s="139">
        <f t="shared" ref="AG150:AG225" si="250">M150-AF150</f>
        <v>-79710.067272727276</v>
      </c>
    </row>
    <row r="151" spans="1:33" hidden="1" x14ac:dyDescent="0.25">
      <c r="A151" s="130" t="s">
        <v>101</v>
      </c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>
        <f t="shared" si="245"/>
        <v>0</v>
      </c>
      <c r="O151" s="139"/>
      <c r="P151" s="139">
        <f t="shared" si="246"/>
        <v>0</v>
      </c>
      <c r="Q151" s="139">
        <f t="shared" si="247"/>
        <v>0</v>
      </c>
      <c r="R151" s="139">
        <v>0</v>
      </c>
      <c r="S151" s="170">
        <f t="shared" si="248"/>
        <v>0</v>
      </c>
      <c r="T151" s="168">
        <v>0</v>
      </c>
      <c r="U151" s="168">
        <v>0</v>
      </c>
      <c r="V151" s="168">
        <v>0</v>
      </c>
      <c r="W151" s="168">
        <v>0</v>
      </c>
      <c r="X151" s="168">
        <v>0</v>
      </c>
      <c r="Y151" s="168">
        <v>0</v>
      </c>
      <c r="Z151" s="168">
        <v>0</v>
      </c>
      <c r="AA151" s="168">
        <v>0</v>
      </c>
      <c r="AB151" s="168">
        <v>0</v>
      </c>
      <c r="AC151" s="168"/>
      <c r="AD151" s="168"/>
      <c r="AE151" s="168"/>
      <c r="AF151" s="139">
        <f t="shared" si="249"/>
        <v>0</v>
      </c>
      <c r="AG151" s="139">
        <f t="shared" si="250"/>
        <v>0</v>
      </c>
    </row>
    <row r="152" spans="1:33" hidden="1" x14ac:dyDescent="0.25">
      <c r="A152" s="130" t="s">
        <v>102</v>
      </c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245"/>
        <v>0</v>
      </c>
      <c r="O152" s="139"/>
      <c r="P152" s="139">
        <f t="shared" si="246"/>
        <v>0</v>
      </c>
      <c r="Q152" s="139">
        <f t="shared" si="247"/>
        <v>0</v>
      </c>
      <c r="R152" s="139">
        <v>0</v>
      </c>
      <c r="S152" s="170">
        <f t="shared" si="248"/>
        <v>0</v>
      </c>
      <c r="T152" s="168">
        <v>0</v>
      </c>
      <c r="U152" s="168">
        <v>0</v>
      </c>
      <c r="V152" s="168">
        <v>0</v>
      </c>
      <c r="W152" s="168">
        <v>0</v>
      </c>
      <c r="X152" s="168">
        <v>0</v>
      </c>
      <c r="Y152" s="168">
        <v>0</v>
      </c>
      <c r="Z152" s="168">
        <v>0</v>
      </c>
      <c r="AA152" s="168">
        <v>0</v>
      </c>
      <c r="AB152" s="168">
        <v>0</v>
      </c>
      <c r="AC152" s="168"/>
      <c r="AD152" s="168"/>
      <c r="AE152" s="168"/>
      <c r="AF152" s="139">
        <f t="shared" si="249"/>
        <v>0</v>
      </c>
      <c r="AG152" s="139">
        <f t="shared" si="250"/>
        <v>0</v>
      </c>
    </row>
    <row r="153" spans="1:33" x14ac:dyDescent="0.25">
      <c r="A153" s="130" t="s">
        <v>103</v>
      </c>
      <c r="B153" s="139">
        <v>5196.83</v>
      </c>
      <c r="C153" s="139">
        <v>9579.9</v>
      </c>
      <c r="D153" s="139">
        <v>7462.06</v>
      </c>
      <c r="E153" s="139">
        <v>12530.87</v>
      </c>
      <c r="F153" s="139"/>
      <c r="G153" s="139"/>
      <c r="H153" s="139"/>
      <c r="I153" s="139"/>
      <c r="J153" s="139"/>
      <c r="K153" s="139"/>
      <c r="L153" s="139"/>
      <c r="M153" s="139"/>
      <c r="N153" s="139">
        <f t="shared" si="245"/>
        <v>34769.660000000003</v>
      </c>
      <c r="O153" s="139"/>
      <c r="P153" s="139">
        <f t="shared" si="246"/>
        <v>31968.42</v>
      </c>
      <c r="Q153" s="139">
        <f t="shared" si="247"/>
        <v>42624.56</v>
      </c>
      <c r="R153" s="139">
        <v>42624.56</v>
      </c>
      <c r="S153" s="170">
        <f t="shared" si="248"/>
        <v>0</v>
      </c>
      <c r="T153" s="168">
        <v>9335.48</v>
      </c>
      <c r="U153" s="168">
        <v>703.97</v>
      </c>
      <c r="V153" s="168">
        <v>6224.3</v>
      </c>
      <c r="W153" s="168">
        <v>4346.05</v>
      </c>
      <c r="X153" s="168">
        <v>1861.52</v>
      </c>
      <c r="Y153" s="168">
        <v>2668.53</v>
      </c>
      <c r="Z153" s="168">
        <v>8773.1200000000008</v>
      </c>
      <c r="AA153" s="168">
        <v>2512.61</v>
      </c>
      <c r="AB153" s="168">
        <v>4656.17</v>
      </c>
      <c r="AC153" s="168">
        <v>457.09</v>
      </c>
      <c r="AD153" s="168">
        <v>230.91</v>
      </c>
      <c r="AE153" s="168">
        <v>854.81</v>
      </c>
      <c r="AF153" s="139">
        <f t="shared" si="249"/>
        <v>3160.8781818181819</v>
      </c>
      <c r="AG153" s="139">
        <f t="shared" si="250"/>
        <v>-3160.8781818181819</v>
      </c>
    </row>
    <row r="154" spans="1:33" x14ac:dyDescent="0.25">
      <c r="A154" s="130" t="s">
        <v>104</v>
      </c>
      <c r="B154" s="139">
        <v>260.3</v>
      </c>
      <c r="C154" s="139">
        <v>260.3</v>
      </c>
      <c r="D154" s="139">
        <v>260.3</v>
      </c>
      <c r="E154" s="139">
        <v>260.3</v>
      </c>
      <c r="F154" s="139"/>
      <c r="G154" s="139"/>
      <c r="H154" s="139"/>
      <c r="I154" s="139"/>
      <c r="J154" s="139"/>
      <c r="K154" s="139"/>
      <c r="L154" s="139"/>
      <c r="M154" s="139"/>
      <c r="N154" s="139">
        <f t="shared" si="245"/>
        <v>1041.2</v>
      </c>
      <c r="O154" s="139"/>
      <c r="P154" s="139">
        <f t="shared" si="246"/>
        <v>1507.7250000000001</v>
      </c>
      <c r="Q154" s="139">
        <f t="shared" si="247"/>
        <v>2010.3</v>
      </c>
      <c r="R154" s="139">
        <v>2010.3</v>
      </c>
      <c r="S154" s="170">
        <f t="shared" si="248"/>
        <v>0</v>
      </c>
      <c r="T154" s="168">
        <v>0</v>
      </c>
      <c r="U154" s="168">
        <v>1250</v>
      </c>
      <c r="V154" s="168">
        <v>0</v>
      </c>
      <c r="W154" s="168">
        <v>0</v>
      </c>
      <c r="X154" s="168">
        <v>0</v>
      </c>
      <c r="Y154" s="168">
        <v>0</v>
      </c>
      <c r="Z154" s="168">
        <v>0</v>
      </c>
      <c r="AA154" s="168">
        <v>0</v>
      </c>
      <c r="AB154" s="168">
        <v>0</v>
      </c>
      <c r="AC154" s="168"/>
      <c r="AD154" s="168"/>
      <c r="AE154" s="168">
        <v>760.3</v>
      </c>
      <c r="AF154" s="139">
        <f t="shared" si="249"/>
        <v>94.654545454545456</v>
      </c>
      <c r="AG154" s="139">
        <f t="shared" si="250"/>
        <v>-94.654545454545456</v>
      </c>
    </row>
    <row r="155" spans="1:33" x14ac:dyDescent="0.25">
      <c r="A155" s="130" t="s">
        <v>105</v>
      </c>
      <c r="B155" s="139">
        <v>38015430</v>
      </c>
      <c r="C155" s="139">
        <v>12678270</v>
      </c>
      <c r="D155" s="139">
        <v>79867130</v>
      </c>
      <c r="E155" s="139">
        <v>23339810</v>
      </c>
      <c r="F155" s="139"/>
      <c r="G155" s="139"/>
      <c r="H155" s="139"/>
      <c r="I155" s="139"/>
      <c r="J155" s="139"/>
      <c r="K155" s="139"/>
      <c r="L155" s="139"/>
      <c r="M155" s="139"/>
      <c r="N155" s="139">
        <f t="shared" si="245"/>
        <v>153900640</v>
      </c>
      <c r="O155" s="139"/>
      <c r="P155" s="139">
        <f t="shared" si="246"/>
        <v>333972778.72499996</v>
      </c>
      <c r="Q155" s="139">
        <f t="shared" si="247"/>
        <v>445297038.30000001</v>
      </c>
      <c r="R155" s="139">
        <v>445297038.30000001</v>
      </c>
      <c r="S155" s="170">
        <f t="shared" si="248"/>
        <v>0</v>
      </c>
      <c r="T155" s="168">
        <v>93164865.799999997</v>
      </c>
      <c r="U155" s="168">
        <v>43694992.5</v>
      </c>
      <c r="V155" s="168">
        <v>49872500</v>
      </c>
      <c r="W155" s="168">
        <v>37423820</v>
      </c>
      <c r="X155" s="168">
        <v>33390470</v>
      </c>
      <c r="Y155" s="168">
        <v>18213000</v>
      </c>
      <c r="Z155" s="168">
        <v>40236590</v>
      </c>
      <c r="AA155" s="168">
        <v>27854150</v>
      </c>
      <c r="AB155" s="168">
        <v>13967680</v>
      </c>
      <c r="AC155" s="168">
        <v>26154870</v>
      </c>
      <c r="AD155" s="168">
        <v>56299240</v>
      </c>
      <c r="AE155" s="168">
        <v>5024860</v>
      </c>
      <c r="AF155" s="139">
        <f t="shared" si="249"/>
        <v>13990967.272727273</v>
      </c>
      <c r="AG155" s="139">
        <f t="shared" si="250"/>
        <v>-13990967.272727273</v>
      </c>
    </row>
    <row r="156" spans="1:33" x14ac:dyDescent="0.25">
      <c r="A156" s="130" t="s">
        <v>106</v>
      </c>
      <c r="B156" s="139">
        <v>8583948.5</v>
      </c>
      <c r="C156" s="139">
        <v>12577395</v>
      </c>
      <c r="D156" s="139">
        <v>150180173</v>
      </c>
      <c r="E156" s="139">
        <v>110195471</v>
      </c>
      <c r="F156" s="139"/>
      <c r="G156" s="139"/>
      <c r="H156" s="139"/>
      <c r="I156" s="139"/>
      <c r="J156" s="139"/>
      <c r="K156" s="139"/>
      <c r="L156" s="139"/>
      <c r="M156" s="139"/>
      <c r="N156" s="139">
        <f t="shared" si="245"/>
        <v>281536987.5</v>
      </c>
      <c r="O156" s="139"/>
      <c r="P156" s="139">
        <f t="shared" si="246"/>
        <v>635511263.81999993</v>
      </c>
      <c r="Q156" s="139">
        <f t="shared" si="247"/>
        <v>847348351.75999999</v>
      </c>
      <c r="R156" s="139">
        <v>847348351.75999999</v>
      </c>
      <c r="S156" s="170">
        <f t="shared" si="248"/>
        <v>0</v>
      </c>
      <c r="T156" s="168">
        <v>39860269.659999996</v>
      </c>
      <c r="U156" s="168">
        <v>50039912.299999997</v>
      </c>
      <c r="V156" s="168">
        <v>119070965.51000001</v>
      </c>
      <c r="W156" s="168">
        <v>32569174</v>
      </c>
      <c r="X156" s="168">
        <v>104415723.54000001</v>
      </c>
      <c r="Y156" s="168">
        <v>53384233</v>
      </c>
      <c r="Z156" s="168">
        <v>102371087</v>
      </c>
      <c r="AA156" s="168">
        <v>40532974</v>
      </c>
      <c r="AB156" s="168">
        <v>73873420</v>
      </c>
      <c r="AC156" s="168">
        <v>28642758.5</v>
      </c>
      <c r="AD156" s="168">
        <v>128282994</v>
      </c>
      <c r="AE156" s="168">
        <v>74304840.25</v>
      </c>
      <c r="AF156" s="139">
        <f t="shared" si="249"/>
        <v>25594271.59090909</v>
      </c>
      <c r="AG156" s="139">
        <f t="shared" si="250"/>
        <v>-25594271.59090909</v>
      </c>
    </row>
    <row r="157" spans="1:33" x14ac:dyDescent="0.25">
      <c r="A157" s="130" t="s">
        <v>107</v>
      </c>
      <c r="C157" s="139"/>
      <c r="D157" s="139">
        <v>38655</v>
      </c>
      <c r="E157" s="139"/>
      <c r="F157" s="139"/>
      <c r="G157" s="139"/>
      <c r="H157" s="139"/>
      <c r="I157" s="139"/>
      <c r="J157" s="139"/>
      <c r="K157" s="139"/>
      <c r="L157" s="139"/>
      <c r="M157" s="139"/>
      <c r="N157" s="139">
        <f t="shared" si="245"/>
        <v>38655</v>
      </c>
      <c r="O157" s="139"/>
      <c r="P157" s="139">
        <f t="shared" si="246"/>
        <v>576060</v>
      </c>
      <c r="Q157" s="139">
        <f t="shared" si="247"/>
        <v>768080</v>
      </c>
      <c r="R157" s="139">
        <v>768080</v>
      </c>
      <c r="S157" s="170">
        <f t="shared" si="248"/>
        <v>0</v>
      </c>
      <c r="T157" s="168">
        <v>0</v>
      </c>
      <c r="U157" s="168">
        <v>252635</v>
      </c>
      <c r="V157" s="168">
        <v>333245</v>
      </c>
      <c r="W157" s="168">
        <v>95125</v>
      </c>
      <c r="X157" s="168">
        <v>0</v>
      </c>
      <c r="Y157" s="168">
        <v>45375</v>
      </c>
      <c r="Z157" s="168">
        <v>0</v>
      </c>
      <c r="AA157" s="168">
        <v>0</v>
      </c>
      <c r="AB157" s="168">
        <v>0</v>
      </c>
      <c r="AC157" s="168">
        <v>-450</v>
      </c>
      <c r="AD157" s="168">
        <v>42150</v>
      </c>
      <c r="AE157" s="168">
        <v>0</v>
      </c>
      <c r="AF157" s="139">
        <f t="shared" si="249"/>
        <v>3514.090909090909</v>
      </c>
      <c r="AG157" s="139">
        <f t="shared" si="250"/>
        <v>-3514.090909090909</v>
      </c>
    </row>
    <row r="158" spans="1:33" hidden="1" x14ac:dyDescent="0.25">
      <c r="A158" s="137" t="s">
        <v>108</v>
      </c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245"/>
        <v>0</v>
      </c>
      <c r="O158" s="139"/>
      <c r="P158" s="139">
        <f t="shared" si="246"/>
        <v>140415</v>
      </c>
      <c r="Q158" s="139">
        <f t="shared" si="247"/>
        <v>187220</v>
      </c>
      <c r="R158" s="139">
        <v>187220</v>
      </c>
      <c r="S158" s="170">
        <f t="shared" si="248"/>
        <v>0</v>
      </c>
      <c r="T158" s="168">
        <v>0</v>
      </c>
      <c r="U158" s="168">
        <v>0</v>
      </c>
      <c r="V158" s="168">
        <v>0</v>
      </c>
      <c r="W158" s="168">
        <v>0</v>
      </c>
      <c r="X158" s="168">
        <v>0</v>
      </c>
      <c r="Y158" s="168">
        <v>0</v>
      </c>
      <c r="Z158" s="168">
        <v>187220</v>
      </c>
      <c r="AA158" s="168">
        <v>0</v>
      </c>
      <c r="AB158" s="168">
        <v>0</v>
      </c>
      <c r="AC158" s="168">
        <v>0</v>
      </c>
      <c r="AD158" s="168">
        <v>0</v>
      </c>
      <c r="AE158" s="168">
        <v>0</v>
      </c>
      <c r="AF158" s="139">
        <f t="shared" si="249"/>
        <v>0</v>
      </c>
      <c r="AG158" s="139">
        <f t="shared" si="250"/>
        <v>0</v>
      </c>
    </row>
    <row r="159" spans="1:33" x14ac:dyDescent="0.25">
      <c r="A159" s="130" t="s">
        <v>109</v>
      </c>
      <c r="B159" s="139">
        <v>-948052241.21000004</v>
      </c>
      <c r="C159" s="139">
        <v>-749635745.78999996</v>
      </c>
      <c r="D159" s="139">
        <v>-1281361834.1500001</v>
      </c>
      <c r="E159" s="139">
        <v>-2282461327.0599999</v>
      </c>
      <c r="F159" s="139"/>
      <c r="G159" s="139"/>
      <c r="H159" s="139"/>
      <c r="I159" s="139"/>
      <c r="J159" s="139"/>
      <c r="K159" s="139"/>
      <c r="L159" s="139"/>
      <c r="M159" s="139"/>
      <c r="N159" s="139">
        <f t="shared" si="245"/>
        <v>-5261511148.21</v>
      </c>
      <c r="O159" s="139"/>
      <c r="P159" s="139">
        <f t="shared" si="246"/>
        <v>-2111714665.3799996</v>
      </c>
      <c r="Q159" s="139">
        <f t="shared" si="247"/>
        <v>-2815619553.8399997</v>
      </c>
      <c r="R159" s="139">
        <v>-2815619553.8399997</v>
      </c>
      <c r="S159" s="170">
        <f t="shared" si="248"/>
        <v>0</v>
      </c>
      <c r="T159" s="168">
        <v>-250773118.75999999</v>
      </c>
      <c r="U159" s="168">
        <v>-106292010.51000001</v>
      </c>
      <c r="V159" s="168">
        <v>-199926459.47999999</v>
      </c>
      <c r="W159" s="168">
        <v>-102886856.97</v>
      </c>
      <c r="X159" s="168">
        <v>-60969608.149999999</v>
      </c>
      <c r="Y159" s="168">
        <v>-168909239.22</v>
      </c>
      <c r="Z159" s="168">
        <v>-211950197.00999999</v>
      </c>
      <c r="AA159" s="168">
        <v>-284906461.36000001</v>
      </c>
      <c r="AB159" s="168">
        <v>-412764522.29000002</v>
      </c>
      <c r="AC159" s="168">
        <v>-121881132.84</v>
      </c>
      <c r="AD159" s="168">
        <v>-236276556.91999999</v>
      </c>
      <c r="AE159" s="168">
        <v>-658083390.33000004</v>
      </c>
      <c r="AF159" s="139">
        <f t="shared" si="249"/>
        <v>-478319195.2918182</v>
      </c>
      <c r="AG159" s="139">
        <f t="shared" si="250"/>
        <v>478319195.2918182</v>
      </c>
    </row>
    <row r="160" spans="1:33" x14ac:dyDescent="0.25">
      <c r="A160" s="130" t="s">
        <v>110</v>
      </c>
      <c r="B160" s="139">
        <v>-37879950</v>
      </c>
      <c r="C160" s="139">
        <v>-12606080</v>
      </c>
      <c r="D160" s="139">
        <v>-82723910</v>
      </c>
      <c r="E160" s="139">
        <v>-24396750</v>
      </c>
      <c r="F160" s="139"/>
      <c r="G160" s="139"/>
      <c r="H160" s="139"/>
      <c r="I160" s="139"/>
      <c r="J160" s="139"/>
      <c r="K160" s="139"/>
      <c r="L160" s="139"/>
      <c r="M160" s="139"/>
      <c r="N160" s="139">
        <f t="shared" si="245"/>
        <v>-157606690</v>
      </c>
      <c r="O160" s="139"/>
      <c r="P160" s="139">
        <f t="shared" si="246"/>
        <v>-334278184.40250003</v>
      </c>
      <c r="Q160" s="139">
        <f t="shared" si="247"/>
        <v>-445704245.87</v>
      </c>
      <c r="R160" s="139">
        <v>-445704245.87</v>
      </c>
      <c r="S160" s="170">
        <f t="shared" si="248"/>
        <v>0</v>
      </c>
      <c r="T160" s="168">
        <v>-94616255.870000005</v>
      </c>
      <c r="U160" s="168">
        <v>-43709010</v>
      </c>
      <c r="V160" s="168">
        <v>-50522100</v>
      </c>
      <c r="W160" s="168">
        <v>-37084810</v>
      </c>
      <c r="X160" s="168">
        <v>-33297790</v>
      </c>
      <c r="Y160" s="168">
        <v>-17687220</v>
      </c>
      <c r="Z160" s="168">
        <v>-39772170</v>
      </c>
      <c r="AA160" s="168">
        <v>-27463660</v>
      </c>
      <c r="AB160" s="168">
        <v>-13825040</v>
      </c>
      <c r="AC160" s="168">
        <v>-26658310</v>
      </c>
      <c r="AD160" s="168">
        <v>-56305290</v>
      </c>
      <c r="AE160" s="168">
        <v>-4762590</v>
      </c>
      <c r="AF160" s="139">
        <f t="shared" si="249"/>
        <v>-14327880.909090908</v>
      </c>
      <c r="AG160" s="139">
        <f t="shared" si="250"/>
        <v>14327880.909090908</v>
      </c>
    </row>
    <row r="161" spans="1:33" x14ac:dyDescent="0.25">
      <c r="A161" s="130" t="s">
        <v>111</v>
      </c>
      <c r="B161" s="139">
        <v>-8167150</v>
      </c>
      <c r="C161" s="139">
        <v>-36476475</v>
      </c>
      <c r="D161" s="139">
        <v>-186137800</v>
      </c>
      <c r="E161" s="139">
        <v>-107097850</v>
      </c>
      <c r="F161" s="139"/>
      <c r="G161" s="139"/>
      <c r="H161" s="139"/>
      <c r="I161" s="139"/>
      <c r="J161" s="139"/>
      <c r="K161" s="139"/>
      <c r="L161" s="139"/>
      <c r="M161" s="139"/>
      <c r="N161" s="139">
        <f t="shared" si="245"/>
        <v>-337879275</v>
      </c>
      <c r="O161" s="139"/>
      <c r="P161" s="139">
        <f t="shared" si="246"/>
        <v>-650712764.69999993</v>
      </c>
      <c r="Q161" s="139">
        <f t="shared" si="247"/>
        <v>-867617019.60000002</v>
      </c>
      <c r="R161" s="139">
        <v>-867617019.60000002</v>
      </c>
      <c r="S161" s="170">
        <f t="shared" si="248"/>
        <v>0</v>
      </c>
      <c r="T161" s="168">
        <v>-39572318.009999998</v>
      </c>
      <c r="U161" s="168">
        <v>-54501789.609999999</v>
      </c>
      <c r="V161" s="168">
        <v>-119003409.98</v>
      </c>
      <c r="W161" s="168">
        <v>-35983600</v>
      </c>
      <c r="X161" s="168">
        <v>-104443889</v>
      </c>
      <c r="Y161" s="168">
        <v>-60159775</v>
      </c>
      <c r="Z161" s="168">
        <v>-104982039</v>
      </c>
      <c r="AA161" s="168">
        <v>-44639850</v>
      </c>
      <c r="AB161" s="168">
        <v>-74748600</v>
      </c>
      <c r="AC161" s="168">
        <v>-34621450</v>
      </c>
      <c r="AD161" s="168">
        <v>-129360225</v>
      </c>
      <c r="AE161" s="168">
        <v>-65600074</v>
      </c>
      <c r="AF161" s="139">
        <f t="shared" si="249"/>
        <v>-30716297.727272727</v>
      </c>
      <c r="AG161" s="139">
        <f t="shared" si="250"/>
        <v>30716297.727272727</v>
      </c>
    </row>
    <row r="162" spans="1:33" x14ac:dyDescent="0.25">
      <c r="A162" s="130" t="s">
        <v>112</v>
      </c>
      <c r="C162" s="139"/>
      <c r="D162" s="139">
        <v>-39910</v>
      </c>
      <c r="E162" s="139"/>
      <c r="F162" s="139"/>
      <c r="G162" s="139"/>
      <c r="H162" s="139"/>
      <c r="I162" s="139"/>
      <c r="J162" s="139"/>
      <c r="K162" s="139"/>
      <c r="L162" s="139"/>
      <c r="M162" s="139"/>
      <c r="N162" s="139">
        <f t="shared" si="245"/>
        <v>-39910</v>
      </c>
      <c r="O162" s="139"/>
      <c r="P162" s="139">
        <f t="shared" si="246"/>
        <v>-576258.75</v>
      </c>
      <c r="Q162" s="139">
        <f t="shared" si="247"/>
        <v>-768345</v>
      </c>
      <c r="R162" s="139">
        <v>-768345</v>
      </c>
      <c r="S162" s="170">
        <f t="shared" si="248"/>
        <v>0</v>
      </c>
      <c r="T162" s="168">
        <v>0</v>
      </c>
      <c r="U162" s="168">
        <v>-248100</v>
      </c>
      <c r="V162" s="168">
        <v>-337135</v>
      </c>
      <c r="W162" s="168">
        <v>-95680</v>
      </c>
      <c r="X162" s="168">
        <v>0</v>
      </c>
      <c r="Y162" s="168">
        <v>-43600</v>
      </c>
      <c r="Z162" s="168">
        <v>0</v>
      </c>
      <c r="AA162" s="168">
        <v>0</v>
      </c>
      <c r="AB162" s="168">
        <v>0</v>
      </c>
      <c r="AC162" s="168"/>
      <c r="AD162" s="168">
        <v>-43830</v>
      </c>
      <c r="AE162" s="168">
        <v>0</v>
      </c>
      <c r="AF162" s="139">
        <f t="shared" si="249"/>
        <v>-3628.181818181818</v>
      </c>
      <c r="AG162" s="139">
        <f t="shared" si="250"/>
        <v>3628.181818181818</v>
      </c>
    </row>
    <row r="163" spans="1:33" hidden="1" x14ac:dyDescent="0.25">
      <c r="A163" s="137" t="s">
        <v>113</v>
      </c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245"/>
        <v>0</v>
      </c>
      <c r="O163" s="139"/>
      <c r="P163" s="139">
        <f t="shared" si="246"/>
        <v>-141075</v>
      </c>
      <c r="Q163" s="139">
        <f t="shared" si="247"/>
        <v>-188100</v>
      </c>
      <c r="R163" s="139">
        <v>-188100</v>
      </c>
      <c r="S163" s="170">
        <f t="shared" si="248"/>
        <v>0</v>
      </c>
      <c r="T163" s="168">
        <v>0</v>
      </c>
      <c r="U163" s="168">
        <v>0</v>
      </c>
      <c r="V163" s="168">
        <v>0</v>
      </c>
      <c r="W163" s="168">
        <v>0</v>
      </c>
      <c r="X163" s="168">
        <v>0</v>
      </c>
      <c r="Y163" s="168">
        <v>0</v>
      </c>
      <c r="Z163" s="168">
        <v>-188100</v>
      </c>
      <c r="AA163" s="168">
        <v>0</v>
      </c>
      <c r="AB163" s="168">
        <v>0</v>
      </c>
      <c r="AC163" s="168"/>
      <c r="AD163" s="168">
        <v>0</v>
      </c>
      <c r="AE163" s="168">
        <v>0</v>
      </c>
      <c r="AF163" s="139">
        <f t="shared" si="249"/>
        <v>0</v>
      </c>
      <c r="AG163" s="139">
        <f t="shared" si="250"/>
        <v>0</v>
      </c>
    </row>
    <row r="164" spans="1:33" x14ac:dyDescent="0.25">
      <c r="A164" s="130" t="s">
        <v>114</v>
      </c>
      <c r="B164" s="139">
        <v>942773558.42999995</v>
      </c>
      <c r="C164" s="139">
        <v>747784974.11000001</v>
      </c>
      <c r="D164" s="139">
        <v>1279016776.4200001</v>
      </c>
      <c r="E164" s="139">
        <v>2274609314.1700001</v>
      </c>
      <c r="F164" s="139"/>
      <c r="G164" s="139"/>
      <c r="H164" s="139"/>
      <c r="I164" s="139"/>
      <c r="J164" s="139"/>
      <c r="K164" s="139"/>
      <c r="L164" s="139"/>
      <c r="M164" s="139"/>
      <c r="N164" s="139">
        <f t="shared" si="245"/>
        <v>5244184623.1300001</v>
      </c>
      <c r="O164" s="139"/>
      <c r="P164" s="139">
        <f t="shared" si="246"/>
        <v>2107335587.6474998</v>
      </c>
      <c r="Q164" s="139">
        <f t="shared" si="247"/>
        <v>2809780783.5299997</v>
      </c>
      <c r="R164" s="139">
        <v>2809780783.5299997</v>
      </c>
      <c r="S164" s="170">
        <f t="shared" si="248"/>
        <v>0</v>
      </c>
      <c r="T164" s="168">
        <v>246469534.72</v>
      </c>
      <c r="U164" s="168">
        <v>106061841.73</v>
      </c>
      <c r="V164" s="168">
        <v>199824413.44</v>
      </c>
      <c r="W164" s="168">
        <v>102901638.84999999</v>
      </c>
      <c r="X164" s="168">
        <v>61067887.670000002</v>
      </c>
      <c r="Y164" s="168">
        <v>169335911.84</v>
      </c>
      <c r="Z164" s="168">
        <v>212243315.12</v>
      </c>
      <c r="AA164" s="168">
        <v>285234425.79000002</v>
      </c>
      <c r="AB164" s="168">
        <v>413041926.32999998</v>
      </c>
      <c r="AC164" s="168">
        <v>121510314.61</v>
      </c>
      <c r="AD164" s="168">
        <v>236012919.81</v>
      </c>
      <c r="AE164" s="168">
        <v>656076653.62</v>
      </c>
      <c r="AF164" s="139">
        <f t="shared" si="249"/>
        <v>476744056.64818186</v>
      </c>
      <c r="AG164" s="139">
        <f t="shared" si="250"/>
        <v>-476744056.64818186</v>
      </c>
    </row>
    <row r="165" spans="1:33" x14ac:dyDescent="0.25">
      <c r="A165" s="130" t="s">
        <v>115</v>
      </c>
      <c r="B165" s="139">
        <v>1168796106.1600001</v>
      </c>
      <c r="C165" s="139">
        <v>1647978869.5999999</v>
      </c>
      <c r="D165" s="139">
        <v>1866076368.9300001</v>
      </c>
      <c r="E165" s="139">
        <v>857732263.50999999</v>
      </c>
      <c r="F165" s="139"/>
      <c r="G165" s="139"/>
      <c r="H165" s="139"/>
      <c r="I165" s="139"/>
      <c r="J165" s="139"/>
      <c r="K165" s="139"/>
      <c r="L165" s="139"/>
      <c r="M165" s="139"/>
      <c r="N165" s="139">
        <f t="shared" si="245"/>
        <v>5540583608.2000008</v>
      </c>
      <c r="O165" s="139"/>
      <c r="P165" s="139">
        <f t="shared" si="246"/>
        <v>5301342952.6199999</v>
      </c>
      <c r="Q165" s="139">
        <f t="shared" si="247"/>
        <v>7068457270.1599998</v>
      </c>
      <c r="R165" s="139">
        <v>7068457270.1599998</v>
      </c>
      <c r="S165" s="170">
        <f t="shared" si="248"/>
        <v>0</v>
      </c>
      <c r="T165" s="168">
        <v>57035597.560000002</v>
      </c>
      <c r="U165" s="168">
        <v>15207183.189999999</v>
      </c>
      <c r="V165" s="168">
        <v>56539241.420000002</v>
      </c>
      <c r="W165" s="168">
        <v>530220449.82999998</v>
      </c>
      <c r="X165" s="168">
        <v>504763748.92000002</v>
      </c>
      <c r="Y165" s="168">
        <v>868361816.95000005</v>
      </c>
      <c r="Z165" s="168">
        <v>303826130.91000003</v>
      </c>
      <c r="AA165" s="168">
        <v>310975719.51999998</v>
      </c>
      <c r="AB165" s="168">
        <v>122798210.73</v>
      </c>
      <c r="AC165" s="168">
        <v>1251003800.6199999</v>
      </c>
      <c r="AD165" s="168">
        <v>2039732956.0699999</v>
      </c>
      <c r="AE165" s="168">
        <v>1007992414.4400001</v>
      </c>
      <c r="AF165" s="139">
        <f t="shared" si="249"/>
        <v>503689418.9272728</v>
      </c>
      <c r="AG165" s="139">
        <f t="shared" si="250"/>
        <v>-503689418.9272728</v>
      </c>
    </row>
    <row r="166" spans="1:33" x14ac:dyDescent="0.25">
      <c r="A166" s="130" t="s">
        <v>116</v>
      </c>
      <c r="B166" s="139">
        <v>1779894.24</v>
      </c>
      <c r="C166" s="139">
        <v>2558371.2400000002</v>
      </c>
      <c r="D166" s="139">
        <v>3265475.91</v>
      </c>
      <c r="E166" s="139">
        <v>3352354.02</v>
      </c>
      <c r="F166" s="139"/>
      <c r="G166" s="139"/>
      <c r="H166" s="139"/>
      <c r="I166" s="139"/>
      <c r="J166" s="139"/>
      <c r="K166" s="139"/>
      <c r="L166" s="139"/>
      <c r="M166" s="139"/>
      <c r="N166" s="139">
        <f t="shared" si="245"/>
        <v>10956095.41</v>
      </c>
      <c r="O166" s="139"/>
      <c r="P166" s="139">
        <f t="shared" si="246"/>
        <v>8398478.745000001</v>
      </c>
      <c r="Q166" s="139">
        <f t="shared" si="247"/>
        <v>11197971.66</v>
      </c>
      <c r="R166" s="139">
        <v>11197971.66</v>
      </c>
      <c r="S166" s="170">
        <f t="shared" si="248"/>
        <v>0</v>
      </c>
      <c r="T166" s="168">
        <v>598572.09</v>
      </c>
      <c r="U166" s="168">
        <v>1754577.38</v>
      </c>
      <c r="V166" s="168">
        <v>588811.42000000004</v>
      </c>
      <c r="W166" s="168">
        <v>283948.55</v>
      </c>
      <c r="X166" s="168">
        <v>707796.87</v>
      </c>
      <c r="Y166" s="168">
        <v>1284752.46</v>
      </c>
      <c r="Z166" s="168">
        <v>497824.77</v>
      </c>
      <c r="AA166" s="168">
        <v>795083.58</v>
      </c>
      <c r="AB166" s="168">
        <v>408056.53</v>
      </c>
      <c r="AC166" s="168">
        <v>560986.71</v>
      </c>
      <c r="AD166" s="168">
        <v>594157.51</v>
      </c>
      <c r="AE166" s="168">
        <v>3123403.79</v>
      </c>
      <c r="AF166" s="139">
        <f t="shared" si="249"/>
        <v>996008.6736363637</v>
      </c>
      <c r="AG166" s="139">
        <f t="shared" si="250"/>
        <v>-996008.6736363637</v>
      </c>
    </row>
    <row r="167" spans="1:33" x14ac:dyDescent="0.25">
      <c r="A167" s="130" t="s">
        <v>117</v>
      </c>
      <c r="B167" s="139">
        <v>3300831.81</v>
      </c>
      <c r="C167" s="139">
        <v>996461.57</v>
      </c>
      <c r="D167" s="139">
        <v>475375</v>
      </c>
      <c r="E167" s="139">
        <v>454465.68</v>
      </c>
      <c r="F167" s="139"/>
      <c r="G167" s="139"/>
      <c r="H167" s="139"/>
      <c r="I167" s="139"/>
      <c r="J167" s="139"/>
      <c r="K167" s="139"/>
      <c r="L167" s="139"/>
      <c r="M167" s="139"/>
      <c r="N167" s="139">
        <f t="shared" si="245"/>
        <v>5227134.0599999996</v>
      </c>
      <c r="O167" s="139"/>
      <c r="P167" s="139">
        <f t="shared" si="246"/>
        <v>4331714.6175000006</v>
      </c>
      <c r="Q167" s="139">
        <f t="shared" si="247"/>
        <v>5775619.4900000002</v>
      </c>
      <c r="R167" s="139">
        <v>5775619.4900000002</v>
      </c>
      <c r="S167" s="170">
        <f t="shared" si="248"/>
        <v>0</v>
      </c>
      <c r="T167" s="168">
        <v>223864.49</v>
      </c>
      <c r="U167" s="168">
        <v>0</v>
      </c>
      <c r="V167" s="168">
        <v>6537.06</v>
      </c>
      <c r="W167" s="168">
        <v>918411.8</v>
      </c>
      <c r="X167" s="168">
        <v>48550</v>
      </c>
      <c r="Y167" s="168">
        <v>0</v>
      </c>
      <c r="Z167" s="168">
        <v>28932.61</v>
      </c>
      <c r="AA167" s="168">
        <v>247481.95</v>
      </c>
      <c r="AB167" s="168">
        <v>1006564.16</v>
      </c>
      <c r="AC167" s="168">
        <v>1706376.64</v>
      </c>
      <c r="AD167" s="168">
        <v>344926</v>
      </c>
      <c r="AE167" s="168">
        <v>1243974.78</v>
      </c>
      <c r="AF167" s="139">
        <f t="shared" si="249"/>
        <v>475194.00545454543</v>
      </c>
      <c r="AG167" s="139">
        <f t="shared" si="250"/>
        <v>-475194.00545454543</v>
      </c>
    </row>
    <row r="168" spans="1:33" x14ac:dyDescent="0.25">
      <c r="A168" s="130" t="s">
        <v>118</v>
      </c>
      <c r="B168" s="139">
        <v>484990.94</v>
      </c>
      <c r="C168" s="139">
        <v>438493.7</v>
      </c>
      <c r="D168" s="139">
        <v>-29873928.600000001</v>
      </c>
      <c r="E168" s="139">
        <v>645641.04</v>
      </c>
      <c r="F168" s="139"/>
      <c r="G168" s="139"/>
      <c r="H168" s="139"/>
      <c r="I168" s="139"/>
      <c r="J168" s="139"/>
      <c r="K168" s="139"/>
      <c r="L168" s="139"/>
      <c r="M168" s="139"/>
      <c r="N168" s="139">
        <f t="shared" si="245"/>
        <v>-28304802.920000002</v>
      </c>
      <c r="O168" s="139"/>
      <c r="P168" s="139">
        <f t="shared" ref="P168:P202" si="251">Q168/12*$P$3</f>
        <v>295875.495</v>
      </c>
      <c r="Q168" s="139">
        <f t="shared" si="247"/>
        <v>394500.66</v>
      </c>
      <c r="R168" s="139">
        <v>394500.66</v>
      </c>
      <c r="S168" s="170">
        <f t="shared" si="248"/>
        <v>0</v>
      </c>
      <c r="T168" s="168">
        <v>170622.29</v>
      </c>
      <c r="U168" s="168">
        <v>-355074.95</v>
      </c>
      <c r="V168" s="168">
        <v>93202.33</v>
      </c>
      <c r="W168" s="168">
        <v>151429.5</v>
      </c>
      <c r="X168" s="168">
        <v>472954.71</v>
      </c>
      <c r="Y168" s="168">
        <v>-437756.06</v>
      </c>
      <c r="Z168" s="168">
        <v>118154.22</v>
      </c>
      <c r="AA168" s="168">
        <v>-187544.92</v>
      </c>
      <c r="AB168" s="168">
        <v>302364.55</v>
      </c>
      <c r="AC168" s="168">
        <v>-12638.04</v>
      </c>
      <c r="AD168" s="168">
        <v>36948.42</v>
      </c>
      <c r="AE168" s="168">
        <v>41838.61</v>
      </c>
      <c r="AF168" s="139">
        <f t="shared" si="249"/>
        <v>-2573163.9018181819</v>
      </c>
      <c r="AG168" s="139">
        <f t="shared" si="250"/>
        <v>2573163.9018181819</v>
      </c>
    </row>
    <row r="169" spans="1:33" x14ac:dyDescent="0.25">
      <c r="A169" s="130" t="s">
        <v>119</v>
      </c>
      <c r="B169" s="139">
        <v>-36970.58</v>
      </c>
      <c r="C169" s="139">
        <v>784.93</v>
      </c>
      <c r="D169" s="139">
        <v>-238106.03</v>
      </c>
      <c r="E169" s="139">
        <v>-426494.2</v>
      </c>
      <c r="F169" s="139"/>
      <c r="G169" s="139"/>
      <c r="H169" s="139"/>
      <c r="I169" s="139"/>
      <c r="J169" s="139"/>
      <c r="K169" s="139"/>
      <c r="L169" s="139"/>
      <c r="M169" s="139"/>
      <c r="N169" s="139">
        <f t="shared" si="245"/>
        <v>-700785.88</v>
      </c>
      <c r="O169" s="139"/>
      <c r="P169" s="139">
        <f t="shared" si="251"/>
        <v>-44727066.667500012</v>
      </c>
      <c r="Q169" s="139">
        <f t="shared" si="247"/>
        <v>-59636088.890000008</v>
      </c>
      <c r="R169" s="139">
        <v>-59636088.890000008</v>
      </c>
      <c r="S169" s="170">
        <f t="shared" si="248"/>
        <v>0</v>
      </c>
      <c r="T169" s="168">
        <v>-126361.61</v>
      </c>
      <c r="U169" s="168">
        <v>-158081.74</v>
      </c>
      <c r="V169" s="168">
        <v>-293026.18</v>
      </c>
      <c r="W169" s="168">
        <v>10452.620000000001</v>
      </c>
      <c r="X169" s="168">
        <v>175404.24</v>
      </c>
      <c r="Y169" s="168">
        <v>14443.59</v>
      </c>
      <c r="Z169" s="168">
        <v>-416683.86</v>
      </c>
      <c r="AA169" s="168">
        <v>-13303.72</v>
      </c>
      <c r="AB169" s="168">
        <v>102066.31</v>
      </c>
      <c r="AC169" s="168">
        <v>-57904306.450000003</v>
      </c>
      <c r="AD169" s="168">
        <v>-91416.320000000007</v>
      </c>
      <c r="AE169" s="168">
        <v>-935275.77</v>
      </c>
      <c r="AF169" s="139">
        <f t="shared" si="249"/>
        <v>-63707.807272727274</v>
      </c>
      <c r="AG169" s="139">
        <f t="shared" si="250"/>
        <v>63707.807272727274</v>
      </c>
    </row>
    <row r="170" spans="1:33" x14ac:dyDescent="0.25">
      <c r="A170" s="130" t="s">
        <v>120</v>
      </c>
      <c r="B170" s="139">
        <v>2812.55</v>
      </c>
      <c r="C170" s="139">
        <v>9960.5</v>
      </c>
      <c r="D170" s="139">
        <v>4.37</v>
      </c>
      <c r="E170" s="139">
        <v>-997.33</v>
      </c>
      <c r="F170" s="139"/>
      <c r="G170" s="139"/>
      <c r="H170" s="139"/>
      <c r="I170" s="139"/>
      <c r="J170" s="139"/>
      <c r="K170" s="139"/>
      <c r="L170" s="139"/>
      <c r="M170" s="139"/>
      <c r="N170" s="139">
        <f t="shared" si="245"/>
        <v>11780.09</v>
      </c>
      <c r="O170" s="139"/>
      <c r="P170" s="139">
        <f t="shared" si="251"/>
        <v>31518.172500000001</v>
      </c>
      <c r="Q170" s="139">
        <f t="shared" si="247"/>
        <v>42024.23</v>
      </c>
      <c r="R170" s="139">
        <v>42024.23</v>
      </c>
      <c r="S170" s="170">
        <f t="shared" si="248"/>
        <v>0</v>
      </c>
      <c r="T170" s="168">
        <v>18221.580000000002</v>
      </c>
      <c r="U170" s="168">
        <v>-143.22</v>
      </c>
      <c r="V170" s="168">
        <v>554.66999999999996</v>
      </c>
      <c r="W170" s="168">
        <v>-4571.0200000000004</v>
      </c>
      <c r="X170" s="168">
        <v>42.88</v>
      </c>
      <c r="Y170" s="168">
        <v>-5187.8100000000004</v>
      </c>
      <c r="Z170" s="168">
        <v>-12485.88</v>
      </c>
      <c r="AA170" s="168">
        <v>-3196.33</v>
      </c>
      <c r="AB170" s="168">
        <v>50315.040000000001</v>
      </c>
      <c r="AC170" s="168">
        <v>-2189.91</v>
      </c>
      <c r="AD170" s="168">
        <v>0</v>
      </c>
      <c r="AE170" s="168">
        <v>664.23</v>
      </c>
      <c r="AF170" s="139">
        <f t="shared" si="249"/>
        <v>1070.9172727272728</v>
      </c>
      <c r="AG170" s="139">
        <f t="shared" si="250"/>
        <v>-1070.9172727272728</v>
      </c>
    </row>
    <row r="171" spans="1:33" x14ac:dyDescent="0.25">
      <c r="A171" s="130" t="s">
        <v>121</v>
      </c>
      <c r="B171" s="139">
        <v>-8734.24</v>
      </c>
      <c r="C171" s="139">
        <v>-12287.98</v>
      </c>
      <c r="D171" s="139">
        <v>1289785.74</v>
      </c>
      <c r="E171" s="139">
        <v>-1763263.76</v>
      </c>
      <c r="F171" s="139"/>
      <c r="G171" s="139"/>
      <c r="H171" s="139"/>
      <c r="I171" s="139"/>
      <c r="J171" s="139"/>
      <c r="K171" s="139"/>
      <c r="L171" s="139"/>
      <c r="M171" s="139"/>
      <c r="N171" s="139">
        <f t="shared" si="245"/>
        <v>-494500.24</v>
      </c>
      <c r="O171" s="139"/>
      <c r="P171" s="139">
        <f t="shared" si="251"/>
        <v>-421375.77</v>
      </c>
      <c r="Q171" s="139">
        <f t="shared" si="247"/>
        <v>-561834.36</v>
      </c>
      <c r="R171" s="139">
        <v>-561834.36</v>
      </c>
      <c r="S171" s="170">
        <f t="shared" si="248"/>
        <v>0</v>
      </c>
      <c r="T171" s="168">
        <v>5399.7</v>
      </c>
      <c r="U171" s="168">
        <v>-3149.21</v>
      </c>
      <c r="V171" s="168">
        <v>6568.13</v>
      </c>
      <c r="W171" s="168">
        <v>405.19</v>
      </c>
      <c r="X171" s="168">
        <v>-182869.11</v>
      </c>
      <c r="Y171" s="168">
        <v>-387.53</v>
      </c>
      <c r="Z171" s="168">
        <v>-158271.75</v>
      </c>
      <c r="AA171" s="168">
        <v>0</v>
      </c>
      <c r="AB171" s="168">
        <v>-1562</v>
      </c>
      <c r="AC171" s="168">
        <v>0</v>
      </c>
      <c r="AD171" s="168">
        <v>-225652.85</v>
      </c>
      <c r="AE171" s="168">
        <v>-2314.9299999999998</v>
      </c>
      <c r="AF171" s="139">
        <f t="shared" si="249"/>
        <v>-44954.567272727269</v>
      </c>
      <c r="AG171" s="139">
        <f t="shared" si="250"/>
        <v>44954.567272727269</v>
      </c>
    </row>
    <row r="172" spans="1:33" x14ac:dyDescent="0.25">
      <c r="A172" s="130" t="s">
        <v>122</v>
      </c>
      <c r="B172" s="139">
        <v>-1170739419.3199999</v>
      </c>
      <c r="C172" s="139">
        <v>-1645708412.4000001</v>
      </c>
      <c r="D172" s="139">
        <v>-1869853603.3499999</v>
      </c>
      <c r="E172" s="139">
        <v>-864479515.82000005</v>
      </c>
      <c r="F172" s="139"/>
      <c r="G172" s="139"/>
      <c r="H172" s="139"/>
      <c r="I172" s="139"/>
      <c r="J172" s="139"/>
      <c r="K172" s="139"/>
      <c r="L172" s="139"/>
      <c r="M172" s="139"/>
      <c r="N172" s="139">
        <f t="shared" si="245"/>
        <v>-5550780950.8899994</v>
      </c>
      <c r="O172" s="139"/>
      <c r="P172" s="139">
        <f t="shared" si="251"/>
        <v>-5295237343.8525009</v>
      </c>
      <c r="Q172" s="139">
        <f t="shared" si="247"/>
        <v>-7060316458.4700003</v>
      </c>
      <c r="R172" s="139">
        <v>-7060316458.4700003</v>
      </c>
      <c r="S172" s="170">
        <f t="shared" si="248"/>
        <v>0</v>
      </c>
      <c r="T172" s="168">
        <v>-57233909.109999999</v>
      </c>
      <c r="U172" s="168">
        <v>-15348255</v>
      </c>
      <c r="V172" s="168">
        <v>-56465326.530000001</v>
      </c>
      <c r="W172" s="168">
        <v>-529777770.38</v>
      </c>
      <c r="X172" s="168">
        <v>-504081581.20999998</v>
      </c>
      <c r="Y172" s="168">
        <v>-867014981.53999996</v>
      </c>
      <c r="Z172" s="168">
        <v>-299329589.75</v>
      </c>
      <c r="AA172" s="168">
        <v>-310814046.86000001</v>
      </c>
      <c r="AB172" s="168">
        <v>-122133504.51000001</v>
      </c>
      <c r="AC172" s="168">
        <v>-1249266848.22</v>
      </c>
      <c r="AD172" s="168">
        <v>-2037846333.24</v>
      </c>
      <c r="AE172" s="168">
        <v>-1011004312.12</v>
      </c>
      <c r="AF172" s="139">
        <f t="shared" si="249"/>
        <v>-504616450.08090901</v>
      </c>
      <c r="AG172" s="139">
        <f t="shared" si="250"/>
        <v>504616450.08090901</v>
      </c>
    </row>
    <row r="173" spans="1:33" x14ac:dyDescent="0.25">
      <c r="A173" s="130" t="s">
        <v>420</v>
      </c>
      <c r="C173" s="139">
        <v>532.79</v>
      </c>
      <c r="D173" s="139">
        <v>-41924.9</v>
      </c>
      <c r="E173" s="139"/>
      <c r="F173" s="139"/>
      <c r="G173" s="139"/>
      <c r="H173" s="139"/>
      <c r="I173" s="139"/>
      <c r="J173" s="139"/>
      <c r="K173" s="139"/>
      <c r="L173" s="139"/>
      <c r="M173" s="139"/>
      <c r="N173" s="139">
        <f t="shared" si="245"/>
        <v>-41392.11</v>
      </c>
      <c r="O173" s="139"/>
      <c r="P173" s="139">
        <f t="shared" si="251"/>
        <v>-8109.1724999999997</v>
      </c>
      <c r="Q173" s="139">
        <f t="shared" si="247"/>
        <v>-10812.23</v>
      </c>
      <c r="R173" s="139">
        <v>-10812.23</v>
      </c>
      <c r="S173" s="170">
        <f t="shared" si="248"/>
        <v>0</v>
      </c>
      <c r="T173" s="168">
        <v>0</v>
      </c>
      <c r="U173" s="168">
        <v>0</v>
      </c>
      <c r="V173" s="168">
        <v>0</v>
      </c>
      <c r="W173" s="168">
        <v>0</v>
      </c>
      <c r="X173" s="168">
        <v>0</v>
      </c>
      <c r="Y173" s="168">
        <v>-3537.84</v>
      </c>
      <c r="Z173" s="168">
        <v>-1594.95</v>
      </c>
      <c r="AA173" s="168">
        <v>1143.75</v>
      </c>
      <c r="AB173" s="168">
        <v>182.18</v>
      </c>
      <c r="AC173" s="168">
        <v>3603.34</v>
      </c>
      <c r="AD173" s="168">
        <v>-888.71</v>
      </c>
      <c r="AE173" s="168">
        <v>-9720</v>
      </c>
      <c r="AF173" s="139"/>
      <c r="AG173" s="139"/>
    </row>
    <row r="174" spans="1:33" x14ac:dyDescent="0.25">
      <c r="A174" s="130" t="s">
        <v>123</v>
      </c>
      <c r="B174" s="139">
        <v>-1846174.46</v>
      </c>
      <c r="C174" s="139">
        <v>-2591933.5</v>
      </c>
      <c r="D174" s="139">
        <v>-3077065</v>
      </c>
      <c r="E174" s="139">
        <v>-3380718.02</v>
      </c>
      <c r="F174" s="139"/>
      <c r="G174" s="139"/>
      <c r="H174" s="139"/>
      <c r="I174" s="139"/>
      <c r="J174" s="139"/>
      <c r="K174" s="139"/>
      <c r="L174" s="139"/>
      <c r="M174" s="139"/>
      <c r="N174" s="139">
        <f t="shared" si="245"/>
        <v>-10895890.98</v>
      </c>
      <c r="O174" s="139"/>
      <c r="P174" s="139">
        <f t="shared" si="251"/>
        <v>-8335950.9900000002</v>
      </c>
      <c r="Q174" s="139">
        <f t="shared" si="247"/>
        <v>-11114601.32</v>
      </c>
      <c r="R174" s="139">
        <v>-11114601.32</v>
      </c>
      <c r="S174" s="170">
        <f t="shared" si="248"/>
        <v>0</v>
      </c>
      <c r="T174" s="168">
        <v>-626650</v>
      </c>
      <c r="U174" s="168">
        <v>-1795920</v>
      </c>
      <c r="V174" s="168">
        <v>-616939.36</v>
      </c>
      <c r="W174" s="168">
        <v>-282900</v>
      </c>
      <c r="X174" s="168">
        <v>-694270</v>
      </c>
      <c r="Y174" s="168">
        <v>-1256000</v>
      </c>
      <c r="Z174" s="168">
        <v>-513970.45</v>
      </c>
      <c r="AA174" s="168">
        <v>-801420</v>
      </c>
      <c r="AB174" s="168">
        <v>-444817</v>
      </c>
      <c r="AC174" s="168">
        <v>-573800</v>
      </c>
      <c r="AD174" s="168">
        <v>-598707.5</v>
      </c>
      <c r="AE174" s="168">
        <v>-2909207.01</v>
      </c>
      <c r="AF174" s="139">
        <f t="shared" si="249"/>
        <v>-990535.5436363637</v>
      </c>
      <c r="AG174" s="139">
        <f t="shared" si="250"/>
        <v>990535.5436363637</v>
      </c>
    </row>
    <row r="175" spans="1:33" x14ac:dyDescent="0.25">
      <c r="A175" s="130" t="s">
        <v>124</v>
      </c>
      <c r="B175" s="139">
        <v>1323455.1299999999</v>
      </c>
      <c r="C175" s="139">
        <v>578317.49</v>
      </c>
      <c r="D175" s="139">
        <v>779962.62</v>
      </c>
      <c r="E175" s="139">
        <v>500983.74</v>
      </c>
      <c r="F175" s="139"/>
      <c r="G175" s="139"/>
      <c r="H175" s="139"/>
      <c r="I175" s="139"/>
      <c r="J175" s="139"/>
      <c r="K175" s="139"/>
      <c r="L175" s="139"/>
      <c r="M175" s="139"/>
      <c r="N175" s="139">
        <f t="shared" si="245"/>
        <v>3182718.9799999995</v>
      </c>
      <c r="O175" s="139"/>
      <c r="P175" s="139">
        <f t="shared" si="251"/>
        <v>1852860.1575</v>
      </c>
      <c r="Q175" s="139">
        <f t="shared" si="247"/>
        <v>2470480.21</v>
      </c>
      <c r="R175" s="139">
        <v>2470480.21</v>
      </c>
      <c r="S175" s="170">
        <f t="shared" si="248"/>
        <v>0</v>
      </c>
      <c r="T175" s="168">
        <v>2230495.09</v>
      </c>
      <c r="U175" s="168">
        <v>157077.15</v>
      </c>
      <c r="V175" s="168">
        <v>273729.07</v>
      </c>
      <c r="W175" s="168">
        <v>307005.37</v>
      </c>
      <c r="X175" s="168">
        <v>-462524.73</v>
      </c>
      <c r="Y175" s="168">
        <v>-239021.09</v>
      </c>
      <c r="Z175" s="168">
        <v>-273397.37</v>
      </c>
      <c r="AA175" s="168">
        <v>-459773.78</v>
      </c>
      <c r="AB175" s="168">
        <v>-12461.47</v>
      </c>
      <c r="AC175" s="168">
        <v>44458.32</v>
      </c>
      <c r="AD175" s="168">
        <v>322491.38</v>
      </c>
      <c r="AE175" s="168">
        <v>582402.27</v>
      </c>
      <c r="AF175" s="139">
        <f t="shared" si="249"/>
        <v>289338.08909090905</v>
      </c>
      <c r="AG175" s="139">
        <f t="shared" si="250"/>
        <v>-289338.08909090905</v>
      </c>
    </row>
    <row r="176" spans="1:33" x14ac:dyDescent="0.25">
      <c r="A176" s="130" t="s">
        <v>125</v>
      </c>
      <c r="B176" s="139">
        <v>-787404.86</v>
      </c>
      <c r="C176" s="139">
        <v>-1597831.77</v>
      </c>
      <c r="D176" s="139">
        <v>49348977.850000001</v>
      </c>
      <c r="E176" s="139">
        <v>-737699.43</v>
      </c>
      <c r="F176" s="139"/>
      <c r="G176" s="139"/>
      <c r="H176" s="139"/>
      <c r="I176" s="139"/>
      <c r="J176" s="139"/>
      <c r="K176" s="139"/>
      <c r="L176" s="139"/>
      <c r="M176" s="139"/>
      <c r="N176" s="139">
        <f t="shared" si="245"/>
        <v>46226041.789999999</v>
      </c>
      <c r="O176" s="139"/>
      <c r="P176" s="139">
        <f t="shared" si="251"/>
        <v>-732681.05249999987</v>
      </c>
      <c r="Q176" s="139">
        <f t="shared" si="247"/>
        <v>-976908.06999999972</v>
      </c>
      <c r="R176" s="139">
        <v>-976908.06999999972</v>
      </c>
      <c r="S176" s="170">
        <f t="shared" si="248"/>
        <v>0</v>
      </c>
      <c r="T176" s="168">
        <v>132999.03</v>
      </c>
      <c r="U176" s="168">
        <v>1861.72</v>
      </c>
      <c r="V176" s="168">
        <v>104613.37</v>
      </c>
      <c r="W176" s="168">
        <v>1487036.54</v>
      </c>
      <c r="X176" s="168">
        <v>-195552.97</v>
      </c>
      <c r="Y176" s="168">
        <v>-463703.41</v>
      </c>
      <c r="Z176" s="168">
        <v>-388902.1</v>
      </c>
      <c r="AA176" s="168">
        <v>-516832.24</v>
      </c>
      <c r="AB176" s="168">
        <v>-517332.49</v>
      </c>
      <c r="AC176" s="168">
        <v>-228957.51</v>
      </c>
      <c r="AD176" s="168">
        <v>72.64</v>
      </c>
      <c r="AE176" s="168">
        <v>-392210.65</v>
      </c>
      <c r="AF176" s="139">
        <f t="shared" si="249"/>
        <v>4202367.4354545455</v>
      </c>
      <c r="AG176" s="139">
        <f t="shared" si="250"/>
        <v>-4202367.4354545455</v>
      </c>
    </row>
    <row r="177" spans="1:33" x14ac:dyDescent="0.25">
      <c r="A177" s="130" t="s">
        <v>126</v>
      </c>
      <c r="B177" s="139">
        <v>20828.900000000001</v>
      </c>
      <c r="C177" s="139">
        <v>-10905.39</v>
      </c>
      <c r="D177" s="139">
        <v>6926.34</v>
      </c>
      <c r="E177" s="139">
        <v>-37211.370000000003</v>
      </c>
      <c r="F177" s="139"/>
      <c r="G177" s="139"/>
      <c r="H177" s="139"/>
      <c r="I177" s="139"/>
      <c r="J177" s="139"/>
      <c r="K177" s="139"/>
      <c r="L177" s="139"/>
      <c r="M177" s="139"/>
      <c r="N177" s="139">
        <f t="shared" si="245"/>
        <v>-20361.52</v>
      </c>
      <c r="O177" s="139"/>
      <c r="P177" s="139">
        <f t="shared" si="251"/>
        <v>132804.61500000002</v>
      </c>
      <c r="Q177" s="139">
        <f t="shared" si="247"/>
        <v>177072.82</v>
      </c>
      <c r="R177" s="139">
        <v>177072.82</v>
      </c>
      <c r="S177" s="170">
        <f t="shared" si="248"/>
        <v>0</v>
      </c>
      <c r="T177" s="168">
        <v>48155.93</v>
      </c>
      <c r="U177" s="168">
        <v>51045.58</v>
      </c>
      <c r="V177" s="168">
        <v>0</v>
      </c>
      <c r="W177" s="168">
        <v>12980.84</v>
      </c>
      <c r="X177" s="168">
        <v>75.5</v>
      </c>
      <c r="Y177" s="168">
        <v>0</v>
      </c>
      <c r="Z177" s="168">
        <v>-13005.34</v>
      </c>
      <c r="AA177" s="168">
        <v>20986.639999999999</v>
      </c>
      <c r="AB177" s="168">
        <v>20965.86</v>
      </c>
      <c r="AC177" s="168">
        <v>25.8</v>
      </c>
      <c r="AD177" s="168">
        <v>1200</v>
      </c>
      <c r="AE177" s="168">
        <v>34642.01</v>
      </c>
      <c r="AF177" s="139">
        <f t="shared" si="249"/>
        <v>-1851.0472727272727</v>
      </c>
      <c r="AG177" s="139">
        <f t="shared" si="250"/>
        <v>1851.0472727272727</v>
      </c>
    </row>
    <row r="178" spans="1:33" x14ac:dyDescent="0.25">
      <c r="A178" s="130" t="s">
        <v>127</v>
      </c>
      <c r="B178" s="139">
        <v>864094.87</v>
      </c>
      <c r="C178" s="139">
        <v>60900</v>
      </c>
      <c r="D178" s="139">
        <v>-187803.37</v>
      </c>
      <c r="E178" s="139">
        <v>1621039.19</v>
      </c>
      <c r="F178" s="139"/>
      <c r="G178" s="139"/>
      <c r="H178" s="139"/>
      <c r="I178" s="139"/>
      <c r="J178" s="139"/>
      <c r="K178" s="139"/>
      <c r="L178" s="139"/>
      <c r="M178" s="139"/>
      <c r="N178" s="139">
        <f t="shared" si="245"/>
        <v>2358230.69</v>
      </c>
      <c r="O178" s="139"/>
      <c r="P178" s="139">
        <f t="shared" si="251"/>
        <v>1145537.94</v>
      </c>
      <c r="Q178" s="139">
        <f t="shared" si="247"/>
        <v>1527383.92</v>
      </c>
      <c r="R178" s="139">
        <v>1527383.92</v>
      </c>
      <c r="S178" s="170">
        <f t="shared" si="248"/>
        <v>0</v>
      </c>
      <c r="T178" s="168">
        <v>888979.59</v>
      </c>
      <c r="U178" s="168">
        <v>5499.6</v>
      </c>
      <c r="V178" s="168">
        <v>-2025.65</v>
      </c>
      <c r="W178" s="168">
        <v>-2516.61</v>
      </c>
      <c r="X178" s="168">
        <v>174609.93</v>
      </c>
      <c r="Y178" s="168">
        <v>-356.02</v>
      </c>
      <c r="Z178" s="168">
        <v>108192.24</v>
      </c>
      <c r="AA178" s="168">
        <v>23422.84</v>
      </c>
      <c r="AB178" s="168">
        <v>40194.65</v>
      </c>
      <c r="AC178" s="168">
        <v>21708.07</v>
      </c>
      <c r="AD178" s="168">
        <v>230585.81</v>
      </c>
      <c r="AE178" s="168">
        <v>39089.47</v>
      </c>
      <c r="AF178" s="139">
        <f t="shared" si="249"/>
        <v>214384.60818181818</v>
      </c>
      <c r="AG178" s="139">
        <f t="shared" si="250"/>
        <v>-214384.60818181818</v>
      </c>
    </row>
    <row r="179" spans="1:33" x14ac:dyDescent="0.25">
      <c r="A179" s="130" t="s">
        <v>128</v>
      </c>
      <c r="B179" s="139">
        <v>-3525984.92</v>
      </c>
      <c r="C179" s="139">
        <v>-1080412.5</v>
      </c>
      <c r="D179" s="139">
        <v>-436375</v>
      </c>
      <c r="E179" s="139">
        <v>-405378.45</v>
      </c>
      <c r="F179" s="139"/>
      <c r="G179" s="139"/>
      <c r="H179" s="139"/>
      <c r="I179" s="139"/>
      <c r="J179" s="139"/>
      <c r="K179" s="139"/>
      <c r="L179" s="139"/>
      <c r="M179" s="139"/>
      <c r="N179" s="139">
        <f t="shared" si="245"/>
        <v>-5448150.8700000001</v>
      </c>
      <c r="O179" s="139"/>
      <c r="P179" s="139">
        <f t="shared" si="251"/>
        <v>-4579424.8875000002</v>
      </c>
      <c r="Q179" s="139">
        <f t="shared" si="247"/>
        <v>-6105899.8499999996</v>
      </c>
      <c r="R179" s="139">
        <v>-6105899.8499999996</v>
      </c>
      <c r="S179" s="170">
        <f t="shared" si="248"/>
        <v>0</v>
      </c>
      <c r="T179" s="168">
        <v>-241780</v>
      </c>
      <c r="U179" s="168">
        <v>0</v>
      </c>
      <c r="V179" s="168">
        <v>-42034.45</v>
      </c>
      <c r="W179" s="168">
        <f>-916350</f>
        <v>-916350</v>
      </c>
      <c r="X179" s="168">
        <v>-48550</v>
      </c>
      <c r="Y179" s="168">
        <v>0</v>
      </c>
      <c r="Z179" s="168">
        <v>-48901.66</v>
      </c>
      <c r="AA179" s="168">
        <v>-228900</v>
      </c>
      <c r="AB179" s="168">
        <v>-1036340</v>
      </c>
      <c r="AC179" s="168">
        <v>-1764374.14</v>
      </c>
      <c r="AD179" s="168">
        <v>-344926</v>
      </c>
      <c r="AE179" s="168">
        <v>-1433743.6</v>
      </c>
      <c r="AF179" s="139">
        <f t="shared" si="249"/>
        <v>-495286.44272727275</v>
      </c>
      <c r="AG179" s="139">
        <f t="shared" si="250"/>
        <v>495286.44272727275</v>
      </c>
    </row>
    <row r="180" spans="1:33" hidden="1" x14ac:dyDescent="0.25">
      <c r="A180" s="130" t="s">
        <v>129</v>
      </c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>
        <f t="shared" si="245"/>
        <v>0</v>
      </c>
      <c r="O180" s="139"/>
      <c r="P180" s="139">
        <f t="shared" si="251"/>
        <v>-4200</v>
      </c>
      <c r="Q180" s="139">
        <f t="shared" si="247"/>
        <v>-5600</v>
      </c>
      <c r="R180" s="139">
        <v>-5600</v>
      </c>
      <c r="S180" s="170">
        <f t="shared" si="248"/>
        <v>0</v>
      </c>
      <c r="T180" s="168">
        <v>0</v>
      </c>
      <c r="U180" s="168">
        <v>800</v>
      </c>
      <c r="V180" s="168">
        <v>0</v>
      </c>
      <c r="W180" s="168">
        <v>0</v>
      </c>
      <c r="X180" s="168">
        <v>0</v>
      </c>
      <c r="Y180" s="168">
        <v>0</v>
      </c>
      <c r="Z180" s="168">
        <v>0</v>
      </c>
      <c r="AA180" s="168">
        <v>0</v>
      </c>
      <c r="AB180" s="168">
        <v>0</v>
      </c>
      <c r="AC180" s="168">
        <v>0</v>
      </c>
      <c r="AD180" s="168">
        <v>-6400</v>
      </c>
      <c r="AE180" s="168">
        <v>0</v>
      </c>
      <c r="AF180" s="139">
        <f t="shared" si="249"/>
        <v>0</v>
      </c>
      <c r="AG180" s="139">
        <f t="shared" si="250"/>
        <v>0</v>
      </c>
    </row>
    <row r="181" spans="1:33" x14ac:dyDescent="0.25">
      <c r="A181" s="130" t="s">
        <v>130</v>
      </c>
      <c r="B181" s="139">
        <v>11524.23</v>
      </c>
      <c r="C181" s="139">
        <v>9705.4699999999993</v>
      </c>
      <c r="D181" s="139">
        <v>14691.34</v>
      </c>
      <c r="E181" s="139">
        <v>5024.22</v>
      </c>
      <c r="F181" s="139"/>
      <c r="G181" s="139"/>
      <c r="H181" s="139"/>
      <c r="I181" s="139"/>
      <c r="J181" s="139"/>
      <c r="K181" s="139"/>
      <c r="L181" s="139"/>
      <c r="M181" s="139"/>
      <c r="N181" s="139">
        <f t="shared" si="245"/>
        <v>40945.259999999995</v>
      </c>
      <c r="O181" s="139"/>
      <c r="P181" s="139">
        <f t="shared" si="251"/>
        <v>57288.352499999986</v>
      </c>
      <c r="Q181" s="139">
        <f t="shared" si="247"/>
        <v>76384.469999999987</v>
      </c>
      <c r="R181" s="139">
        <v>76384.469999999987</v>
      </c>
      <c r="S181" s="170">
        <f t="shared" si="248"/>
        <v>0</v>
      </c>
      <c r="T181" s="168">
        <v>2682.05</v>
      </c>
      <c r="U181" s="168">
        <v>-1617.38</v>
      </c>
      <c r="V181" s="168">
        <v>5756.07</v>
      </c>
      <c r="W181" s="168">
        <v>9048.32</v>
      </c>
      <c r="X181" s="168">
        <v>11168.19</v>
      </c>
      <c r="Y181" s="168">
        <v>3721.59</v>
      </c>
      <c r="Z181" s="168">
        <v>6172.25</v>
      </c>
      <c r="AA181" s="168">
        <v>7102.98</v>
      </c>
      <c r="AB181" s="168">
        <v>7169.65</v>
      </c>
      <c r="AC181" s="168">
        <v>9614.02</v>
      </c>
      <c r="AD181" s="168">
        <v>6881.28</v>
      </c>
      <c r="AE181" s="168">
        <v>8685.4500000000007</v>
      </c>
      <c r="AF181" s="139">
        <f t="shared" si="249"/>
        <v>3722.2963636363634</v>
      </c>
      <c r="AG181" s="139">
        <f t="shared" si="250"/>
        <v>-3722.2963636363634</v>
      </c>
    </row>
    <row r="182" spans="1:33" x14ac:dyDescent="0.25">
      <c r="A182" s="130" t="s">
        <v>131</v>
      </c>
      <c r="B182" s="139">
        <v>5000</v>
      </c>
      <c r="C182" s="139">
        <v>5000</v>
      </c>
      <c r="D182" s="139">
        <v>5000</v>
      </c>
      <c r="E182" s="139">
        <v>5000</v>
      </c>
      <c r="F182" s="139"/>
      <c r="G182" s="139"/>
      <c r="H182" s="139"/>
      <c r="I182" s="139"/>
      <c r="J182" s="139"/>
      <c r="K182" s="139"/>
      <c r="L182" s="139"/>
      <c r="M182" s="139"/>
      <c r="N182" s="139">
        <f t="shared" si="245"/>
        <v>20000</v>
      </c>
      <c r="O182" s="139"/>
      <c r="P182" s="139">
        <f t="shared" si="251"/>
        <v>45000</v>
      </c>
      <c r="Q182" s="139">
        <f t="shared" si="247"/>
        <v>60000</v>
      </c>
      <c r="R182" s="139">
        <v>60000</v>
      </c>
      <c r="S182" s="170">
        <f t="shared" si="248"/>
        <v>0</v>
      </c>
      <c r="T182" s="168">
        <v>5000</v>
      </c>
      <c r="U182" s="168">
        <v>16772.5</v>
      </c>
      <c r="V182" s="168">
        <v>-6772.5</v>
      </c>
      <c r="W182" s="168">
        <v>5000</v>
      </c>
      <c r="X182" s="168">
        <v>5000</v>
      </c>
      <c r="Y182" s="168">
        <v>5000</v>
      </c>
      <c r="Z182" s="168">
        <v>5000</v>
      </c>
      <c r="AA182" s="168">
        <v>5000</v>
      </c>
      <c r="AB182" s="168">
        <v>5000</v>
      </c>
      <c r="AC182" s="168">
        <v>5000</v>
      </c>
      <c r="AD182" s="168">
        <v>5000</v>
      </c>
      <c r="AE182" s="168">
        <v>5000</v>
      </c>
      <c r="AF182" s="139">
        <f t="shared" si="249"/>
        <v>1818.1818181818182</v>
      </c>
      <c r="AG182" s="139">
        <f t="shared" si="250"/>
        <v>-1818.1818181818182</v>
      </c>
    </row>
    <row r="183" spans="1:33" x14ac:dyDescent="0.25">
      <c r="A183" s="130" t="s">
        <v>132</v>
      </c>
      <c r="C183" s="139"/>
      <c r="D183" s="139"/>
      <c r="E183" s="139">
        <v>-2001</v>
      </c>
      <c r="F183" s="139"/>
      <c r="G183" s="139"/>
      <c r="H183" s="139"/>
      <c r="I183" s="139"/>
      <c r="J183" s="139"/>
      <c r="K183" s="139"/>
      <c r="L183" s="139"/>
      <c r="M183" s="139"/>
      <c r="N183" s="139">
        <f t="shared" si="245"/>
        <v>-2001</v>
      </c>
      <c r="O183" s="139"/>
      <c r="P183" s="139">
        <f t="shared" si="251"/>
        <v>120</v>
      </c>
      <c r="Q183" s="139">
        <f t="shared" si="247"/>
        <v>160</v>
      </c>
      <c r="R183" s="139">
        <v>160</v>
      </c>
      <c r="S183" s="170">
        <f t="shared" si="248"/>
        <v>0</v>
      </c>
      <c r="T183" s="168">
        <v>0</v>
      </c>
      <c r="U183" s="168">
        <v>0</v>
      </c>
      <c r="V183" s="168">
        <v>0</v>
      </c>
      <c r="W183" s="168">
        <v>0</v>
      </c>
      <c r="X183" s="168">
        <v>0</v>
      </c>
      <c r="Y183" s="168">
        <v>0</v>
      </c>
      <c r="Z183" s="168">
        <v>0</v>
      </c>
      <c r="AA183" s="168">
        <v>0</v>
      </c>
      <c r="AB183" s="168">
        <v>160</v>
      </c>
      <c r="AC183" s="168"/>
      <c r="AD183" s="168">
        <v>0</v>
      </c>
      <c r="AE183" s="168">
        <v>0</v>
      </c>
      <c r="AF183" s="139">
        <f t="shared" si="249"/>
        <v>-181.90909090909091</v>
      </c>
      <c r="AG183" s="139">
        <f t="shared" si="250"/>
        <v>181.90909090909091</v>
      </c>
    </row>
    <row r="184" spans="1:33" x14ac:dyDescent="0.25">
      <c r="A184" s="130" t="s">
        <v>133</v>
      </c>
      <c r="B184" s="139">
        <v>199069.15</v>
      </c>
      <c r="C184" s="139">
        <v>5164.33</v>
      </c>
      <c r="D184" s="139">
        <v>12160.77</v>
      </c>
      <c r="E184" s="139">
        <v>-11589.5</v>
      </c>
      <c r="F184" s="139"/>
      <c r="G184" s="139"/>
      <c r="H184" s="139"/>
      <c r="I184" s="139"/>
      <c r="J184" s="139"/>
      <c r="K184" s="139"/>
      <c r="L184" s="139"/>
      <c r="M184" s="139"/>
      <c r="N184" s="139">
        <f t="shared" si="245"/>
        <v>204804.74999999997</v>
      </c>
      <c r="O184" s="139"/>
      <c r="P184" s="139">
        <f t="shared" si="251"/>
        <v>165513.77249999996</v>
      </c>
      <c r="Q184" s="139">
        <f t="shared" si="247"/>
        <v>220685.02999999997</v>
      </c>
      <c r="R184" s="139">
        <v>220685.02999999997</v>
      </c>
      <c r="S184" s="170">
        <f t="shared" si="248"/>
        <v>0</v>
      </c>
      <c r="T184" s="168">
        <v>20620</v>
      </c>
      <c r="U184" s="168">
        <v>1150</v>
      </c>
      <c r="V184" s="168">
        <v>0</v>
      </c>
      <c r="W184" s="168">
        <v>0</v>
      </c>
      <c r="X184" s="168">
        <v>158944.68</v>
      </c>
      <c r="Y184" s="168">
        <v>1357.06</v>
      </c>
      <c r="Z184" s="168">
        <v>-3040</v>
      </c>
      <c r="AA184" s="168">
        <v>10319.799999999999</v>
      </c>
      <c r="AB184" s="168">
        <v>1091.1099999999999</v>
      </c>
      <c r="AC184" s="168">
        <v>294.55</v>
      </c>
      <c r="AD184" s="168">
        <v>-499.08</v>
      </c>
      <c r="AE184" s="168">
        <v>30446.91</v>
      </c>
      <c r="AF184" s="139">
        <f t="shared" si="249"/>
        <v>18618.613636363632</v>
      </c>
      <c r="AG184" s="139">
        <f t="shared" si="250"/>
        <v>-18618.613636363632</v>
      </c>
    </row>
    <row r="185" spans="1:33" hidden="1" x14ac:dyDescent="0.25">
      <c r="A185" s="130" t="s">
        <v>134</v>
      </c>
      <c r="C185" s="139"/>
      <c r="D185" s="139"/>
      <c r="E185" s="144"/>
      <c r="F185" s="144"/>
      <c r="G185" s="139"/>
      <c r="H185" s="139"/>
      <c r="I185" s="139"/>
      <c r="J185" s="139"/>
      <c r="K185" s="139"/>
      <c r="L185" s="139"/>
      <c r="M185" s="139"/>
      <c r="N185" s="139">
        <f t="shared" ref="N185:N206" si="252">SUM(B185:M185)</f>
        <v>0</v>
      </c>
      <c r="O185" s="139"/>
      <c r="P185" s="139">
        <f t="shared" si="251"/>
        <v>-12721742.700000001</v>
      </c>
      <c r="Q185" s="139">
        <f t="shared" si="247"/>
        <v>-16962323.600000001</v>
      </c>
      <c r="R185" s="139">
        <v>-16962323.600000001</v>
      </c>
      <c r="S185" s="170">
        <f t="shared" si="248"/>
        <v>0</v>
      </c>
      <c r="T185" s="168">
        <v>2910296.13</v>
      </c>
      <c r="U185" s="168">
        <v>1651163.39</v>
      </c>
      <c r="V185" s="168">
        <v>-414097.59</v>
      </c>
      <c r="W185" s="172">
        <v>959937.83</v>
      </c>
      <c r="X185" s="172">
        <v>-3014399.59</v>
      </c>
      <c r="Y185" s="168">
        <v>3160990.11</v>
      </c>
      <c r="Z185" s="168">
        <v>-6973390.4900000002</v>
      </c>
      <c r="AA185" s="168">
        <v>-1655327.37</v>
      </c>
      <c r="AB185" s="168">
        <v>-13587496.02</v>
      </c>
      <c r="AC185" s="168">
        <v>0</v>
      </c>
      <c r="AD185" s="168">
        <v>0</v>
      </c>
      <c r="AE185" s="168">
        <v>0</v>
      </c>
      <c r="AF185" s="170">
        <f t="shared" si="249"/>
        <v>0</v>
      </c>
      <c r="AG185" s="170">
        <f t="shared" si="250"/>
        <v>0</v>
      </c>
    </row>
    <row r="186" spans="1:33" x14ac:dyDescent="0.25">
      <c r="A186" s="130" t="s">
        <v>135</v>
      </c>
      <c r="B186" s="139">
        <v>22100.25</v>
      </c>
      <c r="C186" s="139">
        <v>22100.25</v>
      </c>
      <c r="D186" s="139">
        <v>22462.75</v>
      </c>
      <c r="E186" s="139">
        <v>22100.25</v>
      </c>
      <c r="F186" s="139"/>
      <c r="G186" s="139"/>
      <c r="H186" s="139"/>
      <c r="I186" s="139"/>
      <c r="J186" s="139"/>
      <c r="K186" s="139"/>
      <c r="L186" s="139"/>
      <c r="M186" s="139"/>
      <c r="N186" s="139">
        <f t="shared" si="252"/>
        <v>88763.5</v>
      </c>
      <c r="O186" s="139"/>
      <c r="P186" s="139">
        <f t="shared" si="251"/>
        <v>233311.41000000003</v>
      </c>
      <c r="Q186" s="139">
        <f t="shared" si="247"/>
        <v>311081.88000000006</v>
      </c>
      <c r="R186" s="139">
        <v>311081.88000000006</v>
      </c>
      <c r="S186" s="170">
        <f t="shared" si="248"/>
        <v>0</v>
      </c>
      <c r="T186" s="168">
        <v>28233.33</v>
      </c>
      <c r="U186" s="168">
        <v>28233.33</v>
      </c>
      <c r="V186" s="168">
        <v>28595.83</v>
      </c>
      <c r="W186" s="168">
        <v>28233.33</v>
      </c>
      <c r="X186" s="168">
        <v>28233.33</v>
      </c>
      <c r="Y186" s="168">
        <v>7627.91</v>
      </c>
      <c r="Z186" s="168">
        <v>28233.33</v>
      </c>
      <c r="AA186" s="168">
        <v>28233.33</v>
      </c>
      <c r="AB186" s="168">
        <v>28233.33</v>
      </c>
      <c r="AC186" s="168">
        <v>28233.33</v>
      </c>
      <c r="AD186" s="168">
        <v>24925.040000000001</v>
      </c>
      <c r="AE186" s="168">
        <v>24066.46</v>
      </c>
      <c r="AF186" s="139">
        <f t="shared" si="249"/>
        <v>8069.409090909091</v>
      </c>
      <c r="AG186" s="139">
        <f t="shared" si="250"/>
        <v>-8069.409090909091</v>
      </c>
    </row>
    <row r="187" spans="1:33" hidden="1" x14ac:dyDescent="0.25">
      <c r="A187" s="130" t="s">
        <v>136</v>
      </c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>
        <f t="shared" si="252"/>
        <v>0</v>
      </c>
      <c r="O187" s="139"/>
      <c r="P187" s="139">
        <f t="shared" si="251"/>
        <v>1360.4549999999999</v>
      </c>
      <c r="Q187" s="139">
        <f t="shared" si="247"/>
        <v>1813.94</v>
      </c>
      <c r="R187" s="139">
        <v>1813.94</v>
      </c>
      <c r="S187" s="170">
        <f t="shared" si="248"/>
        <v>0</v>
      </c>
      <c r="T187" s="168">
        <v>0</v>
      </c>
      <c r="U187" s="168">
        <v>878</v>
      </c>
      <c r="V187" s="168">
        <v>0</v>
      </c>
      <c r="W187" s="168">
        <v>0</v>
      </c>
      <c r="X187" s="168">
        <v>620</v>
      </c>
      <c r="Y187" s="168">
        <v>0</v>
      </c>
      <c r="Z187" s="168">
        <v>12</v>
      </c>
      <c r="AA187" s="168">
        <v>0</v>
      </c>
      <c r="AB187" s="168">
        <v>0</v>
      </c>
      <c r="AC187" s="168">
        <v>0</v>
      </c>
      <c r="AD187" s="168">
        <v>0</v>
      </c>
      <c r="AE187" s="168">
        <v>303.94</v>
      </c>
      <c r="AF187" s="139">
        <f t="shared" si="249"/>
        <v>0</v>
      </c>
      <c r="AG187" s="139">
        <f t="shared" si="250"/>
        <v>0</v>
      </c>
    </row>
    <row r="188" spans="1:33" x14ac:dyDescent="0.25">
      <c r="A188" s="130" t="s">
        <v>137</v>
      </c>
      <c r="C188" s="139"/>
      <c r="D188" s="139">
        <v>6563.17</v>
      </c>
      <c r="E188" s="139">
        <v>-0.01</v>
      </c>
      <c r="F188" s="139"/>
      <c r="G188" s="139"/>
      <c r="H188" s="139"/>
      <c r="I188" s="139"/>
      <c r="J188" s="139"/>
      <c r="K188" s="139"/>
      <c r="L188" s="139"/>
      <c r="M188" s="139"/>
      <c r="N188" s="139">
        <f t="shared" si="252"/>
        <v>6563.16</v>
      </c>
      <c r="O188" s="139"/>
      <c r="P188" s="139">
        <f t="shared" si="251"/>
        <v>15733.109999999999</v>
      </c>
      <c r="Q188" s="139">
        <f t="shared" si="247"/>
        <v>20977.48</v>
      </c>
      <c r="R188" s="139">
        <v>20977.48</v>
      </c>
      <c r="S188" s="170">
        <f t="shared" si="248"/>
        <v>0</v>
      </c>
      <c r="T188" s="168">
        <v>935.34</v>
      </c>
      <c r="U188" s="168">
        <v>6097.82</v>
      </c>
      <c r="V188" s="168">
        <v>0</v>
      </c>
      <c r="W188" s="168">
        <v>924</v>
      </c>
      <c r="X188" s="168">
        <v>0</v>
      </c>
      <c r="Y188" s="168">
        <v>0</v>
      </c>
      <c r="Z188" s="168">
        <v>0</v>
      </c>
      <c r="AA188" s="168">
        <v>6764.11</v>
      </c>
      <c r="AB188" s="168">
        <v>0</v>
      </c>
      <c r="AC188" s="168">
        <v>6256.21</v>
      </c>
      <c r="AD188" s="168">
        <v>0</v>
      </c>
      <c r="AE188" s="168">
        <v>0</v>
      </c>
      <c r="AF188" s="139">
        <f t="shared" si="249"/>
        <v>596.65090909090907</v>
      </c>
      <c r="AG188" s="139">
        <f t="shared" si="250"/>
        <v>-596.65090909090907</v>
      </c>
    </row>
    <row r="189" spans="1:33" x14ac:dyDescent="0.25">
      <c r="A189" s="130" t="s">
        <v>138</v>
      </c>
      <c r="B189" s="139">
        <v>14246.42</v>
      </c>
      <c r="C189" s="139">
        <v>11022.76</v>
      </c>
      <c r="D189" s="139">
        <v>28052.799999999999</v>
      </c>
      <c r="E189" s="139">
        <v>28191.98</v>
      </c>
      <c r="F189" s="139"/>
      <c r="G189" s="139"/>
      <c r="H189" s="139"/>
      <c r="I189" s="139"/>
      <c r="J189" s="139"/>
      <c r="K189" s="139"/>
      <c r="L189" s="139"/>
      <c r="M189" s="139"/>
      <c r="N189" s="139">
        <f t="shared" si="252"/>
        <v>81513.959999999992</v>
      </c>
      <c r="O189" s="139"/>
      <c r="P189" s="139">
        <f t="shared" si="251"/>
        <v>135608.82749999998</v>
      </c>
      <c r="Q189" s="139">
        <f t="shared" si="247"/>
        <v>180811.77</v>
      </c>
      <c r="R189" s="139">
        <v>180811.77</v>
      </c>
      <c r="S189" s="170">
        <f t="shared" si="248"/>
        <v>0</v>
      </c>
      <c r="T189" s="168">
        <v>13984.01</v>
      </c>
      <c r="U189" s="168">
        <v>16090.71</v>
      </c>
      <c r="V189" s="168">
        <v>17832.23</v>
      </c>
      <c r="W189" s="168">
        <v>16363.64</v>
      </c>
      <c r="X189" s="168">
        <v>18902.009999999998</v>
      </c>
      <c r="Y189" s="168">
        <v>15846.75</v>
      </c>
      <c r="Z189" s="168">
        <v>13522.84</v>
      </c>
      <c r="AA189" s="168">
        <v>14007.24</v>
      </c>
      <c r="AB189" s="168">
        <v>8848.61</v>
      </c>
      <c r="AC189" s="168">
        <v>22497</v>
      </c>
      <c r="AD189" s="168">
        <v>14362.47</v>
      </c>
      <c r="AE189" s="168">
        <v>8554.26</v>
      </c>
      <c r="AF189" s="139">
        <f t="shared" si="249"/>
        <v>7410.36</v>
      </c>
      <c r="AG189" s="139">
        <f t="shared" si="250"/>
        <v>-7410.36</v>
      </c>
    </row>
    <row r="190" spans="1:33" x14ac:dyDescent="0.25">
      <c r="A190" s="130" t="s">
        <v>139</v>
      </c>
      <c r="B190" s="139">
        <v>5812.52</v>
      </c>
      <c r="C190" s="139">
        <v>4325.5200000000004</v>
      </c>
      <c r="D190" s="139">
        <v>11661.24</v>
      </c>
      <c r="E190" s="139">
        <v>8984.2000000000007</v>
      </c>
      <c r="F190" s="139"/>
      <c r="G190" s="139"/>
      <c r="H190" s="139"/>
      <c r="I190" s="139"/>
      <c r="J190" s="139"/>
      <c r="K190" s="139"/>
      <c r="L190" s="139"/>
      <c r="M190" s="139"/>
      <c r="N190" s="139">
        <f t="shared" si="252"/>
        <v>30783.48</v>
      </c>
      <c r="O190" s="139"/>
      <c r="P190" s="139">
        <f t="shared" si="251"/>
        <v>27483.510000000002</v>
      </c>
      <c r="Q190" s="139">
        <f t="shared" si="247"/>
        <v>36644.68</v>
      </c>
      <c r="R190" s="139">
        <v>36644.68</v>
      </c>
      <c r="S190" s="170">
        <f t="shared" si="248"/>
        <v>0</v>
      </c>
      <c r="T190" s="168">
        <v>0</v>
      </c>
      <c r="U190" s="168">
        <v>2779.92</v>
      </c>
      <c r="V190" s="168">
        <v>3901.48</v>
      </c>
      <c r="W190" s="168">
        <v>3738.32</v>
      </c>
      <c r="X190" s="168">
        <v>2514.86</v>
      </c>
      <c r="Y190" s="168">
        <v>3378.54</v>
      </c>
      <c r="Z190" s="168">
        <v>1013.2</v>
      </c>
      <c r="AA190" s="168">
        <v>2380.56</v>
      </c>
      <c r="AB190" s="168">
        <v>1769.04</v>
      </c>
      <c r="AC190" s="168">
        <v>5497</v>
      </c>
      <c r="AD190" s="168">
        <v>5210.08</v>
      </c>
      <c r="AE190" s="168">
        <v>4461.68</v>
      </c>
      <c r="AF190" s="139">
        <f t="shared" si="249"/>
        <v>2798.4981818181818</v>
      </c>
      <c r="AG190" s="139">
        <f t="shared" si="250"/>
        <v>-2798.4981818181818</v>
      </c>
    </row>
    <row r="191" spans="1:33" x14ac:dyDescent="0.25">
      <c r="A191" s="130" t="s">
        <v>140</v>
      </c>
      <c r="C191" s="139"/>
      <c r="D191" s="139">
        <v>-4320</v>
      </c>
      <c r="E191" s="139"/>
      <c r="F191" s="139"/>
      <c r="G191" s="139"/>
      <c r="H191" s="139"/>
      <c r="I191" s="139"/>
      <c r="J191" s="139"/>
      <c r="K191" s="139"/>
      <c r="L191" s="139"/>
      <c r="M191" s="139"/>
      <c r="N191" s="139">
        <f t="shared" si="252"/>
        <v>-4320</v>
      </c>
      <c r="O191" s="139"/>
      <c r="P191" s="139">
        <f t="shared" si="251"/>
        <v>-1652.97</v>
      </c>
      <c r="Q191" s="139">
        <f t="shared" si="247"/>
        <v>-2203.96</v>
      </c>
      <c r="R191" s="139">
        <v>-2203.96</v>
      </c>
      <c r="S191" s="170">
        <f t="shared" si="248"/>
        <v>0</v>
      </c>
      <c r="T191" s="168">
        <v>0</v>
      </c>
      <c r="U191" s="168">
        <v>0</v>
      </c>
      <c r="V191" s="168">
        <v>0</v>
      </c>
      <c r="W191" s="168">
        <v>0</v>
      </c>
      <c r="X191" s="168">
        <v>-72</v>
      </c>
      <c r="Y191" s="168">
        <v>0</v>
      </c>
      <c r="Z191" s="168">
        <v>-72</v>
      </c>
      <c r="AA191" s="168">
        <v>-198</v>
      </c>
      <c r="AB191" s="168">
        <v>-309.95999999999998</v>
      </c>
      <c r="AC191" s="168">
        <v>-250</v>
      </c>
      <c r="AD191" s="168">
        <v>-1122</v>
      </c>
      <c r="AE191" s="168">
        <v>-180</v>
      </c>
      <c r="AF191" s="139">
        <f t="shared" si="249"/>
        <v>-392.72727272727275</v>
      </c>
      <c r="AG191" s="139">
        <f t="shared" si="250"/>
        <v>392.72727272727275</v>
      </c>
    </row>
    <row r="192" spans="1:33" x14ac:dyDescent="0.25">
      <c r="A192" s="130" t="s">
        <v>141</v>
      </c>
      <c r="C192" s="139"/>
      <c r="D192" s="139"/>
      <c r="E192" s="139">
        <v>13404.37</v>
      </c>
      <c r="F192" s="139"/>
      <c r="G192" s="139"/>
      <c r="H192" s="139"/>
      <c r="I192" s="139"/>
      <c r="J192" s="139"/>
      <c r="K192" s="139"/>
      <c r="L192" s="139"/>
      <c r="M192" s="139"/>
      <c r="N192" s="139">
        <f t="shared" si="252"/>
        <v>13404.37</v>
      </c>
      <c r="O192" s="139"/>
      <c r="P192" s="139">
        <f t="shared" si="251"/>
        <v>596.40750000000003</v>
      </c>
      <c r="Q192" s="139">
        <f t="shared" si="247"/>
        <v>795.20999999999992</v>
      </c>
      <c r="R192" s="139">
        <v>795.20999999999992</v>
      </c>
      <c r="S192" s="170">
        <f t="shared" si="248"/>
        <v>0</v>
      </c>
      <c r="T192" s="168">
        <v>1.87</v>
      </c>
      <c r="U192" s="168">
        <v>0</v>
      </c>
      <c r="V192" s="168">
        <v>-115.12</v>
      </c>
      <c r="W192" s="168">
        <v>3216.06</v>
      </c>
      <c r="X192" s="168">
        <v>-2308</v>
      </c>
      <c r="Y192" s="168">
        <v>0</v>
      </c>
      <c r="Z192" s="168">
        <v>0</v>
      </c>
      <c r="AA192" s="168">
        <v>0</v>
      </c>
      <c r="AB192" s="168">
        <v>0</v>
      </c>
      <c r="AC192" s="168">
        <v>0</v>
      </c>
      <c r="AD192" s="168">
        <v>0.4</v>
      </c>
      <c r="AE192" s="168">
        <v>0</v>
      </c>
      <c r="AF192" s="139">
        <f t="shared" si="249"/>
        <v>1218.5790909090911</v>
      </c>
      <c r="AG192" s="139">
        <f t="shared" si="250"/>
        <v>-1218.5790909090911</v>
      </c>
    </row>
    <row r="193" spans="1:33" x14ac:dyDescent="0.25">
      <c r="A193" s="130" t="s">
        <v>142</v>
      </c>
      <c r="B193" s="139">
        <v>-635.88</v>
      </c>
      <c r="C193" s="139">
        <v>-2152.2399999999998</v>
      </c>
      <c r="D193" s="139">
        <v>-1933.91</v>
      </c>
      <c r="E193" s="139">
        <v>-403.05</v>
      </c>
      <c r="F193" s="139"/>
      <c r="G193" s="139"/>
      <c r="H193" s="139"/>
      <c r="I193" s="139"/>
      <c r="J193" s="139"/>
      <c r="K193" s="139"/>
      <c r="L193" s="139"/>
      <c r="M193" s="139"/>
      <c r="N193" s="139">
        <f t="shared" si="252"/>
        <v>-5125.08</v>
      </c>
      <c r="O193" s="139"/>
      <c r="P193" s="139">
        <f t="shared" si="251"/>
        <v>-23932.552500000002</v>
      </c>
      <c r="Q193" s="139">
        <f t="shared" si="247"/>
        <v>-31910.07</v>
      </c>
      <c r="R193" s="139">
        <v>-31910.07</v>
      </c>
      <c r="S193" s="170">
        <f t="shared" si="248"/>
        <v>0</v>
      </c>
      <c r="T193" s="168">
        <v>655.42</v>
      </c>
      <c r="U193" s="168">
        <v>-345.3</v>
      </c>
      <c r="V193" s="168">
        <v>-1325.46</v>
      </c>
      <c r="W193" s="168">
        <v>-3163.28</v>
      </c>
      <c r="X193" s="168">
        <v>-3813.42</v>
      </c>
      <c r="Y193" s="168">
        <v>-5151.74</v>
      </c>
      <c r="Z193" s="168">
        <v>-2238.48</v>
      </c>
      <c r="AA193" s="168">
        <v>-4687.5200000000004</v>
      </c>
      <c r="AB193" s="168">
        <v>-3915.61</v>
      </c>
      <c r="AC193" s="168">
        <v>-4595.1400000000003</v>
      </c>
      <c r="AD193" s="168">
        <v>-200.15</v>
      </c>
      <c r="AE193" s="168">
        <v>-3129.39</v>
      </c>
      <c r="AF193" s="139">
        <f t="shared" si="249"/>
        <v>-465.91636363636366</v>
      </c>
      <c r="AG193" s="139">
        <f t="shared" si="250"/>
        <v>465.91636363636366</v>
      </c>
    </row>
    <row r="194" spans="1:33" ht="15.6" customHeight="1" x14ac:dyDescent="0.25">
      <c r="A194" s="130" t="s">
        <v>143</v>
      </c>
      <c r="C194" s="139">
        <v>-33.75</v>
      </c>
      <c r="D194" s="139">
        <v>-12.5</v>
      </c>
      <c r="E194" s="139"/>
      <c r="F194" s="139"/>
      <c r="G194" s="139"/>
      <c r="H194" s="139"/>
      <c r="I194" s="139"/>
      <c r="J194" s="139"/>
      <c r="K194" s="139"/>
      <c r="L194" s="139"/>
      <c r="M194" s="139"/>
      <c r="N194" s="139">
        <f t="shared" si="252"/>
        <v>-46.25</v>
      </c>
      <c r="O194" s="139"/>
      <c r="P194" s="139">
        <f t="shared" si="251"/>
        <v>-268.125</v>
      </c>
      <c r="Q194" s="139">
        <f t="shared" si="247"/>
        <v>-357.5</v>
      </c>
      <c r="R194" s="139">
        <v>-357.5</v>
      </c>
      <c r="S194" s="170">
        <f t="shared" si="248"/>
        <v>0</v>
      </c>
      <c r="T194" s="168">
        <v>-260</v>
      </c>
      <c r="U194" s="168">
        <v>0</v>
      </c>
      <c r="V194" s="168">
        <v>-15</v>
      </c>
      <c r="W194" s="168">
        <f>-15</f>
        <v>-15</v>
      </c>
      <c r="X194" s="168">
        <v>0</v>
      </c>
      <c r="Y194" s="168">
        <v>0</v>
      </c>
      <c r="Z194" s="168">
        <v>-52.5</v>
      </c>
      <c r="AA194" s="168">
        <v>0</v>
      </c>
      <c r="AB194" s="168">
        <v>-15</v>
      </c>
      <c r="AC194" s="168">
        <v>0</v>
      </c>
      <c r="AD194" s="168">
        <v>0</v>
      </c>
      <c r="AE194" s="168">
        <v>0</v>
      </c>
      <c r="AF194" s="139">
        <f t="shared" si="249"/>
        <v>-4.2045454545454541</v>
      </c>
      <c r="AG194" s="139">
        <f t="shared" si="250"/>
        <v>4.2045454545454541</v>
      </c>
    </row>
    <row r="195" spans="1:33" ht="15.6" customHeight="1" x14ac:dyDescent="0.25">
      <c r="A195" s="130" t="s">
        <v>144</v>
      </c>
      <c r="B195" s="139">
        <v>195.38</v>
      </c>
      <c r="C195" s="139">
        <v>6564.27</v>
      </c>
      <c r="D195" s="139">
        <v>70.569999999999993</v>
      </c>
      <c r="E195" s="139"/>
      <c r="F195" s="139"/>
      <c r="G195" s="139"/>
      <c r="H195" s="139"/>
      <c r="I195" s="139"/>
      <c r="J195" s="139"/>
      <c r="K195" s="139"/>
      <c r="L195" s="139"/>
      <c r="M195" s="139"/>
      <c r="N195" s="139">
        <f t="shared" si="252"/>
        <v>6830.22</v>
      </c>
      <c r="O195" s="139"/>
      <c r="P195" s="139">
        <f t="shared" si="251"/>
        <v>131436.33750000002</v>
      </c>
      <c r="Q195" s="139">
        <f t="shared" si="247"/>
        <v>175248.45000000004</v>
      </c>
      <c r="R195" s="139">
        <v>175248.45000000004</v>
      </c>
      <c r="S195" s="170">
        <f t="shared" si="248"/>
        <v>0</v>
      </c>
      <c r="T195" s="168">
        <v>0</v>
      </c>
      <c r="U195" s="168">
        <v>0</v>
      </c>
      <c r="V195" s="168">
        <v>0</v>
      </c>
      <c r="W195" s="168">
        <v>168314.67</v>
      </c>
      <c r="X195" s="168">
        <v>0</v>
      </c>
      <c r="Y195" s="168">
        <v>1178.56</v>
      </c>
      <c r="Z195" s="168">
        <v>707.78</v>
      </c>
      <c r="AA195" s="168">
        <v>73.5</v>
      </c>
      <c r="AB195" s="168">
        <v>3004.54</v>
      </c>
      <c r="AC195" s="168">
        <v>336</v>
      </c>
      <c r="AD195" s="168">
        <v>1452.89</v>
      </c>
      <c r="AE195" s="168">
        <v>180.51</v>
      </c>
      <c r="AF195" s="139"/>
      <c r="AG195" s="139"/>
    </row>
    <row r="196" spans="1:33" ht="15.6" hidden="1" customHeight="1" x14ac:dyDescent="0.25">
      <c r="A196" s="130" t="s">
        <v>444</v>
      </c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>
        <f t="shared" si="252"/>
        <v>0</v>
      </c>
      <c r="O196" s="139"/>
      <c r="P196" s="139">
        <f t="shared" si="251"/>
        <v>9203.2049999999999</v>
      </c>
      <c r="Q196" s="139">
        <f t="shared" si="247"/>
        <v>12270.94</v>
      </c>
      <c r="R196" s="139">
        <v>12270.94</v>
      </c>
      <c r="S196" s="170">
        <f t="shared" si="248"/>
        <v>0</v>
      </c>
      <c r="U196" s="168"/>
      <c r="V196" s="168"/>
      <c r="W196" s="168"/>
      <c r="X196" s="168"/>
      <c r="Y196" s="168">
        <v>0</v>
      </c>
      <c r="Z196" s="168">
        <v>0</v>
      </c>
      <c r="AA196" s="168">
        <v>3682.32</v>
      </c>
      <c r="AB196" s="168">
        <v>3682.32</v>
      </c>
      <c r="AC196" s="168">
        <v>0</v>
      </c>
      <c r="AD196" s="168">
        <v>-3.46</v>
      </c>
      <c r="AE196" s="168">
        <v>4909.76</v>
      </c>
      <c r="AF196" s="139"/>
      <c r="AG196" s="139"/>
    </row>
    <row r="197" spans="1:33" ht="15.6" customHeight="1" x14ac:dyDescent="0.25">
      <c r="A197" s="130" t="s">
        <v>145</v>
      </c>
      <c r="B197" s="139">
        <v>1489191.55</v>
      </c>
      <c r="C197" s="139">
        <v>2172016.9</v>
      </c>
      <c r="D197" s="139">
        <v>13552857.99</v>
      </c>
      <c r="E197" s="139">
        <v>21954284.760000002</v>
      </c>
      <c r="F197" s="139"/>
      <c r="G197" s="139"/>
      <c r="H197" s="139"/>
      <c r="I197" s="139"/>
      <c r="J197" s="139"/>
      <c r="K197" s="139"/>
      <c r="L197" s="139"/>
      <c r="M197" s="139"/>
      <c r="N197" s="139">
        <f t="shared" si="252"/>
        <v>39168351.200000003</v>
      </c>
      <c r="O197" s="139"/>
      <c r="P197" s="139">
        <f t="shared" si="251"/>
        <v>7529634.6449999996</v>
      </c>
      <c r="Q197" s="139">
        <f t="shared" si="247"/>
        <v>10039512.859999999</v>
      </c>
      <c r="R197" s="139">
        <v>10039512.859999999</v>
      </c>
      <c r="S197" s="170">
        <f t="shared" si="248"/>
        <v>0</v>
      </c>
      <c r="T197" s="168">
        <v>0</v>
      </c>
      <c r="U197" s="168">
        <v>0</v>
      </c>
      <c r="V197" s="168">
        <v>0</v>
      </c>
      <c r="W197" s="168">
        <v>12675.04</v>
      </c>
      <c r="X197" s="168">
        <v>-0.02</v>
      </c>
      <c r="Y197" s="168">
        <v>0</v>
      </c>
      <c r="Z197" s="168">
        <v>164595.71</v>
      </c>
      <c r="AA197" s="168">
        <v>146739.68</v>
      </c>
      <c r="AB197" s="168">
        <v>2220349.09</v>
      </c>
      <c r="AC197" s="168">
        <v>1271914.67</v>
      </c>
      <c r="AD197" s="168">
        <v>3238726.03</v>
      </c>
      <c r="AE197" s="168">
        <v>2984512.66</v>
      </c>
      <c r="AF197" s="139"/>
      <c r="AG197" s="139"/>
    </row>
    <row r="198" spans="1:33" ht="15.6" customHeight="1" x14ac:dyDescent="0.25">
      <c r="A198" s="130" t="s">
        <v>615</v>
      </c>
      <c r="B198" s="139">
        <v>6294.86</v>
      </c>
      <c r="C198" s="139">
        <v>9606.1299999999992</v>
      </c>
      <c r="D198" s="139">
        <v>62346.28</v>
      </c>
      <c r="E198" s="139">
        <v>101305.61</v>
      </c>
      <c r="F198" s="139"/>
      <c r="G198" s="139"/>
      <c r="H198" s="139"/>
      <c r="I198" s="139"/>
      <c r="J198" s="139"/>
      <c r="K198" s="139"/>
      <c r="L198" s="139"/>
      <c r="M198" s="139"/>
      <c r="N198" s="139">
        <f t="shared" si="252"/>
        <v>179552.88</v>
      </c>
      <c r="O198" s="139"/>
      <c r="P198" s="139"/>
      <c r="Q198" s="139"/>
      <c r="R198" s="139"/>
      <c r="S198" s="170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39"/>
      <c r="AG198" s="139"/>
    </row>
    <row r="199" spans="1:33" ht="15.6" customHeight="1" x14ac:dyDescent="0.25">
      <c r="A199" s="130" t="s">
        <v>587</v>
      </c>
      <c r="B199" s="139">
        <v>35003.800000000003</v>
      </c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>
        <f t="shared" si="252"/>
        <v>35003.800000000003</v>
      </c>
      <c r="O199" s="139"/>
      <c r="P199" s="139"/>
      <c r="Q199" s="139"/>
      <c r="R199" s="139"/>
      <c r="S199" s="170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39"/>
      <c r="AG199" s="139"/>
    </row>
    <row r="200" spans="1:33" ht="15.6" customHeight="1" x14ac:dyDescent="0.25">
      <c r="A200" s="130" t="s">
        <v>438</v>
      </c>
      <c r="B200" s="139">
        <v>85519.42</v>
      </c>
      <c r="C200" s="139">
        <v>81802.81</v>
      </c>
      <c r="D200" s="139">
        <v>-2023626.13</v>
      </c>
      <c r="E200" s="139">
        <v>-2545195.8199999998</v>
      </c>
      <c r="F200" s="139"/>
      <c r="G200" s="139"/>
      <c r="H200" s="139"/>
      <c r="I200" s="139"/>
      <c r="J200" s="139"/>
      <c r="K200" s="139"/>
      <c r="L200" s="139"/>
      <c r="M200" s="139"/>
      <c r="N200" s="139">
        <f t="shared" si="252"/>
        <v>-4401499.72</v>
      </c>
      <c r="O200" s="139"/>
      <c r="P200" s="139">
        <f t="shared" si="251"/>
        <v>-33902.86500000002</v>
      </c>
      <c r="Q200" s="139">
        <f t="shared" si="247"/>
        <v>-45203.820000000029</v>
      </c>
      <c r="R200" s="139">
        <v>-45203.820000000029</v>
      </c>
      <c r="S200" s="170">
        <f t="shared" si="248"/>
        <v>0</v>
      </c>
      <c r="T200" s="168">
        <v>0</v>
      </c>
      <c r="U200" s="168">
        <v>0</v>
      </c>
      <c r="V200" s="168">
        <v>0</v>
      </c>
      <c r="W200" s="168">
        <v>0</v>
      </c>
      <c r="X200" s="168">
        <v>0</v>
      </c>
      <c r="Y200" s="168">
        <v>0</v>
      </c>
      <c r="Z200" s="168">
        <v>-4850.6000000000004</v>
      </c>
      <c r="AA200" s="168">
        <v>-8842.1</v>
      </c>
      <c r="AB200" s="168">
        <v>-211499.92</v>
      </c>
      <c r="AC200" s="168">
        <v>324145.44</v>
      </c>
      <c r="AD200" s="168">
        <v>-140290.01</v>
      </c>
      <c r="AE200" s="168">
        <v>-3866.63</v>
      </c>
      <c r="AF200" s="139"/>
      <c r="AG200" s="139"/>
    </row>
    <row r="201" spans="1:33" ht="15.6" customHeight="1" x14ac:dyDescent="0.25">
      <c r="A201" s="130" t="s">
        <v>577</v>
      </c>
      <c r="C201" s="139"/>
      <c r="D201" s="139">
        <v>2552.88</v>
      </c>
      <c r="E201" s="139">
        <v>5785.1</v>
      </c>
      <c r="F201" s="139"/>
      <c r="G201" s="139"/>
      <c r="H201" s="139"/>
      <c r="I201" s="139"/>
      <c r="J201" s="139"/>
      <c r="K201" s="139"/>
      <c r="L201" s="139"/>
      <c r="M201" s="139"/>
      <c r="N201" s="139">
        <f t="shared" si="252"/>
        <v>8337.98</v>
      </c>
      <c r="O201" s="139"/>
      <c r="P201" s="139"/>
      <c r="Q201" s="139"/>
      <c r="R201" s="139"/>
      <c r="S201" s="170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39"/>
      <c r="AG201" s="139"/>
    </row>
    <row r="202" spans="1:33" ht="15.6" hidden="1" customHeight="1" x14ac:dyDescent="0.25">
      <c r="A202" s="130" t="s">
        <v>445</v>
      </c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>
        <f t="shared" si="252"/>
        <v>0</v>
      </c>
      <c r="O202" s="139"/>
      <c r="P202" s="139">
        <f t="shared" si="251"/>
        <v>7175.6549999999997</v>
      </c>
      <c r="Q202" s="139">
        <f t="shared" si="247"/>
        <v>9567.5399999999991</v>
      </c>
      <c r="R202" s="139">
        <v>9567.5399999999991</v>
      </c>
      <c r="S202" s="170">
        <f t="shared" si="248"/>
        <v>0</v>
      </c>
      <c r="U202" s="168"/>
      <c r="V202" s="168"/>
      <c r="W202" s="168"/>
      <c r="X202" s="168"/>
      <c r="Y202" s="168">
        <v>0</v>
      </c>
      <c r="Z202" s="168">
        <v>0</v>
      </c>
      <c r="AA202" s="168">
        <v>-686.87</v>
      </c>
      <c r="AB202" s="168">
        <v>-1890.15</v>
      </c>
      <c r="AC202" s="168">
        <v>0</v>
      </c>
      <c r="AD202" s="168">
        <v>8135.59</v>
      </c>
      <c r="AE202" s="168">
        <v>4008.97</v>
      </c>
      <c r="AF202" s="139"/>
      <c r="AG202" s="139"/>
    </row>
    <row r="203" spans="1:33" ht="15.6" hidden="1" customHeight="1" x14ac:dyDescent="0.25">
      <c r="A203" s="130" t="s">
        <v>418</v>
      </c>
      <c r="C203" s="139"/>
      <c r="D203" s="139"/>
      <c r="E203" s="139">
        <v>0</v>
      </c>
      <c r="F203" s="139"/>
      <c r="G203" s="139"/>
      <c r="H203" s="139"/>
      <c r="I203" s="139"/>
      <c r="J203" s="139"/>
      <c r="K203" s="139"/>
      <c r="L203" s="139"/>
      <c r="M203" s="139"/>
      <c r="N203" s="139">
        <f t="shared" si="252"/>
        <v>0</v>
      </c>
      <c r="O203" s="139"/>
      <c r="P203" s="139">
        <f t="shared" ref="P203" si="253">Q203/12*$P$3</f>
        <v>68.475000000000009</v>
      </c>
      <c r="Q203" s="139">
        <f t="shared" si="247"/>
        <v>91.300000000000011</v>
      </c>
      <c r="R203" s="139">
        <v>91.300000000000011</v>
      </c>
      <c r="S203" s="170">
        <f t="shared" si="248"/>
        <v>0</v>
      </c>
      <c r="T203" s="168">
        <v>0</v>
      </c>
      <c r="U203" s="168">
        <v>0</v>
      </c>
      <c r="V203" s="168">
        <v>0</v>
      </c>
      <c r="W203" s="168">
        <v>0</v>
      </c>
      <c r="X203" s="168">
        <v>0</v>
      </c>
      <c r="Y203" s="168">
        <v>29.46</v>
      </c>
      <c r="Z203" s="168">
        <v>61.84</v>
      </c>
      <c r="AA203" s="168">
        <v>0</v>
      </c>
      <c r="AB203" s="168">
        <v>0</v>
      </c>
      <c r="AC203" s="168">
        <v>0</v>
      </c>
      <c r="AD203" s="168">
        <v>0</v>
      </c>
      <c r="AE203" s="168">
        <v>0</v>
      </c>
      <c r="AF203" s="139"/>
      <c r="AG203" s="139"/>
    </row>
    <row r="204" spans="1:33" ht="15.6" hidden="1" customHeight="1" x14ac:dyDescent="0.25">
      <c r="A204" s="130" t="s">
        <v>419</v>
      </c>
      <c r="C204" s="139"/>
      <c r="D204" s="139"/>
      <c r="E204" s="139">
        <v>0</v>
      </c>
      <c r="F204" s="139"/>
      <c r="G204" s="139"/>
      <c r="H204" s="139"/>
      <c r="I204" s="139"/>
      <c r="J204" s="139"/>
      <c r="K204" s="139"/>
      <c r="L204" s="139"/>
      <c r="M204" s="139"/>
      <c r="N204" s="139">
        <f t="shared" si="252"/>
        <v>0</v>
      </c>
      <c r="O204" s="139"/>
      <c r="P204" s="139">
        <f t="shared" ref="P204:P206" si="254">Q204/12*$P$3</f>
        <v>-1882.7550000000001</v>
      </c>
      <c r="Q204" s="139">
        <f t="shared" ref="Q204:Q206" si="255">R204</f>
        <v>-2510.34</v>
      </c>
      <c r="R204" s="139">
        <v>-2510.34</v>
      </c>
      <c r="S204" s="170">
        <f t="shared" si="248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0</v>
      </c>
      <c r="Z204" s="168">
        <v>100.32</v>
      </c>
      <c r="AA204" s="168">
        <v>-1577.17</v>
      </c>
      <c r="AB204" s="168">
        <v>81.47</v>
      </c>
      <c r="AC204" s="168">
        <v>-732.39</v>
      </c>
      <c r="AD204" s="168">
        <v>0</v>
      </c>
      <c r="AE204" s="168">
        <v>-382.57</v>
      </c>
      <c r="AF204" s="139"/>
      <c r="AG204" s="139"/>
    </row>
    <row r="205" spans="1:33" ht="15.6" hidden="1" customHeight="1" x14ac:dyDescent="0.25">
      <c r="A205" s="130" t="s">
        <v>434</v>
      </c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>
        <f t="shared" si="252"/>
        <v>0</v>
      </c>
      <c r="O205" s="139"/>
      <c r="P205" s="139">
        <f t="shared" si="254"/>
        <v>126</v>
      </c>
      <c r="Q205" s="139">
        <f t="shared" si="255"/>
        <v>168</v>
      </c>
      <c r="R205" s="139">
        <v>168</v>
      </c>
      <c r="S205" s="170">
        <f t="shared" si="248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168</v>
      </c>
      <c r="AA205" s="168">
        <v>0</v>
      </c>
      <c r="AB205" s="168">
        <v>0</v>
      </c>
      <c r="AC205" s="168">
        <v>0</v>
      </c>
      <c r="AD205" s="168">
        <v>0</v>
      </c>
      <c r="AE205" s="168">
        <v>0</v>
      </c>
      <c r="AF205" s="139"/>
      <c r="AG205" s="139"/>
    </row>
    <row r="206" spans="1:33" ht="15.6" hidden="1" customHeight="1" x14ac:dyDescent="0.25">
      <c r="A206" s="130" t="s">
        <v>522</v>
      </c>
      <c r="C206" s="139"/>
      <c r="D206" s="139"/>
      <c r="E206" s="139">
        <v>0</v>
      </c>
      <c r="F206" s="139"/>
      <c r="G206" s="139"/>
      <c r="H206" s="139"/>
      <c r="I206" s="139"/>
      <c r="J206" s="139"/>
      <c r="K206" s="139"/>
      <c r="L206" s="139"/>
      <c r="M206" s="139"/>
      <c r="N206" s="139">
        <f t="shared" si="252"/>
        <v>0</v>
      </c>
      <c r="O206" s="139"/>
      <c r="P206" s="139">
        <f t="shared" si="254"/>
        <v>78.802499999999995</v>
      </c>
      <c r="Q206" s="139">
        <f t="shared" si="255"/>
        <v>105.07000000000001</v>
      </c>
      <c r="R206" s="139">
        <v>105.07000000000001</v>
      </c>
      <c r="S206" s="170">
        <f t="shared" ref="S206:S273" si="256">R206-SUM(T206:AE206)</f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0</v>
      </c>
      <c r="AA206" s="168">
        <v>0</v>
      </c>
      <c r="AB206" s="168">
        <v>0</v>
      </c>
      <c r="AC206" s="168">
        <v>0</v>
      </c>
      <c r="AD206" s="168">
        <v>-45.83</v>
      </c>
      <c r="AE206" s="168">
        <v>150.9</v>
      </c>
      <c r="AF206" s="139"/>
      <c r="AG206" s="139"/>
    </row>
    <row r="207" spans="1:33" s="138" customFormat="1" x14ac:dyDescent="0.25">
      <c r="A207" s="138" t="s">
        <v>146</v>
      </c>
      <c r="B207" s="158">
        <f>SUM(B136:B206)</f>
        <v>500536895.93000019</v>
      </c>
      <c r="C207" s="158">
        <f t="shared" ref="C207:M207" si="257">SUM(C136:C206)</f>
        <v>950101870.05999923</v>
      </c>
      <c r="D207" s="158">
        <f t="shared" si="257"/>
        <v>531408110.07999945</v>
      </c>
      <c r="E207" s="158">
        <f t="shared" si="257"/>
        <v>446742611.20000005</v>
      </c>
      <c r="F207" s="158">
        <f t="shared" si="257"/>
        <v>0</v>
      </c>
      <c r="G207" s="158">
        <f t="shared" si="257"/>
        <v>0</v>
      </c>
      <c r="H207" s="158">
        <f t="shared" si="257"/>
        <v>0</v>
      </c>
      <c r="I207" s="158">
        <f>SUM(I136:I206)</f>
        <v>0</v>
      </c>
      <c r="J207" s="158">
        <f t="shared" si="257"/>
        <v>0</v>
      </c>
      <c r="K207" s="158">
        <f t="shared" si="257"/>
        <v>0</v>
      </c>
      <c r="L207" s="158">
        <f t="shared" si="257"/>
        <v>0</v>
      </c>
      <c r="M207" s="158">
        <f t="shared" si="257"/>
        <v>0</v>
      </c>
      <c r="N207" s="158">
        <f>SUM(N136:N206)</f>
        <v>2428789487.2700019</v>
      </c>
      <c r="O207" s="158"/>
      <c r="P207" s="158">
        <f>SUM(P136:P206)</f>
        <v>3510553456.462502</v>
      </c>
      <c r="Q207" s="158">
        <f>SUM(Q136:Q206)</f>
        <v>4680737941.9499979</v>
      </c>
      <c r="R207" s="158">
        <v>4680737941.9499979</v>
      </c>
      <c r="S207" s="170">
        <f t="shared" si="256"/>
        <v>0</v>
      </c>
      <c r="T207" s="183">
        <f>SUM(T136:T206)</f>
        <v>584692821.1099999</v>
      </c>
      <c r="U207" s="183">
        <f t="shared" ref="U207:X207" si="258">SUM(U136:U204)</f>
        <v>1326064718.7600005</v>
      </c>
      <c r="V207" s="183">
        <f t="shared" si="258"/>
        <v>407886159.28000009</v>
      </c>
      <c r="W207" s="183">
        <f>SUM(W136:W206)</f>
        <v>144492603.92999986</v>
      </c>
      <c r="X207" s="183">
        <f t="shared" si="258"/>
        <v>212099725.4200002</v>
      </c>
      <c r="Y207" s="183">
        <f t="shared" ref="Y207:AD207" si="259">SUM(Y136:Y206)</f>
        <v>355772504.34000009</v>
      </c>
      <c r="Z207" s="183">
        <f t="shared" si="259"/>
        <v>291293762.78999996</v>
      </c>
      <c r="AA207" s="183">
        <f t="shared" si="259"/>
        <v>454018087.06999999</v>
      </c>
      <c r="AB207" s="183">
        <f t="shared" si="259"/>
        <v>336223545.79000008</v>
      </c>
      <c r="AC207" s="183">
        <f t="shared" si="259"/>
        <v>149782494.22999993</v>
      </c>
      <c r="AD207" s="183">
        <f t="shared" si="259"/>
        <v>225484150.4199999</v>
      </c>
      <c r="AE207" s="183">
        <f>SUM(AE136:AE206)</f>
        <v>192927368.80999973</v>
      </c>
      <c r="AF207" s="158">
        <f t="shared" si="249"/>
        <v>220799044.29727289</v>
      </c>
      <c r="AG207" s="158">
        <f t="shared" si="250"/>
        <v>-220799044.29727289</v>
      </c>
    </row>
    <row r="208" spans="1:33" s="138" customFormat="1" ht="15.75" thickBot="1" x14ac:dyDescent="0.3">
      <c r="A208" s="138" t="s">
        <v>147</v>
      </c>
      <c r="B208" s="157">
        <f t="shared" ref="B208:G208" si="260">B134-B207</f>
        <v>1142136.4899998307</v>
      </c>
      <c r="C208" s="157">
        <f t="shared" si="260"/>
        <v>1029060.6400009394</v>
      </c>
      <c r="D208" s="157">
        <f t="shared" si="260"/>
        <v>7174856.1400005817</v>
      </c>
      <c r="E208" s="157">
        <f t="shared" si="260"/>
        <v>13053228.139999866</v>
      </c>
      <c r="F208" s="157">
        <f t="shared" si="260"/>
        <v>0</v>
      </c>
      <c r="G208" s="157">
        <f t="shared" si="260"/>
        <v>0</v>
      </c>
      <c r="H208" s="157">
        <f t="shared" ref="H208" si="261">H134-H207</f>
        <v>0</v>
      </c>
      <c r="I208" s="157">
        <f>I134-I207</f>
        <v>0</v>
      </c>
      <c r="J208" s="157">
        <f>J134-J207</f>
        <v>0</v>
      </c>
      <c r="K208" s="157">
        <f>K134-K207</f>
        <v>0</v>
      </c>
      <c r="L208" s="157">
        <f>L134-L207</f>
        <v>0</v>
      </c>
      <c r="M208" s="157">
        <f>M134-M207</f>
        <v>0</v>
      </c>
      <c r="N208" s="157">
        <f>SUM(B208:M208)</f>
        <v>22399281.410001218</v>
      </c>
      <c r="O208" s="157"/>
      <c r="P208" s="157">
        <f t="shared" ref="P208" si="262">P134-P207</f>
        <v>4166650.4474983215</v>
      </c>
      <c r="Q208" s="157">
        <f>Q134-Q207</f>
        <v>5555533.9300031662</v>
      </c>
      <c r="R208" s="157">
        <v>5555533.9299998283</v>
      </c>
      <c r="S208" s="170">
        <f t="shared" si="256"/>
        <v>0</v>
      </c>
      <c r="T208" s="182">
        <f t="shared" ref="T208:Z208" si="263">T134-T207</f>
        <v>697510.16000008583</v>
      </c>
      <c r="U208" s="182">
        <f t="shared" si="263"/>
        <v>624547.37999987602</v>
      </c>
      <c r="V208" s="182">
        <f t="shared" si="263"/>
        <v>769919.81999999285</v>
      </c>
      <c r="W208" s="182">
        <f t="shared" si="263"/>
        <v>477580.01000010967</v>
      </c>
      <c r="X208" s="182">
        <f t="shared" si="263"/>
        <v>386606.16999977827</v>
      </c>
      <c r="Y208" s="182">
        <f t="shared" si="263"/>
        <v>532374.25999993086</v>
      </c>
      <c r="Z208" s="182">
        <f t="shared" si="263"/>
        <v>339887.33999991417</v>
      </c>
      <c r="AA208" s="182">
        <f>AA134-AA207</f>
        <v>406594.80999988317</v>
      </c>
      <c r="AB208" s="182">
        <f>AB134-AB207</f>
        <v>328169.66999995708</v>
      </c>
      <c r="AC208" s="182">
        <f>AC134-AC207</f>
        <v>519535.71999999881</v>
      </c>
      <c r="AD208" s="182">
        <f>AD134-AD207</f>
        <v>199948.67000007629</v>
      </c>
      <c r="AE208" s="182">
        <f>AE134-AE207</f>
        <v>272859.92000022531</v>
      </c>
      <c r="AF208" s="157">
        <f t="shared" si="249"/>
        <v>2036298.3100001107</v>
      </c>
      <c r="AG208" s="157">
        <f t="shared" si="250"/>
        <v>-2036298.3100001107</v>
      </c>
    </row>
    <row r="209" spans="1:33" ht="15.75" thickTop="1" x14ac:dyDescent="0.25"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70">
        <f t="shared" si="256"/>
        <v>0</v>
      </c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39">
        <f t="shared" si="249"/>
        <v>0</v>
      </c>
      <c r="AG209" s="139">
        <f t="shared" si="250"/>
        <v>0</v>
      </c>
    </row>
    <row r="210" spans="1:33" x14ac:dyDescent="0.25">
      <c r="A210" s="130" t="s">
        <v>148</v>
      </c>
      <c r="B210" s="139">
        <v>255630.22</v>
      </c>
      <c r="C210" s="139">
        <v>216623.98</v>
      </c>
      <c r="D210" s="139">
        <v>243584.49</v>
      </c>
      <c r="E210" s="139">
        <v>299593.62</v>
      </c>
      <c r="F210" s="139"/>
      <c r="G210" s="139"/>
      <c r="H210" s="139"/>
      <c r="I210" s="139"/>
      <c r="J210" s="139"/>
      <c r="K210" s="139"/>
      <c r="L210" s="139"/>
      <c r="M210" s="139"/>
      <c r="N210" s="139">
        <f t="shared" ref="N210:N223" si="264">SUM(B210:M210)</f>
        <v>1015432.3099999999</v>
      </c>
      <c r="O210" s="139"/>
      <c r="P210" s="139">
        <f>Q210/12*$P$3</f>
        <v>1955056.6875</v>
      </c>
      <c r="Q210" s="139">
        <f>R210</f>
        <v>2606742.25</v>
      </c>
      <c r="R210" s="139">
        <v>2606742.25</v>
      </c>
      <c r="S210" s="170">
        <f t="shared" si="256"/>
        <v>0</v>
      </c>
      <c r="T210" s="168">
        <v>321540.08</v>
      </c>
      <c r="U210" s="168">
        <v>265057.82</v>
      </c>
      <c r="V210" s="168">
        <v>284816.11</v>
      </c>
      <c r="W210" s="168">
        <v>286945.63</v>
      </c>
      <c r="X210" s="168">
        <v>338930.51</v>
      </c>
      <c r="Y210" s="168">
        <v>336452.67</v>
      </c>
      <c r="Z210" s="168">
        <v>332380.34000000003</v>
      </c>
      <c r="AA210" s="168">
        <v>332790.09000000003</v>
      </c>
      <c r="AB210" s="168">
        <v>-648016.48</v>
      </c>
      <c r="AC210" s="168">
        <v>241846.34</v>
      </c>
      <c r="AD210" s="168">
        <v>170686.83</v>
      </c>
      <c r="AE210" s="168">
        <v>343312.31</v>
      </c>
      <c r="AF210" s="139">
        <f t="shared" si="249"/>
        <v>92312.028181818183</v>
      </c>
      <c r="AG210" s="139">
        <f t="shared" si="250"/>
        <v>-92312.028181818183</v>
      </c>
    </row>
    <row r="211" spans="1:33" x14ac:dyDescent="0.25">
      <c r="A211" s="130" t="s">
        <v>149</v>
      </c>
      <c r="B211" s="139">
        <v>16519.900000000001</v>
      </c>
      <c r="C211" s="139">
        <v>16524.07</v>
      </c>
      <c r="D211" s="139">
        <v>3016622.4</v>
      </c>
      <c r="E211" s="139">
        <v>19464.580000000002</v>
      </c>
      <c r="F211" s="139"/>
      <c r="G211" s="139"/>
      <c r="H211" s="139"/>
      <c r="I211" s="139"/>
      <c r="J211" s="139"/>
      <c r="K211" s="139"/>
      <c r="L211" s="139"/>
      <c r="M211" s="139"/>
      <c r="N211" s="139">
        <f t="shared" si="264"/>
        <v>3069130.95</v>
      </c>
      <c r="O211" s="139"/>
      <c r="P211" s="139">
        <f t="shared" ref="P211:P223" si="265">Q211/12*$P$3</f>
        <v>119681.73</v>
      </c>
      <c r="Q211" s="139">
        <f>13297.97*12</f>
        <v>159575.63999999998</v>
      </c>
      <c r="R211" s="139">
        <v>286.27999999999997</v>
      </c>
      <c r="S211" s="170">
        <f t="shared" si="256"/>
        <v>0</v>
      </c>
      <c r="T211" s="168">
        <v>0</v>
      </c>
      <c r="U211" s="168">
        <v>0</v>
      </c>
      <c r="V211" s="168">
        <v>0</v>
      </c>
      <c r="W211" s="168">
        <v>0</v>
      </c>
      <c r="X211" s="168">
        <v>0</v>
      </c>
      <c r="Y211" s="168">
        <v>0</v>
      </c>
      <c r="Z211" s="168">
        <v>0</v>
      </c>
      <c r="AA211" s="168">
        <v>0</v>
      </c>
      <c r="AB211" s="168">
        <v>0</v>
      </c>
      <c r="AC211" s="168"/>
      <c r="AD211" s="168">
        <v>0</v>
      </c>
      <c r="AE211" s="168">
        <v>286.27999999999997</v>
      </c>
      <c r="AF211" s="139">
        <f t="shared" si="249"/>
        <v>279011.90454545454</v>
      </c>
      <c r="AG211" s="139">
        <f t="shared" si="250"/>
        <v>-279011.90454545454</v>
      </c>
    </row>
    <row r="212" spans="1:33" x14ac:dyDescent="0.25">
      <c r="A212" s="130" t="s">
        <v>150</v>
      </c>
      <c r="B212" s="139">
        <v>1728.59</v>
      </c>
      <c r="C212" s="139">
        <v>1527</v>
      </c>
      <c r="D212" s="139">
        <v>1527</v>
      </c>
      <c r="E212" s="139">
        <v>1689.88</v>
      </c>
      <c r="F212" s="139"/>
      <c r="G212" s="139"/>
      <c r="H212" s="139"/>
      <c r="I212" s="139"/>
      <c r="J212" s="139"/>
      <c r="K212" s="139"/>
      <c r="L212" s="139"/>
      <c r="M212" s="139"/>
      <c r="N212" s="139">
        <f t="shared" si="264"/>
        <v>6472.47</v>
      </c>
      <c r="O212" s="139"/>
      <c r="P212" s="139">
        <f t="shared" si="265"/>
        <v>28710.75</v>
      </c>
      <c r="Q212" s="139">
        <f t="shared" ref="Q212:Q223" si="266">R212</f>
        <v>38281</v>
      </c>
      <c r="R212" s="139">
        <v>38281</v>
      </c>
      <c r="S212" s="170">
        <f t="shared" si="256"/>
        <v>0</v>
      </c>
      <c r="T212" s="168">
        <v>0</v>
      </c>
      <c r="U212" s="168">
        <v>4088</v>
      </c>
      <c r="V212" s="168">
        <v>4088</v>
      </c>
      <c r="W212" s="168">
        <v>4088</v>
      </c>
      <c r="X212" s="168">
        <v>4088</v>
      </c>
      <c r="Y212" s="168">
        <v>-2599</v>
      </c>
      <c r="Z212" s="168">
        <f>[5]Sheet1!$R$95</f>
        <v>4088</v>
      </c>
      <c r="AA212" s="168">
        <v>4088</v>
      </c>
      <c r="AB212" s="168">
        <v>4088</v>
      </c>
      <c r="AC212" s="168">
        <v>4088</v>
      </c>
      <c r="AD212" s="168">
        <v>4088</v>
      </c>
      <c r="AE212" s="168">
        <v>4088</v>
      </c>
      <c r="AF212" s="139">
        <f t="shared" si="249"/>
        <v>588.40636363636361</v>
      </c>
      <c r="AG212" s="139">
        <f t="shared" si="250"/>
        <v>-588.40636363636361</v>
      </c>
    </row>
    <row r="213" spans="1:33" x14ac:dyDescent="0.25">
      <c r="A213" s="130" t="s">
        <v>151</v>
      </c>
      <c r="B213" s="139">
        <v>27396.19</v>
      </c>
      <c r="C213" s="139">
        <v>20619.91</v>
      </c>
      <c r="D213" s="139">
        <v>18476.86</v>
      </c>
      <c r="E213" s="139">
        <v>17216.77</v>
      </c>
      <c r="F213" s="139"/>
      <c r="G213" s="139"/>
      <c r="H213" s="139"/>
      <c r="I213" s="139"/>
      <c r="J213" s="139"/>
      <c r="K213" s="139"/>
      <c r="L213" s="139"/>
      <c r="M213" s="139"/>
      <c r="N213" s="139">
        <f t="shared" si="264"/>
        <v>83709.73</v>
      </c>
      <c r="O213" s="139"/>
      <c r="P213" s="139">
        <f t="shared" si="265"/>
        <v>157327.73249999998</v>
      </c>
      <c r="Q213" s="139">
        <f t="shared" si="266"/>
        <v>209770.30999999997</v>
      </c>
      <c r="R213" s="139">
        <v>209770.30999999997</v>
      </c>
      <c r="S213" s="170">
        <f t="shared" si="256"/>
        <v>0</v>
      </c>
      <c r="T213" s="168">
        <v>34485.919999999998</v>
      </c>
      <c r="U213" s="168">
        <v>25848.55</v>
      </c>
      <c r="V213" s="168">
        <v>25451.64</v>
      </c>
      <c r="W213" s="168">
        <v>26482.85</v>
      </c>
      <c r="X213" s="168">
        <v>27594.59</v>
      </c>
      <c r="Y213" s="168">
        <v>26155.119999999999</v>
      </c>
      <c r="Z213" s="168">
        <f>[5]Sheet1!$R$96</f>
        <v>24572.799999999999</v>
      </c>
      <c r="AA213" s="168">
        <v>24177.29</v>
      </c>
      <c r="AB213" s="168">
        <v>-60236.23</v>
      </c>
      <c r="AC213" s="168">
        <v>15408.87</v>
      </c>
      <c r="AD213" s="168">
        <v>10816.19</v>
      </c>
      <c r="AE213" s="168">
        <v>29012.720000000001</v>
      </c>
      <c r="AF213" s="139">
        <f t="shared" si="249"/>
        <v>7609.9754545454543</v>
      </c>
      <c r="AG213" s="139">
        <f t="shared" si="250"/>
        <v>-7609.9754545454543</v>
      </c>
    </row>
    <row r="214" spans="1:33" x14ac:dyDescent="0.25">
      <c r="A214" s="130" t="s">
        <v>152</v>
      </c>
      <c r="B214" s="139">
        <v>29558.63</v>
      </c>
      <c r="C214" s="139">
        <v>17934.46</v>
      </c>
      <c r="D214" s="139">
        <v>23667.96</v>
      </c>
      <c r="E214" s="139">
        <v>28283.11</v>
      </c>
      <c r="F214" s="139"/>
      <c r="G214" s="139"/>
      <c r="H214" s="139"/>
      <c r="I214" s="139"/>
      <c r="J214" s="139"/>
      <c r="K214" s="139"/>
      <c r="L214" s="139"/>
      <c r="M214" s="139"/>
      <c r="N214" s="139">
        <f t="shared" si="264"/>
        <v>99444.159999999989</v>
      </c>
      <c r="O214" s="139"/>
      <c r="P214" s="139">
        <f t="shared" si="265"/>
        <v>202311</v>
      </c>
      <c r="Q214" s="139">
        <f>22479*12</f>
        <v>269748</v>
      </c>
      <c r="R214" s="139">
        <v>223406.7</v>
      </c>
      <c r="S214" s="170">
        <f t="shared" si="256"/>
        <v>0</v>
      </c>
      <c r="T214" s="168">
        <v>34701.300000000003</v>
      </c>
      <c r="U214" s="168">
        <v>29078.31</v>
      </c>
      <c r="V214" s="168">
        <v>14776.7</v>
      </c>
      <c r="W214" s="168">
        <v>22093.19</v>
      </c>
      <c r="X214" s="168">
        <v>36544.94</v>
      </c>
      <c r="Y214" s="168">
        <v>29148.65</v>
      </c>
      <c r="Z214" s="168">
        <f>[5]Sheet1!$R$97</f>
        <v>26044.41</v>
      </c>
      <c r="AA214" s="168">
        <v>23927.88</v>
      </c>
      <c r="AB214" s="168">
        <v>-43787.11</v>
      </c>
      <c r="AC214" s="168">
        <v>17362.52</v>
      </c>
      <c r="AD214" s="168">
        <v>16364.54</v>
      </c>
      <c r="AE214" s="168">
        <v>17151.37</v>
      </c>
      <c r="AF214" s="139">
        <f t="shared" si="249"/>
        <v>9040.3781818181815</v>
      </c>
      <c r="AG214" s="139">
        <f t="shared" si="250"/>
        <v>-9040.3781818181815</v>
      </c>
    </row>
    <row r="215" spans="1:33" x14ac:dyDescent="0.25">
      <c r="A215" s="130" t="s">
        <v>153</v>
      </c>
      <c r="B215" s="139">
        <v>4298.12</v>
      </c>
      <c r="C215" s="139">
        <v>4221.6099999999997</v>
      </c>
      <c r="D215" s="139">
        <v>4184.8500000000004</v>
      </c>
      <c r="E215" s="139">
        <v>5364.48</v>
      </c>
      <c r="F215" s="139"/>
      <c r="G215" s="139"/>
      <c r="H215" s="139"/>
      <c r="I215" s="139"/>
      <c r="J215" s="139"/>
      <c r="K215" s="139"/>
      <c r="L215" s="139"/>
      <c r="M215" s="139"/>
      <c r="N215" s="139">
        <f>SUM(B215:M215)</f>
        <v>18069.059999999998</v>
      </c>
      <c r="O215" s="139"/>
      <c r="P215" s="139">
        <f t="shared" si="265"/>
        <v>29250</v>
      </c>
      <c r="Q215" s="139">
        <v>39000</v>
      </c>
      <c r="R215" s="139">
        <v>31540.97</v>
      </c>
      <c r="S215" s="170">
        <f t="shared" si="256"/>
        <v>0</v>
      </c>
      <c r="T215" s="168">
        <v>3985.86</v>
      </c>
      <c r="U215" s="168">
        <v>4106.21</v>
      </c>
      <c r="V215" s="168">
        <v>4155.76</v>
      </c>
      <c r="W215" s="168">
        <v>3572.78</v>
      </c>
      <c r="X215" s="168">
        <v>2661.9</v>
      </c>
      <c r="Y215" s="168">
        <v>4701.25</v>
      </c>
      <c r="Z215" s="168">
        <f>[5]Sheet1!$R$98</f>
        <v>4559.01</v>
      </c>
      <c r="AA215" s="168">
        <v>4006.17</v>
      </c>
      <c r="AB215" s="168">
        <v>-8718.48</v>
      </c>
      <c r="AC215" s="184">
        <v>2920.76</v>
      </c>
      <c r="AD215" s="168">
        <v>2800.78</v>
      </c>
      <c r="AE215" s="168">
        <v>2788.97</v>
      </c>
      <c r="AF215" s="139">
        <f t="shared" si="249"/>
        <v>1642.6418181818181</v>
      </c>
      <c r="AG215" s="139">
        <f t="shared" si="250"/>
        <v>-1642.6418181818181</v>
      </c>
    </row>
    <row r="216" spans="1:33" x14ac:dyDescent="0.25">
      <c r="A216" s="130" t="s">
        <v>154</v>
      </c>
      <c r="B216" s="139">
        <v>4762.0600000000004</v>
      </c>
      <c r="C216" s="139">
        <v>3530.77</v>
      </c>
      <c r="D216" s="139">
        <v>3506.6</v>
      </c>
      <c r="E216" s="139">
        <v>70533.47</v>
      </c>
      <c r="F216" s="139"/>
      <c r="G216" s="139"/>
      <c r="H216" s="139"/>
      <c r="I216" s="139"/>
      <c r="J216" s="139"/>
      <c r="K216" s="139"/>
      <c r="L216" s="139"/>
      <c r="M216" s="139"/>
      <c r="N216" s="139">
        <f t="shared" si="264"/>
        <v>82332.899999999994</v>
      </c>
      <c r="O216" s="139"/>
      <c r="P216" s="139">
        <f t="shared" si="265"/>
        <v>90000</v>
      </c>
      <c r="Q216" s="139">
        <v>120000</v>
      </c>
      <c r="R216" s="139">
        <v>77546.92</v>
      </c>
      <c r="S216" s="170">
        <f t="shared" si="256"/>
        <v>0</v>
      </c>
      <c r="T216" s="168">
        <v>9167</v>
      </c>
      <c r="U216" s="168">
        <v>9167</v>
      </c>
      <c r="V216" s="168">
        <v>9167</v>
      </c>
      <c r="W216" s="168">
        <v>9167</v>
      </c>
      <c r="X216" s="168">
        <v>9167</v>
      </c>
      <c r="Y216" s="168">
        <v>8600</v>
      </c>
      <c r="Z216" s="168">
        <f>[5]Sheet1!$R$99</f>
        <v>8600</v>
      </c>
      <c r="AA216" s="168">
        <v>8600</v>
      </c>
      <c r="AB216" s="168">
        <v>-19312.41</v>
      </c>
      <c r="AC216" s="168">
        <v>5621.19</v>
      </c>
      <c r="AD216" s="168">
        <v>5498.79</v>
      </c>
      <c r="AE216" s="168">
        <v>14104.35</v>
      </c>
      <c r="AF216" s="139">
        <f t="shared" si="249"/>
        <v>7484.8090909090906</v>
      </c>
      <c r="AG216" s="139">
        <f t="shared" si="250"/>
        <v>-7484.8090909090906</v>
      </c>
    </row>
    <row r="217" spans="1:33" x14ac:dyDescent="0.25">
      <c r="A217" s="130" t="s">
        <v>155</v>
      </c>
      <c r="C217" s="139">
        <v>159.38</v>
      </c>
      <c r="D217" s="139">
        <v>732.82</v>
      </c>
      <c r="E217" s="139">
        <v>-441.82</v>
      </c>
      <c r="F217" s="139"/>
      <c r="G217" s="139"/>
      <c r="H217" s="139"/>
      <c r="I217" s="139"/>
      <c r="J217" s="139"/>
      <c r="K217" s="139"/>
      <c r="L217" s="139"/>
      <c r="M217" s="139"/>
      <c r="N217" s="139">
        <f t="shared" si="264"/>
        <v>450.38000000000005</v>
      </c>
      <c r="O217" s="139"/>
      <c r="P217" s="139">
        <f t="shared" si="265"/>
        <v>9000</v>
      </c>
      <c r="Q217" s="139">
        <v>12000</v>
      </c>
      <c r="R217" s="139">
        <v>2495.85</v>
      </c>
      <c r="S217" s="170">
        <f t="shared" si="256"/>
        <v>0</v>
      </c>
      <c r="T217" s="168">
        <v>116.2</v>
      </c>
      <c r="U217" s="168">
        <v>164.9</v>
      </c>
      <c r="V217" s="168">
        <v>55.05</v>
      </c>
      <c r="W217" s="168">
        <v>59.95</v>
      </c>
      <c r="X217" s="168">
        <v>100</v>
      </c>
      <c r="Y217" s="168">
        <v>59.95</v>
      </c>
      <c r="Z217" s="168">
        <f>[5]Sheet1!$R$100</f>
        <v>1600</v>
      </c>
      <c r="AA217" s="168">
        <v>0</v>
      </c>
      <c r="AB217" s="168">
        <v>59.95</v>
      </c>
      <c r="AC217" s="168">
        <v>159.94999999999999</v>
      </c>
      <c r="AD217" s="168">
        <v>119.9</v>
      </c>
      <c r="AE217" s="168">
        <v>0</v>
      </c>
      <c r="AF217" s="139">
        <f t="shared" si="249"/>
        <v>40.943636363636365</v>
      </c>
      <c r="AG217" s="139">
        <f t="shared" si="250"/>
        <v>-40.943636363636365</v>
      </c>
    </row>
    <row r="218" spans="1:33" x14ac:dyDescent="0.25">
      <c r="A218" s="130" t="s">
        <v>156</v>
      </c>
      <c r="B218" s="139">
        <v>1778.51</v>
      </c>
      <c r="C218" s="139">
        <v>828.47</v>
      </c>
      <c r="D218" s="139">
        <v>2296.66</v>
      </c>
      <c r="E218" s="139"/>
      <c r="F218" s="139"/>
      <c r="G218" s="139"/>
      <c r="H218" s="139"/>
      <c r="I218" s="139"/>
      <c r="J218" s="139"/>
      <c r="K218" s="139"/>
      <c r="L218" s="139"/>
      <c r="M218" s="139"/>
      <c r="N218" s="139">
        <f t="shared" si="264"/>
        <v>4903.6399999999994</v>
      </c>
      <c r="O218" s="139"/>
      <c r="P218" s="139">
        <f t="shared" si="265"/>
        <v>11101.634999999998</v>
      </c>
      <c r="Q218" s="139">
        <f t="shared" si="266"/>
        <v>14802.179999999998</v>
      </c>
      <c r="R218" s="139">
        <v>14802.179999999998</v>
      </c>
      <c r="S218" s="170">
        <f t="shared" si="256"/>
        <v>0</v>
      </c>
      <c r="T218" s="168">
        <v>1196.75</v>
      </c>
      <c r="U218" s="168">
        <v>1627.2</v>
      </c>
      <c r="V218" s="168">
        <v>1115.29</v>
      </c>
      <c r="W218" s="168">
        <v>1152.68</v>
      </c>
      <c r="X218" s="168">
        <v>1252.42</v>
      </c>
      <c r="Y218" s="168">
        <v>1063.43</v>
      </c>
      <c r="Z218" s="168">
        <f>[5]Sheet1!$R$101</f>
        <v>1388.91</v>
      </c>
      <c r="AA218" s="168">
        <v>1086.9000000000001</v>
      </c>
      <c r="AB218" s="168">
        <v>477.46</v>
      </c>
      <c r="AC218" s="168">
        <v>1409.54</v>
      </c>
      <c r="AD218" s="168">
        <v>2183.6</v>
      </c>
      <c r="AE218" s="168">
        <v>848</v>
      </c>
      <c r="AF218" s="139">
        <f t="shared" si="249"/>
        <v>445.78545454545451</v>
      </c>
      <c r="AG218" s="139">
        <f t="shared" si="250"/>
        <v>-445.78545454545451</v>
      </c>
    </row>
    <row r="219" spans="1:33" x14ac:dyDescent="0.25">
      <c r="A219" s="130" t="s">
        <v>157</v>
      </c>
      <c r="C219" s="139"/>
      <c r="D219" s="139"/>
      <c r="E219" s="139">
        <v>365</v>
      </c>
      <c r="F219" s="139"/>
      <c r="G219" s="139"/>
      <c r="H219" s="139"/>
      <c r="I219" s="139"/>
      <c r="J219" s="139"/>
      <c r="K219" s="139"/>
      <c r="L219" s="139"/>
      <c r="M219" s="139"/>
      <c r="N219" s="139">
        <f t="shared" si="264"/>
        <v>365</v>
      </c>
      <c r="O219" s="139"/>
      <c r="P219" s="139">
        <f t="shared" si="265"/>
        <v>3142.5</v>
      </c>
      <c r="Q219" s="139">
        <f t="shared" si="266"/>
        <v>4190</v>
      </c>
      <c r="R219" s="139">
        <v>4190</v>
      </c>
      <c r="S219" s="170">
        <f t="shared" si="256"/>
        <v>0</v>
      </c>
      <c r="T219" s="168">
        <v>0</v>
      </c>
      <c r="U219" s="168">
        <v>2800</v>
      </c>
      <c r="V219" s="168">
        <v>0</v>
      </c>
      <c r="W219" s="168">
        <v>0</v>
      </c>
      <c r="X219" s="168">
        <v>0</v>
      </c>
      <c r="Y219" s="168">
        <v>220</v>
      </c>
      <c r="Z219" s="168">
        <f>[5]Sheet1!$R$102</f>
        <v>0</v>
      </c>
      <c r="AA219" s="168">
        <v>320</v>
      </c>
      <c r="AB219" s="168">
        <v>340</v>
      </c>
      <c r="AC219" s="168">
        <v>0</v>
      </c>
      <c r="AD219" s="168">
        <v>0</v>
      </c>
      <c r="AE219" s="168">
        <v>510</v>
      </c>
      <c r="AF219" s="139">
        <f t="shared" si="249"/>
        <v>33.18181818181818</v>
      </c>
      <c r="AG219" s="139">
        <f t="shared" si="250"/>
        <v>-33.18181818181818</v>
      </c>
    </row>
    <row r="220" spans="1:33" x14ac:dyDescent="0.25">
      <c r="A220" s="130" t="s">
        <v>572</v>
      </c>
      <c r="B220" s="139">
        <v>3174.2</v>
      </c>
      <c r="C220" s="139">
        <v>8565.59</v>
      </c>
      <c r="D220" s="139">
        <v>-0.12</v>
      </c>
      <c r="E220" s="139">
        <v>20959.28</v>
      </c>
      <c r="F220" s="139"/>
      <c r="G220" s="139"/>
      <c r="H220" s="139"/>
      <c r="I220" s="139"/>
      <c r="J220" s="139"/>
      <c r="K220" s="139"/>
      <c r="L220" s="139"/>
      <c r="M220" s="139"/>
      <c r="N220" s="139">
        <f t="shared" si="264"/>
        <v>32698.949999999997</v>
      </c>
      <c r="O220" s="139"/>
      <c r="P220" s="139">
        <f t="shared" si="265"/>
        <v>0</v>
      </c>
      <c r="Q220" s="139"/>
      <c r="R220" s="139"/>
      <c r="S220" s="170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39">
        <f t="shared" si="249"/>
        <v>2972.6318181818178</v>
      </c>
      <c r="AG220" s="139">
        <f t="shared" si="250"/>
        <v>-2972.6318181818178</v>
      </c>
    </row>
    <row r="221" spans="1:33" hidden="1" x14ac:dyDescent="0.25">
      <c r="A221" s="130" t="s">
        <v>158</v>
      </c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>
        <f t="shared" si="264"/>
        <v>0</v>
      </c>
      <c r="O221" s="139"/>
      <c r="P221" s="139">
        <f t="shared" si="265"/>
        <v>2296.3049999999998</v>
      </c>
      <c r="Q221" s="139">
        <f t="shared" si="266"/>
        <v>3061.74</v>
      </c>
      <c r="R221" s="139">
        <v>3061.74</v>
      </c>
      <c r="S221" s="170">
        <f t="shared" si="256"/>
        <v>0</v>
      </c>
      <c r="T221" s="168">
        <v>0</v>
      </c>
      <c r="U221" s="168">
        <v>0</v>
      </c>
      <c r="V221" s="168">
        <v>0</v>
      </c>
      <c r="W221" s="168">
        <v>309.48</v>
      </c>
      <c r="X221" s="168">
        <v>0</v>
      </c>
      <c r="Y221" s="168">
        <v>0</v>
      </c>
      <c r="Z221" s="168">
        <f>[5]Sheet1!$R$103</f>
        <v>1732.26</v>
      </c>
      <c r="AA221" s="168">
        <v>0</v>
      </c>
      <c r="AB221" s="168">
        <v>1020</v>
      </c>
      <c r="AC221" s="168">
        <v>0</v>
      </c>
      <c r="AD221" s="168">
        <v>0</v>
      </c>
      <c r="AE221" s="168"/>
      <c r="AF221" s="139">
        <f t="shared" si="249"/>
        <v>0</v>
      </c>
      <c r="AG221" s="139">
        <f t="shared" si="250"/>
        <v>0</v>
      </c>
    </row>
    <row r="222" spans="1:33" x14ac:dyDescent="0.25">
      <c r="A222" s="130" t="s">
        <v>613</v>
      </c>
      <c r="B222" s="139">
        <v>2170.83</v>
      </c>
      <c r="C222" s="139">
        <v>2170.83</v>
      </c>
      <c r="D222" s="139">
        <v>2170.83</v>
      </c>
      <c r="E222" s="139">
        <v>2154.17</v>
      </c>
      <c r="F222" s="139"/>
      <c r="G222" s="139"/>
      <c r="H222" s="139"/>
      <c r="I222" s="139"/>
      <c r="J222" s="139"/>
      <c r="K222" s="139"/>
      <c r="L222" s="139"/>
      <c r="M222" s="139"/>
      <c r="N222" s="139">
        <f t="shared" si="264"/>
        <v>8666.66</v>
      </c>
      <c r="O222" s="139"/>
      <c r="P222" s="139"/>
      <c r="Q222" s="139"/>
      <c r="R222" s="139"/>
      <c r="S222" s="170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39"/>
      <c r="AG222" s="139"/>
    </row>
    <row r="223" spans="1:33" x14ac:dyDescent="0.25">
      <c r="A223" s="130" t="s">
        <v>529</v>
      </c>
      <c r="B223" s="139">
        <v>5159.28</v>
      </c>
      <c r="C223" s="139">
        <v>5482.19</v>
      </c>
      <c r="D223" s="139">
        <v>5047.59</v>
      </c>
      <c r="E223" s="139">
        <v>11920.45</v>
      </c>
      <c r="F223" s="139"/>
      <c r="G223" s="139"/>
      <c r="H223" s="139"/>
      <c r="I223" s="139"/>
      <c r="J223" s="139"/>
      <c r="K223" s="139"/>
      <c r="L223" s="139"/>
      <c r="M223" s="139"/>
      <c r="N223" s="139">
        <f t="shared" si="264"/>
        <v>27609.510000000002</v>
      </c>
      <c r="O223" s="139"/>
      <c r="P223" s="139">
        <f t="shared" si="265"/>
        <v>42.712500000000006</v>
      </c>
      <c r="Q223" s="139">
        <f t="shared" si="266"/>
        <v>56.95</v>
      </c>
      <c r="R223" s="139">
        <v>56.95</v>
      </c>
      <c r="S223" s="170">
        <f t="shared" si="256"/>
        <v>0</v>
      </c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>
        <v>56.95</v>
      </c>
      <c r="AF223" s="139"/>
      <c r="AG223" s="139"/>
    </row>
    <row r="224" spans="1:33" ht="15.75" thickBot="1" x14ac:dyDescent="0.3">
      <c r="A224" s="138" t="s">
        <v>159</v>
      </c>
      <c r="B224" s="157">
        <f>SUM(B210:B223)</f>
        <v>352176.53000000009</v>
      </c>
      <c r="C224" s="157">
        <f t="shared" ref="C224:M224" si="267">SUM(C210:C223)</f>
        <v>298188.26000000007</v>
      </c>
      <c r="D224" s="157">
        <f t="shared" si="267"/>
        <v>3321817.9399999995</v>
      </c>
      <c r="E224" s="157">
        <f>SUM(E210:E223)</f>
        <v>477102.99</v>
      </c>
      <c r="F224" s="157">
        <f>SUM(F210:F223)</f>
        <v>0</v>
      </c>
      <c r="G224" s="157">
        <f t="shared" si="267"/>
        <v>0</v>
      </c>
      <c r="H224" s="157">
        <f t="shared" si="267"/>
        <v>0</v>
      </c>
      <c r="I224" s="157">
        <f t="shared" si="267"/>
        <v>0</v>
      </c>
      <c r="J224" s="157">
        <f t="shared" si="267"/>
        <v>0</v>
      </c>
      <c r="K224" s="157">
        <f t="shared" si="267"/>
        <v>0</v>
      </c>
      <c r="L224" s="157">
        <f t="shared" si="267"/>
        <v>0</v>
      </c>
      <c r="M224" s="157">
        <f t="shared" si="267"/>
        <v>0</v>
      </c>
      <c r="N224" s="157">
        <f>SUM(N210:N223)</f>
        <v>4449285.72</v>
      </c>
      <c r="O224" s="157"/>
      <c r="P224" s="157">
        <f>SUM(P210:P223)</f>
        <v>2607921.0524999998</v>
      </c>
      <c r="Q224" s="157">
        <f>SUM(Q210:Q223)</f>
        <v>3477228.0700000008</v>
      </c>
      <c r="R224" s="157">
        <v>3212181.1500000008</v>
      </c>
      <c r="S224" s="170">
        <f t="shared" si="256"/>
        <v>0</v>
      </c>
      <c r="T224" s="182">
        <f t="shared" ref="T224:Y224" si="268">SUM(T210:T221)</f>
        <v>405193.11</v>
      </c>
      <c r="U224" s="182">
        <f t="shared" si="268"/>
        <v>341937.99000000005</v>
      </c>
      <c r="V224" s="182">
        <f t="shared" si="268"/>
        <v>343625.55</v>
      </c>
      <c r="W224" s="182">
        <f t="shared" si="268"/>
        <v>353871.56</v>
      </c>
      <c r="X224" s="182">
        <f t="shared" si="268"/>
        <v>420339.36000000004</v>
      </c>
      <c r="Y224" s="182">
        <f t="shared" si="268"/>
        <v>403802.07</v>
      </c>
      <c r="Z224" s="182">
        <f>SUM(Z210:Z221)</f>
        <v>404965.73</v>
      </c>
      <c r="AA224" s="182">
        <f>SUM(AA210:AA221)</f>
        <v>398996.33</v>
      </c>
      <c r="AB224" s="182">
        <f>SUM(AB210:AB221)</f>
        <v>-774085.3</v>
      </c>
      <c r="AC224" s="182">
        <f>SUM(AC210:AC221)</f>
        <v>288817.17</v>
      </c>
      <c r="AD224" s="182">
        <f>SUM(AD210:AD221)</f>
        <v>212558.63</v>
      </c>
      <c r="AE224" s="182">
        <f>SUM(AE210:AE223)</f>
        <v>412158.95</v>
      </c>
      <c r="AF224" s="157">
        <f t="shared" si="249"/>
        <v>404480.51999999996</v>
      </c>
      <c r="AG224" s="157">
        <f t="shared" si="250"/>
        <v>-404480.51999999996</v>
      </c>
    </row>
    <row r="225" spans="1:33" ht="15.75" thickTop="1" x14ac:dyDescent="0.25"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70">
        <f t="shared" si="256"/>
        <v>0</v>
      </c>
      <c r="U225" s="168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/>
      <c r="AF225" s="139">
        <f t="shared" si="249"/>
        <v>0</v>
      </c>
      <c r="AG225" s="139">
        <f t="shared" si="250"/>
        <v>0</v>
      </c>
    </row>
    <row r="226" spans="1:33" hidden="1" x14ac:dyDescent="0.25">
      <c r="A226" s="130" t="s">
        <v>464</v>
      </c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>
        <f t="shared" ref="N226:N248" si="269">SUM(B226:M226)</f>
        <v>0</v>
      </c>
      <c r="O226" s="139"/>
      <c r="P226" s="139">
        <f t="shared" ref="P226:P247" si="270">Q226/12*$P$3</f>
        <v>37500</v>
      </c>
      <c r="Q226" s="139">
        <f>R226</f>
        <v>50000</v>
      </c>
      <c r="R226" s="139">
        <v>50000</v>
      </c>
      <c r="S226" s="170">
        <f t="shared" si="256"/>
        <v>0</v>
      </c>
      <c r="T226" s="168">
        <v>0</v>
      </c>
      <c r="U226" s="168">
        <v>0</v>
      </c>
      <c r="V226" s="168">
        <v>0</v>
      </c>
      <c r="W226" s="168">
        <v>0</v>
      </c>
      <c r="X226" s="168">
        <v>0</v>
      </c>
      <c r="Y226" s="168">
        <v>0</v>
      </c>
      <c r="Z226" s="168"/>
      <c r="AA226" s="168"/>
      <c r="AB226" s="168">
        <v>12500</v>
      </c>
      <c r="AC226" s="168">
        <v>12500</v>
      </c>
      <c r="AD226" s="168">
        <v>12500</v>
      </c>
      <c r="AE226" s="168">
        <v>12500</v>
      </c>
      <c r="AF226" s="139"/>
      <c r="AG226" s="139"/>
    </row>
    <row r="227" spans="1:33" x14ac:dyDescent="0.25">
      <c r="A227" s="130" t="s">
        <v>160</v>
      </c>
      <c r="B227" s="139">
        <v>34200</v>
      </c>
      <c r="C227" s="139">
        <v>34200</v>
      </c>
      <c r="D227" s="139">
        <v>34200</v>
      </c>
      <c r="E227" s="139">
        <v>34200</v>
      </c>
      <c r="F227" s="139"/>
      <c r="G227" s="139"/>
      <c r="H227" s="139"/>
      <c r="I227" s="139"/>
      <c r="J227" s="139"/>
      <c r="K227" s="139"/>
      <c r="L227" s="139"/>
      <c r="M227" s="139"/>
      <c r="N227" s="139">
        <f t="shared" si="269"/>
        <v>136800</v>
      </c>
      <c r="O227" s="139"/>
      <c r="P227" s="139">
        <f t="shared" si="270"/>
        <v>307800</v>
      </c>
      <c r="Q227" s="139">
        <f t="shared" ref="Q227:Q247" si="271">R227</f>
        <v>410400</v>
      </c>
      <c r="R227" s="139">
        <v>410400</v>
      </c>
      <c r="S227" s="170">
        <f t="shared" si="256"/>
        <v>0</v>
      </c>
      <c r="T227" s="168">
        <v>34200</v>
      </c>
      <c r="U227" s="168">
        <v>34200</v>
      </c>
      <c r="V227" s="168">
        <v>34200</v>
      </c>
      <c r="W227" s="168">
        <v>34200</v>
      </c>
      <c r="X227" s="168">
        <v>34200</v>
      </c>
      <c r="Y227" s="168">
        <v>34200</v>
      </c>
      <c r="Z227" s="168">
        <v>34200</v>
      </c>
      <c r="AA227" s="168">
        <v>34200</v>
      </c>
      <c r="AB227" s="168">
        <v>34200</v>
      </c>
      <c r="AC227" s="168">
        <v>34200</v>
      </c>
      <c r="AD227" s="168">
        <v>34200</v>
      </c>
      <c r="AE227" s="168">
        <v>34200</v>
      </c>
      <c r="AF227" s="139">
        <f t="shared" ref="AF227:AF289" si="272">(N227-M227)/11</f>
        <v>12436.363636363636</v>
      </c>
      <c r="AG227" s="139">
        <f t="shared" ref="AG227:AG289" si="273">M227-AF227</f>
        <v>-12436.363636363636</v>
      </c>
    </row>
    <row r="228" spans="1:33" x14ac:dyDescent="0.25">
      <c r="A228" s="130" t="s">
        <v>161</v>
      </c>
      <c r="B228" s="139">
        <v>6570.86</v>
      </c>
      <c r="C228" s="139">
        <v>-864.5</v>
      </c>
      <c r="D228" s="139">
        <v>5625.36</v>
      </c>
      <c r="E228" s="139">
        <v>-430.11</v>
      </c>
      <c r="F228" s="139"/>
      <c r="G228" s="139"/>
      <c r="H228" s="139"/>
      <c r="I228" s="139"/>
      <c r="J228" s="139"/>
      <c r="K228" s="139"/>
      <c r="L228" s="139"/>
      <c r="M228" s="139"/>
      <c r="N228" s="139">
        <f t="shared" si="269"/>
        <v>10901.609999999999</v>
      </c>
      <c r="O228" s="139"/>
      <c r="P228" s="139">
        <f t="shared" si="270"/>
        <v>7999.5375000000022</v>
      </c>
      <c r="Q228" s="139">
        <f t="shared" si="271"/>
        <v>10666.050000000003</v>
      </c>
      <c r="R228" s="139">
        <v>10666.050000000003</v>
      </c>
      <c r="S228" s="170">
        <f t="shared" si="256"/>
        <v>0</v>
      </c>
      <c r="T228" s="168">
        <v>8503.81</v>
      </c>
      <c r="U228" s="168">
        <v>5315.92</v>
      </c>
      <c r="V228" s="168">
        <v>5721.77</v>
      </c>
      <c r="W228" s="168">
        <v>1979.68</v>
      </c>
      <c r="X228" s="168">
        <v>-5668.03</v>
      </c>
      <c r="Y228" s="168">
        <v>-5550.91</v>
      </c>
      <c r="Z228" s="168">
        <v>-5623.92</v>
      </c>
      <c r="AA228" s="168">
        <v>-2125.3000000000002</v>
      </c>
      <c r="AB228" s="168">
        <v>-1659.04</v>
      </c>
      <c r="AC228" s="168">
        <v>837.92</v>
      </c>
      <c r="AD228" s="168">
        <v>3418.02</v>
      </c>
      <c r="AE228" s="168">
        <v>5516.13</v>
      </c>
      <c r="AF228" s="139">
        <f t="shared" si="272"/>
        <v>991.05545454545438</v>
      </c>
      <c r="AG228" s="139">
        <f t="shared" si="273"/>
        <v>-991.05545454545438</v>
      </c>
    </row>
    <row r="229" spans="1:33" x14ac:dyDescent="0.25">
      <c r="A229" s="130" t="s">
        <v>162</v>
      </c>
      <c r="B229" s="139">
        <v>1694.68</v>
      </c>
      <c r="C229" s="139">
        <v>1886.56</v>
      </c>
      <c r="D229" s="139">
        <v>701.15</v>
      </c>
      <c r="E229" s="139">
        <v>975.35</v>
      </c>
      <c r="F229" s="139"/>
      <c r="G229" s="139"/>
      <c r="H229" s="139"/>
      <c r="I229" s="139"/>
      <c r="J229" s="139"/>
      <c r="K229" s="139"/>
      <c r="L229" s="139"/>
      <c r="M229" s="139"/>
      <c r="N229" s="139">
        <f t="shared" si="269"/>
        <v>5257.74</v>
      </c>
      <c r="O229" s="139"/>
      <c r="P229" s="139">
        <f t="shared" si="270"/>
        <v>7942.8449999999993</v>
      </c>
      <c r="Q229" s="139">
        <f t="shared" si="271"/>
        <v>10590.46</v>
      </c>
      <c r="R229" s="139">
        <v>10590.46</v>
      </c>
      <c r="S229" s="170">
        <f t="shared" si="256"/>
        <v>0</v>
      </c>
      <c r="T229" s="168">
        <v>812.13</v>
      </c>
      <c r="U229" s="168">
        <v>2889.41</v>
      </c>
      <c r="V229" s="168">
        <v>2880.16</v>
      </c>
      <c r="W229" s="168">
        <v>1338.1</v>
      </c>
      <c r="X229" s="168">
        <v>587.38</v>
      </c>
      <c r="Y229" s="168">
        <v>168.44</v>
      </c>
      <c r="Z229" s="168">
        <v>38.119999999999997</v>
      </c>
      <c r="AA229" s="168">
        <v>39.21</v>
      </c>
      <c r="AB229" s="168">
        <v>58.76</v>
      </c>
      <c r="AC229" s="168">
        <v>136.21</v>
      </c>
      <c r="AD229" s="168">
        <v>622.59</v>
      </c>
      <c r="AE229" s="168">
        <v>1019.95</v>
      </c>
      <c r="AF229" s="139">
        <f t="shared" si="272"/>
        <v>477.9763636363636</v>
      </c>
      <c r="AG229" s="139">
        <f t="shared" si="273"/>
        <v>-477.9763636363636</v>
      </c>
    </row>
    <row r="230" spans="1:33" x14ac:dyDescent="0.25">
      <c r="A230" s="130" t="s">
        <v>163</v>
      </c>
      <c r="B230" s="139">
        <v>310.85000000000002</v>
      </c>
      <c r="C230" s="139">
        <v>0</v>
      </c>
      <c r="D230" s="139"/>
      <c r="E230" s="139">
        <v>353.77</v>
      </c>
      <c r="F230" s="139"/>
      <c r="G230" s="139"/>
      <c r="H230" s="139"/>
      <c r="I230" s="139"/>
      <c r="J230" s="139"/>
      <c r="K230" s="139"/>
      <c r="L230" s="139"/>
      <c r="M230" s="139"/>
      <c r="N230" s="139">
        <f t="shared" si="269"/>
        <v>664.62</v>
      </c>
      <c r="O230" s="139"/>
      <c r="P230" s="139">
        <f t="shared" si="270"/>
        <v>808.84500000000003</v>
      </c>
      <c r="Q230" s="139">
        <f t="shared" si="271"/>
        <v>1078.46</v>
      </c>
      <c r="R230" s="139">
        <v>1078.46</v>
      </c>
      <c r="S230" s="170">
        <f t="shared" si="256"/>
        <v>0</v>
      </c>
      <c r="T230" s="168">
        <v>0</v>
      </c>
      <c r="U230" s="168">
        <v>0</v>
      </c>
      <c r="V230" s="168">
        <v>0</v>
      </c>
      <c r="W230" s="168">
        <v>0</v>
      </c>
      <c r="X230" s="168">
        <v>579.03</v>
      </c>
      <c r="Y230" s="168">
        <v>0</v>
      </c>
      <c r="Z230" s="168">
        <v>0</v>
      </c>
      <c r="AA230" s="168">
        <v>0</v>
      </c>
      <c r="AB230" s="168">
        <v>0</v>
      </c>
      <c r="AC230" s="168">
        <v>499.43</v>
      </c>
      <c r="AD230" s="168">
        <v>0</v>
      </c>
      <c r="AE230" s="168">
        <v>0</v>
      </c>
      <c r="AF230" s="139">
        <f t="shared" si="272"/>
        <v>60.42</v>
      </c>
      <c r="AG230" s="139">
        <f t="shared" si="273"/>
        <v>-60.42</v>
      </c>
    </row>
    <row r="231" spans="1:33" x14ac:dyDescent="0.25">
      <c r="A231" s="130" t="s">
        <v>462</v>
      </c>
      <c r="B231" s="139">
        <v>222.53</v>
      </c>
      <c r="C231" s="139">
        <v>222.53</v>
      </c>
      <c r="D231" s="139">
        <v>222.53</v>
      </c>
      <c r="E231" s="139">
        <v>222.53</v>
      </c>
      <c r="F231" s="139"/>
      <c r="G231" s="139"/>
      <c r="H231" s="139"/>
      <c r="I231" s="139"/>
      <c r="J231" s="139"/>
      <c r="K231" s="139"/>
      <c r="L231" s="139"/>
      <c r="M231" s="139"/>
      <c r="N231" s="139">
        <f t="shared" si="269"/>
        <v>890.12</v>
      </c>
      <c r="O231" s="139"/>
      <c r="P231" s="139">
        <f t="shared" si="270"/>
        <v>401.51249999999993</v>
      </c>
      <c r="Q231" s="139">
        <f t="shared" si="271"/>
        <v>535.34999999999991</v>
      </c>
      <c r="R231" s="139">
        <v>535.34999999999991</v>
      </c>
      <c r="S231" s="170">
        <f t="shared" si="256"/>
        <v>0</v>
      </c>
      <c r="U231" s="168"/>
      <c r="V231" s="168"/>
      <c r="W231" s="168"/>
      <c r="X231" s="168"/>
      <c r="Y231" s="168"/>
      <c r="Z231" s="168"/>
      <c r="AA231" s="168"/>
      <c r="AB231" s="168">
        <v>178.45</v>
      </c>
      <c r="AC231" s="168">
        <v>0</v>
      </c>
      <c r="AD231" s="168">
        <v>178.45</v>
      </c>
      <c r="AE231" s="168">
        <v>178.45</v>
      </c>
      <c r="AF231" s="139"/>
      <c r="AG231" s="139"/>
    </row>
    <row r="232" spans="1:33" x14ac:dyDescent="0.25">
      <c r="A232" s="130" t="s">
        <v>437</v>
      </c>
      <c r="B232" s="139">
        <v>2500</v>
      </c>
      <c r="C232" s="139">
        <v>2500</v>
      </c>
      <c r="D232" s="139">
        <v>2500</v>
      </c>
      <c r="E232" s="139">
        <v>2500</v>
      </c>
      <c r="F232" s="139"/>
      <c r="G232" s="139"/>
      <c r="H232" s="139"/>
      <c r="I232" s="139"/>
      <c r="J232" s="139"/>
      <c r="K232" s="139"/>
      <c r="L232" s="139"/>
      <c r="M232" s="139"/>
      <c r="N232" s="139">
        <f t="shared" si="269"/>
        <v>10000</v>
      </c>
      <c r="O232" s="139"/>
      <c r="P232" s="139">
        <f t="shared" si="270"/>
        <v>20242.5</v>
      </c>
      <c r="Q232" s="139">
        <f t="shared" si="271"/>
        <v>26990</v>
      </c>
      <c r="R232" s="139">
        <v>26990</v>
      </c>
      <c r="S232" s="170">
        <f t="shared" si="256"/>
        <v>0</v>
      </c>
      <c r="T232" s="168">
        <v>6595</v>
      </c>
      <c r="U232" s="168">
        <v>2825</v>
      </c>
      <c r="V232" s="168">
        <v>4805</v>
      </c>
      <c r="W232" s="168">
        <v>0</v>
      </c>
      <c r="X232" s="168">
        <v>0</v>
      </c>
      <c r="Y232" s="168">
        <v>0</v>
      </c>
      <c r="Z232" s="168">
        <v>5490</v>
      </c>
      <c r="AA232" s="168">
        <v>0</v>
      </c>
      <c r="AB232" s="168">
        <v>0</v>
      </c>
      <c r="AC232" s="168">
        <v>5285</v>
      </c>
      <c r="AD232" s="168">
        <v>1710</v>
      </c>
      <c r="AE232" s="168">
        <v>280</v>
      </c>
      <c r="AF232" s="139">
        <f t="shared" si="272"/>
        <v>909.09090909090912</v>
      </c>
      <c r="AG232" s="139">
        <f t="shared" si="273"/>
        <v>-909.09090909090912</v>
      </c>
    </row>
    <row r="233" spans="1:33" x14ac:dyDescent="0.25">
      <c r="A233" s="130" t="s">
        <v>164</v>
      </c>
      <c r="B233" s="139">
        <v>6557.71</v>
      </c>
      <c r="C233" s="139">
        <v>12888.73</v>
      </c>
      <c r="D233" s="139">
        <v>8412.39</v>
      </c>
      <c r="E233" s="139">
        <v>5762.37</v>
      </c>
      <c r="F233" s="139"/>
      <c r="G233" s="139"/>
      <c r="H233" s="139"/>
      <c r="I233" s="139"/>
      <c r="J233" s="139"/>
      <c r="K233" s="139"/>
      <c r="L233" s="139"/>
      <c r="M233" s="139"/>
      <c r="N233" s="139">
        <f t="shared" si="269"/>
        <v>33621.199999999997</v>
      </c>
      <c r="O233" s="139"/>
      <c r="P233" s="139">
        <f t="shared" si="270"/>
        <v>96610.882499999992</v>
      </c>
      <c r="Q233" s="139">
        <f t="shared" si="271"/>
        <v>128814.51</v>
      </c>
      <c r="R233" s="139">
        <v>128814.51</v>
      </c>
      <c r="S233" s="170">
        <f t="shared" si="256"/>
        <v>0</v>
      </c>
      <c r="T233" s="168">
        <v>11843.29</v>
      </c>
      <c r="U233" s="168">
        <v>5450.87</v>
      </c>
      <c r="V233" s="168">
        <v>12040.98</v>
      </c>
      <c r="W233" s="168">
        <v>8053.61</v>
      </c>
      <c r="X233" s="168">
        <v>16912.45</v>
      </c>
      <c r="Y233" s="168">
        <v>6944.38</v>
      </c>
      <c r="Z233" s="168">
        <v>13400.41</v>
      </c>
      <c r="AA233" s="168">
        <v>5581.37</v>
      </c>
      <c r="AB233" s="168">
        <v>8406.82</v>
      </c>
      <c r="AC233" s="168">
        <v>18742.099999999999</v>
      </c>
      <c r="AD233" s="168">
        <v>3669.36</v>
      </c>
      <c r="AE233" s="168">
        <v>17768.87</v>
      </c>
      <c r="AF233" s="139">
        <f t="shared" si="272"/>
        <v>3056.4727272727268</v>
      </c>
      <c r="AG233" s="139">
        <f t="shared" si="273"/>
        <v>-3056.4727272727268</v>
      </c>
    </row>
    <row r="234" spans="1:33" x14ac:dyDescent="0.25">
      <c r="A234" s="130" t="s">
        <v>165</v>
      </c>
      <c r="B234" s="139">
        <v>9268.0499999999993</v>
      </c>
      <c r="C234" s="139">
        <v>9268.0499999999993</v>
      </c>
      <c r="D234" s="139">
        <v>9268.0499999999993</v>
      </c>
      <c r="E234" s="139">
        <v>9268.0499999999993</v>
      </c>
      <c r="F234" s="139"/>
      <c r="G234" s="139"/>
      <c r="H234" s="139"/>
      <c r="I234" s="139"/>
      <c r="J234" s="139"/>
      <c r="K234" s="139"/>
      <c r="L234" s="139"/>
      <c r="M234" s="139"/>
      <c r="N234" s="139">
        <f t="shared" si="269"/>
        <v>37072.199999999997</v>
      </c>
      <c r="O234" s="139"/>
      <c r="P234" s="139">
        <f t="shared" si="270"/>
        <v>82287</v>
      </c>
      <c r="Q234" s="139">
        <f>9143*12</f>
        <v>109716</v>
      </c>
      <c r="R234" s="139">
        <v>107137.28000000001</v>
      </c>
      <c r="S234" s="170">
        <f t="shared" si="256"/>
        <v>0</v>
      </c>
      <c r="T234" s="168">
        <v>8676.52</v>
      </c>
      <c r="U234" s="168">
        <v>8676.52</v>
      </c>
      <c r="V234" s="168">
        <v>8676.51</v>
      </c>
      <c r="W234" s="168">
        <v>8676.52</v>
      </c>
      <c r="X234" s="168">
        <v>8676.52</v>
      </c>
      <c r="Y234" s="168">
        <v>8676.51</v>
      </c>
      <c r="Z234" s="168">
        <v>9179.7000000000007</v>
      </c>
      <c r="AA234" s="168">
        <v>9179.7000000000007</v>
      </c>
      <c r="AB234" s="168">
        <v>9179.7000000000007</v>
      </c>
      <c r="AC234" s="168">
        <v>9179.69</v>
      </c>
      <c r="AD234" s="168">
        <v>9179.69</v>
      </c>
      <c r="AE234" s="168">
        <v>9179.7000000000007</v>
      </c>
      <c r="AF234" s="139">
        <f t="shared" si="272"/>
        <v>3370.2</v>
      </c>
      <c r="AG234" s="139">
        <f t="shared" si="273"/>
        <v>-3370.2</v>
      </c>
    </row>
    <row r="235" spans="1:33" x14ac:dyDescent="0.25">
      <c r="A235" s="130" t="s">
        <v>166</v>
      </c>
      <c r="B235" s="139">
        <v>2429.77</v>
      </c>
      <c r="C235" s="139">
        <v>3000</v>
      </c>
      <c r="D235" s="139">
        <v>3000</v>
      </c>
      <c r="E235" s="139">
        <v>3000</v>
      </c>
      <c r="F235" s="139"/>
      <c r="G235" s="139"/>
      <c r="H235" s="139"/>
      <c r="I235" s="139"/>
      <c r="J235" s="139"/>
      <c r="K235" s="139"/>
      <c r="L235" s="139"/>
      <c r="M235" s="139"/>
      <c r="N235" s="139">
        <f t="shared" si="269"/>
        <v>11429.77</v>
      </c>
      <c r="O235" s="139"/>
      <c r="P235" s="139">
        <f t="shared" si="270"/>
        <v>13754.699999999999</v>
      </c>
      <c r="Q235" s="139">
        <f>1528.3*12</f>
        <v>18339.599999999999</v>
      </c>
      <c r="R235" s="139">
        <v>38009.360000000001</v>
      </c>
      <c r="S235" s="170">
        <f t="shared" si="256"/>
        <v>0</v>
      </c>
      <c r="T235" s="168">
        <v>3100</v>
      </c>
      <c r="U235" s="168">
        <v>3100</v>
      </c>
      <c r="V235" s="168">
        <v>3100</v>
      </c>
      <c r="W235" s="168">
        <v>3100</v>
      </c>
      <c r="X235" s="168">
        <v>3100</v>
      </c>
      <c r="Y235" s="168">
        <v>4500</v>
      </c>
      <c r="Z235" s="168">
        <v>4366.8900000000003</v>
      </c>
      <c r="AA235" s="168">
        <v>4633.1099999999997</v>
      </c>
      <c r="AB235" s="168">
        <v>4500</v>
      </c>
      <c r="AC235" s="168">
        <v>4500</v>
      </c>
      <c r="AD235" s="168">
        <v>1183.93</v>
      </c>
      <c r="AE235" s="168">
        <v>-1174.57</v>
      </c>
      <c r="AF235" s="139">
        <f t="shared" si="272"/>
        <v>1039.07</v>
      </c>
      <c r="AG235" s="139">
        <f t="shared" si="273"/>
        <v>-1039.07</v>
      </c>
    </row>
    <row r="236" spans="1:33" x14ac:dyDescent="0.25">
      <c r="A236" s="130" t="s">
        <v>167</v>
      </c>
      <c r="B236" s="139">
        <v>5679.08</v>
      </c>
      <c r="C236" s="139">
        <v>5145.08</v>
      </c>
      <c r="D236" s="139">
        <v>5714.75</v>
      </c>
      <c r="E236" s="139">
        <v>5814.75</v>
      </c>
      <c r="F236" s="139"/>
      <c r="G236" s="139"/>
      <c r="H236" s="139"/>
      <c r="I236" s="139"/>
      <c r="J236" s="139"/>
      <c r="K236" s="139"/>
      <c r="L236" s="139"/>
      <c r="M236" s="139"/>
      <c r="N236" s="139">
        <f t="shared" si="269"/>
        <v>22353.66</v>
      </c>
      <c r="O236" s="139"/>
      <c r="P236" s="139">
        <f t="shared" si="270"/>
        <v>41030.579999999987</v>
      </c>
      <c r="Q236" s="139">
        <f t="shared" si="271"/>
        <v>54707.439999999988</v>
      </c>
      <c r="R236" s="139">
        <v>54707.439999999988</v>
      </c>
      <c r="S236" s="170">
        <f t="shared" si="256"/>
        <v>0</v>
      </c>
      <c r="T236" s="168">
        <v>5157.18</v>
      </c>
      <c r="U236" s="168">
        <v>5157.18</v>
      </c>
      <c r="V236" s="168">
        <v>5023.41</v>
      </c>
      <c r="W236" s="168">
        <v>5123.42</v>
      </c>
      <c r="X236" s="168">
        <v>5023.42</v>
      </c>
      <c r="Y236" s="168">
        <v>5023.42</v>
      </c>
      <c r="Z236" s="168">
        <v>5023.42</v>
      </c>
      <c r="AA236" s="168">
        <v>5023.42</v>
      </c>
      <c r="AB236" s="168">
        <v>465.59</v>
      </c>
      <c r="AC236" s="168">
        <v>4521.08</v>
      </c>
      <c r="AD236" s="168">
        <v>3964.2</v>
      </c>
      <c r="AE236" s="168">
        <v>5201.7</v>
      </c>
      <c r="AF236" s="139">
        <f t="shared" si="272"/>
        <v>2032.1509090909092</v>
      </c>
      <c r="AG236" s="139">
        <f t="shared" si="273"/>
        <v>-2032.1509090909092</v>
      </c>
    </row>
    <row r="237" spans="1:33" x14ac:dyDescent="0.25">
      <c r="A237" s="130" t="s">
        <v>168</v>
      </c>
      <c r="B237" s="139">
        <v>2180.36</v>
      </c>
      <c r="C237" s="139">
        <v>743.02</v>
      </c>
      <c r="D237" s="139">
        <v>223.22</v>
      </c>
      <c r="E237" s="139">
        <v>1415.16</v>
      </c>
      <c r="F237" s="139"/>
      <c r="G237" s="139"/>
      <c r="H237" s="139"/>
      <c r="I237" s="139"/>
      <c r="J237" s="139"/>
      <c r="K237" s="139"/>
      <c r="L237" s="139"/>
      <c r="M237" s="139"/>
      <c r="N237" s="139">
        <f t="shared" si="269"/>
        <v>4561.76</v>
      </c>
      <c r="O237" s="139"/>
      <c r="P237" s="139">
        <f t="shared" si="270"/>
        <v>8488.7849999999999</v>
      </c>
      <c r="Q237" s="139">
        <f t="shared" si="271"/>
        <v>11318.38</v>
      </c>
      <c r="R237" s="139">
        <v>11318.38</v>
      </c>
      <c r="S237" s="170">
        <f t="shared" si="256"/>
        <v>0</v>
      </c>
      <c r="T237" s="168">
        <v>781.02</v>
      </c>
      <c r="U237" s="168">
        <v>3798.75</v>
      </c>
      <c r="V237" s="168">
        <v>1347.95</v>
      </c>
      <c r="W237" s="168">
        <v>606.57000000000005</v>
      </c>
      <c r="X237" s="168">
        <v>716.17</v>
      </c>
      <c r="Y237" s="168">
        <v>506.25</v>
      </c>
      <c r="Z237" s="168">
        <v>0</v>
      </c>
      <c r="AA237" s="168">
        <v>118.99</v>
      </c>
      <c r="AB237" s="168">
        <v>1217.7</v>
      </c>
      <c r="AC237" s="168">
        <v>680.5</v>
      </c>
      <c r="AD237" s="168">
        <v>894.23</v>
      </c>
      <c r="AE237" s="168">
        <v>650.25</v>
      </c>
      <c r="AF237" s="139">
        <f t="shared" si="272"/>
        <v>414.70545454545459</v>
      </c>
      <c r="AG237" s="139">
        <f t="shared" si="273"/>
        <v>-414.70545454545459</v>
      </c>
    </row>
    <row r="238" spans="1:33" x14ac:dyDescent="0.25">
      <c r="A238" s="130" t="s">
        <v>169</v>
      </c>
      <c r="B238" s="139">
        <v>1602.29</v>
      </c>
      <c r="C238" s="139">
        <v>1602.29</v>
      </c>
      <c r="D238" s="139">
        <v>1602.29</v>
      </c>
      <c r="E238" s="139">
        <v>1769.37</v>
      </c>
      <c r="F238" s="139"/>
      <c r="G238" s="139"/>
      <c r="H238" s="139"/>
      <c r="I238" s="139"/>
      <c r="J238" s="139"/>
      <c r="K238" s="139"/>
      <c r="L238" s="139"/>
      <c r="M238" s="139"/>
      <c r="N238" s="139">
        <f t="shared" si="269"/>
        <v>6576.24</v>
      </c>
      <c r="O238" s="139"/>
      <c r="P238" s="139">
        <f t="shared" si="270"/>
        <v>9151.739999999998</v>
      </c>
      <c r="Q238" s="139">
        <f t="shared" si="271"/>
        <v>12202.319999999998</v>
      </c>
      <c r="R238" s="139">
        <v>12202.319999999998</v>
      </c>
      <c r="S238" s="170">
        <f t="shared" si="256"/>
        <v>0</v>
      </c>
      <c r="T238" s="168">
        <v>740.6</v>
      </c>
      <c r="U238" s="168">
        <v>321.60000000000002</v>
      </c>
      <c r="V238" s="168">
        <v>321.60000000000002</v>
      </c>
      <c r="W238" s="168">
        <v>419.18</v>
      </c>
      <c r="X238" s="168">
        <v>439.52</v>
      </c>
      <c r="Y238" s="168">
        <v>321.60000000000002</v>
      </c>
      <c r="Z238" s="168">
        <v>1372.85</v>
      </c>
      <c r="AA238" s="168">
        <v>2251.7800000000002</v>
      </c>
      <c r="AB238" s="168">
        <v>817.68</v>
      </c>
      <c r="AC238" s="168">
        <v>1547.72</v>
      </c>
      <c r="AD238" s="168">
        <v>2119.89</v>
      </c>
      <c r="AE238" s="168">
        <v>1528.3</v>
      </c>
      <c r="AF238" s="139">
        <f t="shared" si="272"/>
        <v>597.84</v>
      </c>
      <c r="AG238" s="139">
        <f t="shared" si="273"/>
        <v>-597.84</v>
      </c>
    </row>
    <row r="239" spans="1:33" x14ac:dyDescent="0.25">
      <c r="A239" s="130" t="s">
        <v>190</v>
      </c>
      <c r="B239" s="139">
        <v>11370.03</v>
      </c>
      <c r="C239" s="139">
        <v>10610.05</v>
      </c>
      <c r="D239" s="139">
        <v>5273</v>
      </c>
      <c r="E239" s="139">
        <v>5496</v>
      </c>
      <c r="F239" s="139"/>
      <c r="G239" s="139"/>
      <c r="H239" s="139"/>
      <c r="I239" s="139"/>
      <c r="J239" s="139"/>
      <c r="K239" s="139"/>
      <c r="L239" s="139"/>
      <c r="M239" s="139"/>
      <c r="N239" s="139">
        <f t="shared" si="269"/>
        <v>32749.08</v>
      </c>
      <c r="O239" s="139"/>
      <c r="P239" s="139">
        <f t="shared" si="270"/>
        <v>76500</v>
      </c>
      <c r="Q239" s="139">
        <v>102000</v>
      </c>
      <c r="R239" s="139">
        <v>130920.88999999997</v>
      </c>
      <c r="S239" s="170">
        <f t="shared" si="256"/>
        <v>0</v>
      </c>
      <c r="T239" s="168">
        <v>20798</v>
      </c>
      <c r="U239" s="168">
        <v>19135.740000000002</v>
      </c>
      <c r="V239" s="168">
        <v>17216.87</v>
      </c>
      <c r="W239" s="168">
        <v>10016.870000000001</v>
      </c>
      <c r="X239" s="168">
        <v>10016.870000000001</v>
      </c>
      <c r="Y239" s="168">
        <v>10168.870000000001</v>
      </c>
      <c r="Z239" s="168">
        <v>10016.870000000001</v>
      </c>
      <c r="AA239" s="168">
        <v>10267.049999999999</v>
      </c>
      <c r="AB239" s="168">
        <v>-7654.31</v>
      </c>
      <c r="AC239" s="168">
        <v>8842.4599999999991</v>
      </c>
      <c r="AD239" s="168">
        <v>10051.200000000001</v>
      </c>
      <c r="AE239" s="168">
        <v>12044.4</v>
      </c>
      <c r="AF239" s="139"/>
      <c r="AG239" s="139"/>
    </row>
    <row r="240" spans="1:33" hidden="1" x14ac:dyDescent="0.25">
      <c r="A240" s="130" t="s">
        <v>170</v>
      </c>
      <c r="B240" s="139">
        <v>0</v>
      </c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>
        <f t="shared" si="269"/>
        <v>0</v>
      </c>
      <c r="O240" s="139"/>
      <c r="P240" s="139">
        <f t="shared" si="270"/>
        <v>2999.97</v>
      </c>
      <c r="Q240" s="139">
        <f t="shared" si="271"/>
        <v>3999.9599999999996</v>
      </c>
      <c r="R240" s="139">
        <v>3999.9599999999996</v>
      </c>
      <c r="S240" s="170">
        <f t="shared" si="256"/>
        <v>0</v>
      </c>
      <c r="T240" s="168">
        <v>333.33</v>
      </c>
      <c r="U240" s="168">
        <v>333.33</v>
      </c>
      <c r="V240" s="168">
        <v>333.33</v>
      </c>
      <c r="W240" s="168">
        <v>333.33</v>
      </c>
      <c r="X240" s="168">
        <v>333.33</v>
      </c>
      <c r="Y240" s="168">
        <v>333.33</v>
      </c>
      <c r="Z240" s="168">
        <v>333.33</v>
      </c>
      <c r="AA240" s="168">
        <v>333.33</v>
      </c>
      <c r="AB240" s="168">
        <v>333.33</v>
      </c>
      <c r="AC240" s="168">
        <v>333.33</v>
      </c>
      <c r="AD240" s="168">
        <v>333.33</v>
      </c>
      <c r="AE240" s="168">
        <v>333.33</v>
      </c>
      <c r="AF240" s="139">
        <f t="shared" si="272"/>
        <v>0</v>
      </c>
      <c r="AG240" s="139">
        <f t="shared" si="273"/>
        <v>0</v>
      </c>
    </row>
    <row r="241" spans="1:33" x14ac:dyDescent="0.25">
      <c r="A241" s="130" t="s">
        <v>171</v>
      </c>
      <c r="B241" s="139">
        <v>45489.31</v>
      </c>
      <c r="C241" s="139">
        <v>46021.34</v>
      </c>
      <c r="D241" s="139">
        <v>45654.82</v>
      </c>
      <c r="E241" s="139">
        <v>46473.43</v>
      </c>
      <c r="F241" s="139"/>
      <c r="G241" s="139"/>
      <c r="H241" s="139"/>
      <c r="I241" s="139"/>
      <c r="J241" s="139"/>
      <c r="K241" s="139"/>
      <c r="L241" s="139"/>
      <c r="M241" s="139"/>
      <c r="N241" s="139">
        <f t="shared" si="269"/>
        <v>183638.9</v>
      </c>
      <c r="O241" s="139"/>
      <c r="P241" s="139">
        <f t="shared" si="270"/>
        <v>465750</v>
      </c>
      <c r="Q241" s="139">
        <v>621000</v>
      </c>
      <c r="R241" s="139">
        <v>794856.37</v>
      </c>
      <c r="S241" s="170">
        <f t="shared" si="256"/>
        <v>0</v>
      </c>
      <c r="T241" s="168">
        <v>115897.3</v>
      </c>
      <c r="U241" s="168">
        <v>117313.31</v>
      </c>
      <c r="V241" s="168">
        <v>117313.31</v>
      </c>
      <c r="W241" s="168">
        <v>69868.929999999993</v>
      </c>
      <c r="X241" s="168">
        <v>62865.39</v>
      </c>
      <c r="Y241" s="168">
        <v>89768.53</v>
      </c>
      <c r="Z241" s="168">
        <v>67753.13</v>
      </c>
      <c r="AA241" s="168">
        <v>67298.850000000006</v>
      </c>
      <c r="AB241" s="168">
        <v>65440.22</v>
      </c>
      <c r="AC241" s="168">
        <v>61204.160000000003</v>
      </c>
      <c r="AD241" s="168">
        <v>60136.21</v>
      </c>
      <c r="AE241" s="168">
        <v>-100002.97</v>
      </c>
      <c r="AF241" s="139">
        <f t="shared" si="272"/>
        <v>16694.445454545454</v>
      </c>
      <c r="AG241" s="139">
        <f t="shared" si="273"/>
        <v>-16694.445454545454</v>
      </c>
    </row>
    <row r="242" spans="1:33" x14ac:dyDescent="0.25">
      <c r="A242" s="130" t="s">
        <v>195</v>
      </c>
      <c r="B242" s="139">
        <v>850.77</v>
      </c>
      <c r="C242" s="139">
        <v>2701.12</v>
      </c>
      <c r="D242" s="139">
        <v>1781.65</v>
      </c>
      <c r="E242" s="139">
        <v>3579.61</v>
      </c>
      <c r="F242" s="139"/>
      <c r="G242" s="139"/>
      <c r="H242" s="139"/>
      <c r="I242" s="139"/>
      <c r="J242" s="139"/>
      <c r="K242" s="139"/>
      <c r="L242" s="139"/>
      <c r="M242" s="139"/>
      <c r="N242" s="139">
        <f t="shared" si="269"/>
        <v>8913.15</v>
      </c>
      <c r="O242" s="139"/>
      <c r="P242" s="139">
        <f t="shared" si="270"/>
        <v>23638.334999999999</v>
      </c>
      <c r="Q242" s="139">
        <f t="shared" si="271"/>
        <v>31517.78</v>
      </c>
      <c r="R242" s="139">
        <v>31517.78</v>
      </c>
      <c r="S242" s="170">
        <f t="shared" si="256"/>
        <v>0</v>
      </c>
      <c r="T242" s="168">
        <v>0</v>
      </c>
      <c r="U242" s="168">
        <v>680.88</v>
      </c>
      <c r="V242" s="168">
        <v>4256.26</v>
      </c>
      <c r="W242" s="168">
        <v>998.65</v>
      </c>
      <c r="X242" s="168">
        <v>3059.3</v>
      </c>
      <c r="Y242" s="168">
        <v>2520.4299999999998</v>
      </c>
      <c r="Z242" s="168">
        <v>3606.37</v>
      </c>
      <c r="AA242" s="168">
        <v>7404.71</v>
      </c>
      <c r="AB242" s="168">
        <v>4019.71</v>
      </c>
      <c r="AC242" s="168">
        <v>1588.42</v>
      </c>
      <c r="AD242" s="168">
        <v>1811.56</v>
      </c>
      <c r="AE242" s="168">
        <v>1571.49</v>
      </c>
      <c r="AF242" s="139"/>
      <c r="AG242" s="139"/>
    </row>
    <row r="243" spans="1:33" x14ac:dyDescent="0.25">
      <c r="A243" s="130" t="s">
        <v>426</v>
      </c>
      <c r="B243" s="139">
        <v>2324.39</v>
      </c>
      <c r="C243" s="139">
        <v>2568.77</v>
      </c>
      <c r="D243" s="139">
        <v>2695.39</v>
      </c>
      <c r="E243" s="139">
        <v>2620.2399999999998</v>
      </c>
      <c r="F243" s="139"/>
      <c r="G243" s="139"/>
      <c r="H243" s="139"/>
      <c r="I243" s="139"/>
      <c r="J243" s="139"/>
      <c r="K243" s="139"/>
      <c r="L243" s="139"/>
      <c r="M243" s="139"/>
      <c r="N243" s="139">
        <f t="shared" si="269"/>
        <v>10208.789999999999</v>
      </c>
      <c r="O243" s="139"/>
      <c r="P243" s="139">
        <f t="shared" si="270"/>
        <v>28476</v>
      </c>
      <c r="Q243" s="139">
        <f>3164*12</f>
        <v>37968</v>
      </c>
      <c r="R243" s="139">
        <v>22152.17</v>
      </c>
      <c r="S243" s="170">
        <f t="shared" si="256"/>
        <v>0</v>
      </c>
      <c r="U243" s="168"/>
      <c r="V243" s="168"/>
      <c r="W243" s="168"/>
      <c r="X243" s="168"/>
      <c r="Y243" s="168">
        <v>3196.84</v>
      </c>
      <c r="Z243" s="168">
        <v>4200.3</v>
      </c>
      <c r="AA243" s="168">
        <v>2284</v>
      </c>
      <c r="AB243" s="168">
        <v>3424.43</v>
      </c>
      <c r="AC243" s="168">
        <v>2283.96</v>
      </c>
      <c r="AD243" s="168">
        <v>3109.03</v>
      </c>
      <c r="AE243" s="168">
        <v>3653.61</v>
      </c>
      <c r="AF243" s="139"/>
      <c r="AG243" s="139"/>
    </row>
    <row r="244" spans="1:33" x14ac:dyDescent="0.25">
      <c r="A244" s="130" t="s">
        <v>172</v>
      </c>
      <c r="B244" s="139">
        <v>282.05</v>
      </c>
      <c r="C244" s="139">
        <v>8693.67</v>
      </c>
      <c r="D244" s="139">
        <v>1375.45</v>
      </c>
      <c r="E244" s="139">
        <v>125.45</v>
      </c>
      <c r="F244" s="139"/>
      <c r="G244" s="139"/>
      <c r="H244" s="139"/>
      <c r="I244" s="139"/>
      <c r="J244" s="139"/>
      <c r="K244" s="139"/>
      <c r="L244" s="139"/>
      <c r="M244" s="139"/>
      <c r="N244" s="139">
        <f t="shared" si="269"/>
        <v>10476.620000000001</v>
      </c>
      <c r="O244" s="139"/>
      <c r="P244" s="139">
        <f t="shared" si="270"/>
        <v>20271.052499999994</v>
      </c>
      <c r="Q244" s="139">
        <f t="shared" si="271"/>
        <v>27028.069999999996</v>
      </c>
      <c r="R244" s="139">
        <v>27028.069999999996</v>
      </c>
      <c r="S244" s="170">
        <f t="shared" si="256"/>
        <v>0</v>
      </c>
      <c r="T244" s="168">
        <v>0</v>
      </c>
      <c r="U244" s="168">
        <v>0</v>
      </c>
      <c r="V244" s="168">
        <v>0</v>
      </c>
      <c r="W244" s="168">
        <v>1820.4</v>
      </c>
      <c r="X244" s="168">
        <v>0</v>
      </c>
      <c r="Y244" s="168">
        <v>5256.73</v>
      </c>
      <c r="Z244" s="168">
        <v>3721.9</v>
      </c>
      <c r="AA244" s="168">
        <v>1441.3</v>
      </c>
      <c r="AB244" s="168">
        <v>1188.0899999999999</v>
      </c>
      <c r="AC244" s="168">
        <v>3498.74</v>
      </c>
      <c r="AD244" s="168">
        <v>1048.8599999999999</v>
      </c>
      <c r="AE244" s="168">
        <v>9052.0499999999993</v>
      </c>
      <c r="AF244" s="139">
        <f t="shared" si="272"/>
        <v>952.42000000000007</v>
      </c>
      <c r="AG244" s="139">
        <f t="shared" si="273"/>
        <v>-952.42000000000007</v>
      </c>
    </row>
    <row r="245" spans="1:33" x14ac:dyDescent="0.25">
      <c r="A245" s="130" t="s">
        <v>173</v>
      </c>
      <c r="B245" s="139">
        <v>390</v>
      </c>
      <c r="C245" s="139">
        <v>390</v>
      </c>
      <c r="D245" s="139">
        <v>390</v>
      </c>
      <c r="E245" s="139">
        <v>390</v>
      </c>
      <c r="F245" s="139"/>
      <c r="G245" s="139"/>
      <c r="H245" s="139"/>
      <c r="I245" s="139"/>
      <c r="J245" s="139"/>
      <c r="K245" s="139"/>
      <c r="L245" s="139"/>
      <c r="M245" s="139"/>
      <c r="N245" s="139">
        <f t="shared" si="269"/>
        <v>1560</v>
      </c>
      <c r="O245" s="139"/>
      <c r="P245" s="139">
        <f t="shared" si="270"/>
        <v>2632.5</v>
      </c>
      <c r="Q245" s="139">
        <f t="shared" si="271"/>
        <v>3510</v>
      </c>
      <c r="R245" s="139">
        <v>3510</v>
      </c>
      <c r="S245" s="170">
        <f t="shared" si="256"/>
        <v>0</v>
      </c>
      <c r="T245" s="168">
        <v>0</v>
      </c>
      <c r="U245" s="168">
        <v>0</v>
      </c>
      <c r="V245" s="168">
        <v>0</v>
      </c>
      <c r="W245" s="168">
        <v>390</v>
      </c>
      <c r="X245" s="168">
        <v>390</v>
      </c>
      <c r="Y245" s="168">
        <v>390</v>
      </c>
      <c r="Z245" s="168">
        <v>390</v>
      </c>
      <c r="AA245" s="168">
        <v>390</v>
      </c>
      <c r="AB245" s="168">
        <v>390</v>
      </c>
      <c r="AC245" s="168">
        <v>390</v>
      </c>
      <c r="AD245" s="168">
        <v>390</v>
      </c>
      <c r="AE245" s="168">
        <v>390</v>
      </c>
      <c r="AF245" s="139">
        <f t="shared" si="272"/>
        <v>141.81818181818181</v>
      </c>
      <c r="AG245" s="139">
        <f t="shared" si="273"/>
        <v>-141.81818181818181</v>
      </c>
    </row>
    <row r="246" spans="1:33" x14ac:dyDescent="0.25">
      <c r="A246" s="130" t="s">
        <v>385</v>
      </c>
      <c r="B246" s="139">
        <v>60754.55</v>
      </c>
      <c r="C246" s="139">
        <v>60754.55</v>
      </c>
      <c r="D246" s="139">
        <v>60754.55</v>
      </c>
      <c r="E246" s="139">
        <v>61301.48</v>
      </c>
      <c r="F246" s="139"/>
      <c r="G246" s="139"/>
      <c r="H246" s="139"/>
      <c r="I246" s="139"/>
      <c r="J246" s="139"/>
      <c r="K246" s="139"/>
      <c r="L246" s="139"/>
      <c r="M246" s="139"/>
      <c r="N246" s="139">
        <f t="shared" si="269"/>
        <v>243565.13000000003</v>
      </c>
      <c r="O246" s="139"/>
      <c r="P246" s="139">
        <f t="shared" si="270"/>
        <v>531000</v>
      </c>
      <c r="Q246" s="139">
        <v>708000</v>
      </c>
      <c r="R246" s="139">
        <v>691685.51</v>
      </c>
      <c r="S246" s="170">
        <f t="shared" si="256"/>
        <v>0</v>
      </c>
      <c r="T246" s="168">
        <v>0</v>
      </c>
      <c r="U246" s="168">
        <v>0</v>
      </c>
      <c r="V246" s="168">
        <v>0</v>
      </c>
      <c r="W246" s="168">
        <v>51803</v>
      </c>
      <c r="X246" s="168">
        <v>58244.6</v>
      </c>
      <c r="Y246" s="168">
        <v>55745.919999999998</v>
      </c>
      <c r="Z246" s="168">
        <v>74963</v>
      </c>
      <c r="AA246" s="168">
        <v>57878.13</v>
      </c>
      <c r="AB246" s="168">
        <v>58108.23</v>
      </c>
      <c r="AC246" s="168">
        <v>58744.17</v>
      </c>
      <c r="AD246" s="168">
        <v>58313.18</v>
      </c>
      <c r="AE246" s="168">
        <v>217885.28</v>
      </c>
      <c r="AF246" s="139"/>
      <c r="AG246" s="139"/>
    </row>
    <row r="247" spans="1:33" x14ac:dyDescent="0.25">
      <c r="A247" s="130" t="s">
        <v>463</v>
      </c>
      <c r="B247" s="139">
        <v>7500</v>
      </c>
      <c r="C247" s="139">
        <v>7500</v>
      </c>
      <c r="D247" s="139">
        <v>7500</v>
      </c>
      <c r="E247" s="139">
        <v>7500</v>
      </c>
      <c r="F247" s="139"/>
      <c r="G247" s="139"/>
      <c r="H247" s="139"/>
      <c r="I247" s="139"/>
      <c r="J247" s="139"/>
      <c r="K247" s="139"/>
      <c r="L247" s="139"/>
      <c r="M247" s="139"/>
      <c r="N247" s="139">
        <f t="shared" si="269"/>
        <v>30000</v>
      </c>
      <c r="O247" s="139"/>
      <c r="P247" s="139">
        <f t="shared" si="270"/>
        <v>67500</v>
      </c>
      <c r="Q247" s="139">
        <f t="shared" si="271"/>
        <v>90000</v>
      </c>
      <c r="R247" s="139">
        <v>90000</v>
      </c>
      <c r="S247" s="170">
        <f t="shared" si="256"/>
        <v>0</v>
      </c>
      <c r="U247" s="168"/>
      <c r="V247" s="168"/>
      <c r="W247" s="168"/>
      <c r="X247" s="168"/>
      <c r="Y247" s="168"/>
      <c r="Z247" s="168"/>
      <c r="AA247" s="168"/>
      <c r="AB247" s="168">
        <v>67500</v>
      </c>
      <c r="AC247" s="168">
        <v>7500</v>
      </c>
      <c r="AD247" s="168">
        <v>7500</v>
      </c>
      <c r="AE247" s="168">
        <v>7500</v>
      </c>
      <c r="AF247" s="139"/>
      <c r="AG247" s="139"/>
    </row>
    <row r="248" spans="1:33" x14ac:dyDescent="0.25">
      <c r="A248" s="130" t="s">
        <v>592</v>
      </c>
      <c r="B248" s="139">
        <v>400</v>
      </c>
      <c r="C248" s="139">
        <v>400</v>
      </c>
      <c r="D248" s="139">
        <v>400</v>
      </c>
      <c r="E248" s="139">
        <v>400</v>
      </c>
      <c r="F248" s="139"/>
      <c r="G248" s="139"/>
      <c r="H248" s="139"/>
      <c r="I248" s="139"/>
      <c r="J248" s="139"/>
      <c r="K248" s="139"/>
      <c r="L248" s="139"/>
      <c r="M248" s="139"/>
      <c r="N248" s="139">
        <f t="shared" si="269"/>
        <v>1600</v>
      </c>
      <c r="O248" s="139"/>
      <c r="P248" s="139"/>
      <c r="Q248" s="139"/>
      <c r="R248" s="139"/>
      <c r="S248" s="170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39"/>
      <c r="AG248" s="139"/>
    </row>
    <row r="249" spans="1:33" ht="15.75" thickBot="1" x14ac:dyDescent="0.3">
      <c r="A249" s="138" t="s">
        <v>174</v>
      </c>
      <c r="B249" s="157">
        <f>SUM(B226:B248)</f>
        <v>202577.27999999997</v>
      </c>
      <c r="C249" s="157">
        <f t="shared" ref="C249:H249" si="274">SUM(C226:C248)</f>
        <v>210231.26</v>
      </c>
      <c r="D249" s="157">
        <f t="shared" si="274"/>
        <v>197294.59999999998</v>
      </c>
      <c r="E249" s="157">
        <f t="shared" si="274"/>
        <v>192737.44999999998</v>
      </c>
      <c r="F249" s="157">
        <f t="shared" si="274"/>
        <v>0</v>
      </c>
      <c r="G249" s="157">
        <f t="shared" si="274"/>
        <v>0</v>
      </c>
      <c r="H249" s="157">
        <f t="shared" si="274"/>
        <v>0</v>
      </c>
      <c r="I249" s="157">
        <f t="shared" ref="I249:N249" si="275">SUM(I226:I248)</f>
        <v>0</v>
      </c>
      <c r="J249" s="157">
        <f t="shared" si="275"/>
        <v>0</v>
      </c>
      <c r="K249" s="157">
        <f t="shared" si="275"/>
        <v>0</v>
      </c>
      <c r="L249" s="157">
        <f t="shared" si="275"/>
        <v>0</v>
      </c>
      <c r="M249" s="157">
        <f t="shared" si="275"/>
        <v>0</v>
      </c>
      <c r="N249" s="157">
        <f t="shared" si="275"/>
        <v>802840.59000000008</v>
      </c>
      <c r="O249" s="157"/>
      <c r="P249" s="157">
        <f>SUM(P226:P247)</f>
        <v>1852786.7849999999</v>
      </c>
      <c r="Q249" s="157">
        <f>SUM(Q226:Q247)</f>
        <v>2470382.38</v>
      </c>
      <c r="R249" s="157">
        <v>2658120.36</v>
      </c>
      <c r="S249" s="170">
        <f t="shared" si="256"/>
        <v>0</v>
      </c>
      <c r="T249" s="182">
        <f t="shared" ref="T249:X249" si="276">SUM(T227:T246)</f>
        <v>217438.18</v>
      </c>
      <c r="U249" s="182">
        <f t="shared" si="276"/>
        <v>209198.51</v>
      </c>
      <c r="V249" s="182">
        <f t="shared" si="276"/>
        <v>217237.15000000002</v>
      </c>
      <c r="W249" s="182">
        <f t="shared" si="276"/>
        <v>198728.25999999998</v>
      </c>
      <c r="X249" s="182">
        <f t="shared" si="276"/>
        <v>199475.94999999998</v>
      </c>
      <c r="Y249" s="182">
        <f>SUM(Y227:Y246)</f>
        <v>222170.33999999997</v>
      </c>
      <c r="Z249" s="182">
        <f>SUM(Z227:Z246)</f>
        <v>232432.36999999997</v>
      </c>
      <c r="AA249" s="182">
        <f>SUM(AA227:AA247)</f>
        <v>206199.65</v>
      </c>
      <c r="AB249" s="182">
        <f>SUM(AB226:AB247)</f>
        <v>262615.36</v>
      </c>
      <c r="AC249" s="182">
        <f>SUM(AC226:AC247)</f>
        <v>237014.89</v>
      </c>
      <c r="AD249" s="182">
        <f>SUM(AD226:AD247)</f>
        <v>216333.72999999995</v>
      </c>
      <c r="AE249" s="182">
        <f>SUM(AE226:AE247)</f>
        <v>239275.96999999997</v>
      </c>
      <c r="AF249" s="157">
        <f t="shared" si="272"/>
        <v>72985.508181818193</v>
      </c>
      <c r="AG249" s="157">
        <f t="shared" si="273"/>
        <v>-72985.508181818193</v>
      </c>
    </row>
    <row r="250" spans="1:33" ht="15.75" thickTop="1" x14ac:dyDescent="0.25">
      <c r="C250" s="139"/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/>
      <c r="O250" s="139"/>
      <c r="P250" s="139"/>
      <c r="Q250" s="139"/>
      <c r="R250" s="139"/>
      <c r="S250" s="170">
        <f t="shared" si="256"/>
        <v>0</v>
      </c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39">
        <f t="shared" si="272"/>
        <v>0</v>
      </c>
      <c r="AG250" s="139">
        <f t="shared" si="273"/>
        <v>0</v>
      </c>
    </row>
    <row r="251" spans="1:33" x14ac:dyDescent="0.25">
      <c r="A251" s="130" t="s">
        <v>175</v>
      </c>
      <c r="B251" s="139">
        <v>125</v>
      </c>
      <c r="C251" s="139">
        <v>125</v>
      </c>
      <c r="D251" s="139">
        <v>125</v>
      </c>
      <c r="E251" s="139">
        <v>363</v>
      </c>
      <c r="F251" s="139"/>
      <c r="G251" s="139"/>
      <c r="H251" s="139"/>
      <c r="I251" s="139"/>
      <c r="J251" s="139"/>
      <c r="K251" s="139"/>
      <c r="L251" s="139"/>
      <c r="M251" s="139"/>
      <c r="N251" s="139">
        <f t="shared" ref="N251:N284" si="277">SUM(B251:M251)</f>
        <v>738</v>
      </c>
      <c r="O251" s="139"/>
      <c r="P251" s="139">
        <f>Q251/12*$P$3</f>
        <v>3375</v>
      </c>
      <c r="Q251" s="139">
        <f>R251</f>
        <v>4500</v>
      </c>
      <c r="R251" s="139">
        <v>4500</v>
      </c>
      <c r="S251" s="170">
        <f t="shared" si="256"/>
        <v>0</v>
      </c>
      <c r="T251" s="168">
        <v>0</v>
      </c>
      <c r="U251" s="168">
        <v>0</v>
      </c>
      <c r="V251" s="168">
        <v>0</v>
      </c>
      <c r="W251" s="168"/>
      <c r="X251" s="168">
        <v>0</v>
      </c>
      <c r="Y251" s="168">
        <v>2500</v>
      </c>
      <c r="Z251" s="168">
        <v>2000</v>
      </c>
      <c r="AA251" s="168">
        <v>0</v>
      </c>
      <c r="AB251" s="168">
        <v>0</v>
      </c>
      <c r="AC251" s="168">
        <v>0</v>
      </c>
      <c r="AD251" s="168">
        <v>0</v>
      </c>
      <c r="AE251" s="168">
        <v>0</v>
      </c>
      <c r="AF251" s="139">
        <f t="shared" si="272"/>
        <v>67.090909090909093</v>
      </c>
      <c r="AG251" s="139">
        <f t="shared" si="273"/>
        <v>-67.090909090909093</v>
      </c>
    </row>
    <row r="252" spans="1:33" x14ac:dyDescent="0.25">
      <c r="A252" s="130" t="s">
        <v>176</v>
      </c>
      <c r="B252" s="139">
        <v>6620.95</v>
      </c>
      <c r="C252" s="139">
        <v>6420.95</v>
      </c>
      <c r="D252" s="139">
        <v>6420.95</v>
      </c>
      <c r="E252" s="139">
        <v>6420.95</v>
      </c>
      <c r="F252" s="139"/>
      <c r="G252" s="139"/>
      <c r="H252" s="139"/>
      <c r="I252" s="139"/>
      <c r="J252" s="139"/>
      <c r="K252" s="139"/>
      <c r="L252" s="139"/>
      <c r="M252" s="139"/>
      <c r="N252" s="139">
        <f t="shared" si="277"/>
        <v>25883.8</v>
      </c>
      <c r="O252" s="139"/>
      <c r="P252" s="139">
        <f t="shared" ref="P252:P282" si="278">Q252/12*$P$3</f>
        <v>28319.227500000001</v>
      </c>
      <c r="Q252" s="139">
        <f t="shared" ref="Q252:Q282" si="279">R252</f>
        <v>37758.97</v>
      </c>
      <c r="R252" s="139">
        <v>37758.97</v>
      </c>
      <c r="S252" s="170">
        <f t="shared" si="256"/>
        <v>0</v>
      </c>
      <c r="T252" s="168">
        <v>5835.67</v>
      </c>
      <c r="U252" s="168">
        <v>5000</v>
      </c>
      <c r="V252" s="168">
        <v>4813.05</v>
      </c>
      <c r="W252" s="168">
        <v>5000</v>
      </c>
      <c r="X252" s="168">
        <v>5000</v>
      </c>
      <c r="Y252" s="168">
        <v>5000</v>
      </c>
      <c r="Z252" s="168">
        <v>5000</v>
      </c>
      <c r="AA252" s="168">
        <v>5000</v>
      </c>
      <c r="AB252" s="168">
        <v>-10977.05</v>
      </c>
      <c r="AC252" s="168">
        <v>3250</v>
      </c>
      <c r="AD252" s="168">
        <v>3250</v>
      </c>
      <c r="AE252" s="168">
        <v>1587.3</v>
      </c>
      <c r="AF252" s="139">
        <f t="shared" si="272"/>
        <v>2353.0727272727272</v>
      </c>
      <c r="AG252" s="139">
        <f t="shared" si="273"/>
        <v>-2353.0727272727272</v>
      </c>
    </row>
    <row r="253" spans="1:33" x14ac:dyDescent="0.25">
      <c r="A253" s="130" t="s">
        <v>177</v>
      </c>
      <c r="B253" s="139">
        <v>1825.07</v>
      </c>
      <c r="C253" s="139">
        <v>1670.14</v>
      </c>
      <c r="D253" s="139">
        <v>1152.25</v>
      </c>
      <c r="E253" s="139">
        <v>1455.53</v>
      </c>
      <c r="F253" s="139"/>
      <c r="G253" s="139"/>
      <c r="H253" s="139"/>
      <c r="I253" s="139"/>
      <c r="J253" s="139"/>
      <c r="K253" s="139"/>
      <c r="L253" s="139"/>
      <c r="M253" s="139"/>
      <c r="N253" s="139">
        <f t="shared" si="277"/>
        <v>6102.99</v>
      </c>
      <c r="O253" s="139"/>
      <c r="P253" s="139">
        <f t="shared" si="278"/>
        <v>8026.5225000000009</v>
      </c>
      <c r="Q253" s="139">
        <f t="shared" si="279"/>
        <v>10702.03</v>
      </c>
      <c r="R253" s="139">
        <v>10702.03</v>
      </c>
      <c r="S253" s="170">
        <f t="shared" si="256"/>
        <v>0</v>
      </c>
      <c r="T253" s="168">
        <v>815.83</v>
      </c>
      <c r="U253" s="168">
        <v>1293.81</v>
      </c>
      <c r="V253" s="168">
        <v>863.73</v>
      </c>
      <c r="W253" s="168">
        <v>836.51</v>
      </c>
      <c r="X253" s="168">
        <v>838.95</v>
      </c>
      <c r="Y253" s="168">
        <v>838.95</v>
      </c>
      <c r="Z253" s="168">
        <v>822.29</v>
      </c>
      <c r="AA253" s="168">
        <v>935.47</v>
      </c>
      <c r="AB253" s="168">
        <v>805.06</v>
      </c>
      <c r="AC253" s="168">
        <v>800.32</v>
      </c>
      <c r="AD253" s="168">
        <v>843.26</v>
      </c>
      <c r="AE253" s="168">
        <v>1007.85</v>
      </c>
      <c r="AF253" s="139">
        <f t="shared" si="272"/>
        <v>554.81727272727267</v>
      </c>
      <c r="AG253" s="139">
        <f t="shared" si="273"/>
        <v>-554.81727272727267</v>
      </c>
    </row>
    <row r="254" spans="1:33" x14ac:dyDescent="0.25">
      <c r="A254" s="130" t="s">
        <v>178</v>
      </c>
      <c r="B254" s="139">
        <v>6615.91</v>
      </c>
      <c r="C254" s="139">
        <v>6510.05</v>
      </c>
      <c r="D254" s="139">
        <v>8664.56</v>
      </c>
      <c r="E254" s="139">
        <v>7531</v>
      </c>
      <c r="F254" s="139"/>
      <c r="G254" s="139"/>
      <c r="H254" s="139"/>
      <c r="I254" s="139"/>
      <c r="J254" s="139"/>
      <c r="K254" s="139"/>
      <c r="L254" s="139"/>
      <c r="M254" s="139"/>
      <c r="N254" s="139">
        <f t="shared" si="277"/>
        <v>29321.519999999997</v>
      </c>
      <c r="O254" s="139"/>
      <c r="P254" s="139">
        <f t="shared" si="278"/>
        <v>46261.931250000001</v>
      </c>
      <c r="Q254" s="139">
        <f>123365.15/2</f>
        <v>61682.574999999997</v>
      </c>
      <c r="R254" s="139">
        <v>123365.15</v>
      </c>
      <c r="S254" s="170">
        <f t="shared" si="256"/>
        <v>0</v>
      </c>
      <c r="T254" s="168">
        <v>11891.59</v>
      </c>
      <c r="U254" s="168">
        <v>11089.07</v>
      </c>
      <c r="V254" s="168">
        <v>11189.22</v>
      </c>
      <c r="W254" s="168">
        <v>11179.32</v>
      </c>
      <c r="X254" s="168">
        <v>10355.59</v>
      </c>
      <c r="Y254" s="168">
        <v>2547</v>
      </c>
      <c r="Z254" s="168">
        <v>10193.629999999999</v>
      </c>
      <c r="AA254" s="168">
        <v>11578.59</v>
      </c>
      <c r="AB254" s="168">
        <v>11065.45</v>
      </c>
      <c r="AC254" s="168">
        <v>11588.03</v>
      </c>
      <c r="AD254" s="168">
        <v>10659.28</v>
      </c>
      <c r="AE254" s="168">
        <v>10028.379999999999</v>
      </c>
      <c r="AF254" s="139">
        <f t="shared" si="272"/>
        <v>2665.5927272727272</v>
      </c>
      <c r="AG254" s="139">
        <f t="shared" si="273"/>
        <v>-2665.5927272727272</v>
      </c>
    </row>
    <row r="255" spans="1:33" hidden="1" x14ac:dyDescent="0.25">
      <c r="A255" s="130" t="s">
        <v>179</v>
      </c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>
        <f t="shared" si="277"/>
        <v>0</v>
      </c>
      <c r="O255" s="139"/>
      <c r="P255" s="139">
        <f t="shared" si="278"/>
        <v>407.76</v>
      </c>
      <c r="Q255" s="139">
        <f t="shared" si="279"/>
        <v>543.67999999999995</v>
      </c>
      <c r="R255" s="139">
        <v>543.67999999999995</v>
      </c>
      <c r="S255" s="170">
        <f t="shared" si="256"/>
        <v>0</v>
      </c>
      <c r="T255" s="168">
        <v>0</v>
      </c>
      <c r="U255" s="168">
        <v>0</v>
      </c>
      <c r="V255" s="168">
        <v>0</v>
      </c>
      <c r="W255" s="168">
        <v>0</v>
      </c>
      <c r="X255" s="168">
        <v>0</v>
      </c>
      <c r="Y255" s="168">
        <v>0</v>
      </c>
      <c r="Z255" s="168">
        <v>0</v>
      </c>
      <c r="AA255" s="168">
        <v>0</v>
      </c>
      <c r="AB255" s="168">
        <v>543.67999999999995</v>
      </c>
      <c r="AC255" s="168">
        <v>0</v>
      </c>
      <c r="AD255" s="168">
        <v>0</v>
      </c>
      <c r="AE255" s="168">
        <v>0</v>
      </c>
      <c r="AF255" s="139">
        <f t="shared" si="272"/>
        <v>0</v>
      </c>
      <c r="AG255" s="139">
        <f t="shared" si="273"/>
        <v>0</v>
      </c>
    </row>
    <row r="256" spans="1:33" x14ac:dyDescent="0.25">
      <c r="A256" s="130" t="s">
        <v>180</v>
      </c>
      <c r="B256" s="139">
        <v>573.22</v>
      </c>
      <c r="C256" s="139">
        <v>830.17</v>
      </c>
      <c r="D256" s="139">
        <v>827.17</v>
      </c>
      <c r="E256" s="139">
        <v>4864.25</v>
      </c>
      <c r="F256" s="139"/>
      <c r="G256" s="139"/>
      <c r="H256" s="139"/>
      <c r="I256" s="139"/>
      <c r="J256" s="139"/>
      <c r="K256" s="139"/>
      <c r="L256" s="139"/>
      <c r="M256" s="139"/>
      <c r="N256" s="139">
        <f t="shared" si="277"/>
        <v>7094.8099999999995</v>
      </c>
      <c r="O256" s="139"/>
      <c r="P256" s="139">
        <f t="shared" si="278"/>
        <v>3592.6575000000003</v>
      </c>
      <c r="Q256" s="139">
        <f t="shared" si="279"/>
        <v>4790.21</v>
      </c>
      <c r="R256" s="139">
        <v>4790.21</v>
      </c>
      <c r="S256" s="170">
        <f t="shared" si="256"/>
        <v>0</v>
      </c>
      <c r="T256" s="168">
        <v>2200</v>
      </c>
      <c r="U256" s="168">
        <v>545.54</v>
      </c>
      <c r="V256" s="168">
        <v>774.24</v>
      </c>
      <c r="W256" s="168">
        <v>36.65</v>
      </c>
      <c r="X256" s="168">
        <v>22.4</v>
      </c>
      <c r="Y256" s="168">
        <v>149.9</v>
      </c>
      <c r="Z256" s="168">
        <v>27.1</v>
      </c>
      <c r="AA256" s="168">
        <v>53.2</v>
      </c>
      <c r="AB256" s="168">
        <v>11.78</v>
      </c>
      <c r="AC256" s="168">
        <v>48.35</v>
      </c>
      <c r="AD256" s="168">
        <v>-4997.2299999999996</v>
      </c>
      <c r="AE256" s="168">
        <v>5918.28</v>
      </c>
      <c r="AF256" s="139">
        <f t="shared" si="272"/>
        <v>644.98272727272717</v>
      </c>
      <c r="AG256" s="139">
        <f t="shared" si="273"/>
        <v>-644.98272727272717</v>
      </c>
    </row>
    <row r="257" spans="1:33" hidden="1" x14ac:dyDescent="0.25">
      <c r="A257" s="130" t="s">
        <v>181</v>
      </c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277"/>
        <v>0</v>
      </c>
      <c r="O257" s="139"/>
      <c r="P257" s="139">
        <f t="shared" si="278"/>
        <v>0</v>
      </c>
      <c r="Q257" s="139">
        <f t="shared" si="279"/>
        <v>0</v>
      </c>
      <c r="R257" s="139">
        <v>0</v>
      </c>
      <c r="S257" s="170">
        <f t="shared" si="256"/>
        <v>0</v>
      </c>
      <c r="T257" s="168">
        <v>0</v>
      </c>
      <c r="U257" s="168">
        <v>0</v>
      </c>
      <c r="V257" s="168">
        <v>0</v>
      </c>
      <c r="W257" s="168">
        <v>0</v>
      </c>
      <c r="X257" s="168">
        <v>0</v>
      </c>
      <c r="Y257" s="168">
        <v>0</v>
      </c>
      <c r="Z257" s="168">
        <v>0</v>
      </c>
      <c r="AA257" s="168">
        <v>0</v>
      </c>
      <c r="AB257" s="168">
        <v>0</v>
      </c>
      <c r="AC257" s="168">
        <v>0</v>
      </c>
      <c r="AD257" s="168">
        <v>0</v>
      </c>
      <c r="AE257" s="168">
        <v>0</v>
      </c>
      <c r="AF257" s="139">
        <f t="shared" si="272"/>
        <v>0</v>
      </c>
      <c r="AG257" s="139">
        <f t="shared" si="273"/>
        <v>0</v>
      </c>
    </row>
    <row r="258" spans="1:33" hidden="1" x14ac:dyDescent="0.25">
      <c r="A258" s="130" t="s">
        <v>182</v>
      </c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>
        <f t="shared" si="277"/>
        <v>0</v>
      </c>
      <c r="O258" s="139"/>
      <c r="P258" s="139">
        <f t="shared" si="278"/>
        <v>0</v>
      </c>
      <c r="Q258" s="139">
        <f t="shared" si="279"/>
        <v>0</v>
      </c>
      <c r="R258" s="139">
        <v>0</v>
      </c>
      <c r="S258" s="170">
        <f t="shared" si="256"/>
        <v>0</v>
      </c>
      <c r="T258" s="168">
        <v>0</v>
      </c>
      <c r="U258" s="168">
        <v>0</v>
      </c>
      <c r="V258" s="168">
        <v>0</v>
      </c>
      <c r="W258" s="168">
        <v>0</v>
      </c>
      <c r="X258" s="168">
        <v>0</v>
      </c>
      <c r="Y258" s="168">
        <v>0</v>
      </c>
      <c r="Z258" s="168">
        <v>0</v>
      </c>
      <c r="AA258" s="168">
        <v>0</v>
      </c>
      <c r="AB258" s="168">
        <v>0</v>
      </c>
      <c r="AC258" s="168">
        <v>0</v>
      </c>
      <c r="AD258" s="168">
        <v>0</v>
      </c>
      <c r="AE258" s="168">
        <v>0</v>
      </c>
      <c r="AF258" s="139">
        <f t="shared" si="272"/>
        <v>0</v>
      </c>
      <c r="AG258" s="139">
        <f t="shared" si="273"/>
        <v>0</v>
      </c>
    </row>
    <row r="259" spans="1:33" hidden="1" x14ac:dyDescent="0.25">
      <c r="A259" s="130" t="s">
        <v>183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277"/>
        <v>0</v>
      </c>
      <c r="O259" s="139"/>
      <c r="P259" s="139">
        <f t="shared" si="278"/>
        <v>0</v>
      </c>
      <c r="Q259" s="139">
        <f t="shared" si="279"/>
        <v>0</v>
      </c>
      <c r="R259" s="139">
        <v>0</v>
      </c>
      <c r="S259" s="170">
        <f t="shared" si="256"/>
        <v>0</v>
      </c>
      <c r="T259" s="168">
        <v>0</v>
      </c>
      <c r="U259" s="168">
        <v>0</v>
      </c>
      <c r="V259" s="168">
        <v>0</v>
      </c>
      <c r="W259" s="168">
        <v>0</v>
      </c>
      <c r="X259" s="168">
        <v>0</v>
      </c>
      <c r="Y259" s="168">
        <v>0</v>
      </c>
      <c r="Z259" s="168">
        <v>0</v>
      </c>
      <c r="AA259" s="168">
        <v>0</v>
      </c>
      <c r="AB259" s="168">
        <v>0</v>
      </c>
      <c r="AC259" s="168">
        <v>0</v>
      </c>
      <c r="AD259" s="168">
        <v>0</v>
      </c>
      <c r="AE259" s="168">
        <v>0</v>
      </c>
      <c r="AF259" s="139">
        <f t="shared" si="272"/>
        <v>0</v>
      </c>
      <c r="AG259" s="139">
        <f t="shared" si="273"/>
        <v>0</v>
      </c>
    </row>
    <row r="260" spans="1:33" x14ac:dyDescent="0.25">
      <c r="A260" s="130" t="s">
        <v>184</v>
      </c>
      <c r="B260" s="139">
        <v>2967.81</v>
      </c>
      <c r="C260" s="139">
        <v>467.81</v>
      </c>
      <c r="D260" s="139">
        <v>393.43</v>
      </c>
      <c r="E260" s="139">
        <v>467.81</v>
      </c>
      <c r="F260" s="139"/>
      <c r="G260" s="139"/>
      <c r="H260" s="139"/>
      <c r="I260" s="139"/>
      <c r="J260" s="139"/>
      <c r="K260" s="139"/>
      <c r="L260" s="139"/>
      <c r="M260" s="139"/>
      <c r="N260" s="139">
        <f t="shared" si="277"/>
        <v>4296.8599999999997</v>
      </c>
      <c r="O260" s="139"/>
      <c r="P260" s="139">
        <f t="shared" si="278"/>
        <v>18483.015000000003</v>
      </c>
      <c r="Q260" s="139">
        <f t="shared" si="279"/>
        <v>24644.020000000004</v>
      </c>
      <c r="R260" s="139">
        <v>24644.020000000004</v>
      </c>
      <c r="S260" s="170">
        <f t="shared" si="256"/>
        <v>0</v>
      </c>
      <c r="T260" s="168">
        <v>0</v>
      </c>
      <c r="U260" s="168">
        <v>0</v>
      </c>
      <c r="V260" s="168">
        <v>0</v>
      </c>
      <c r="W260" s="168">
        <v>3888.88</v>
      </c>
      <c r="X260" s="168">
        <v>3888.88</v>
      </c>
      <c r="Y260" s="168">
        <v>13152.25</v>
      </c>
      <c r="Z260" s="168">
        <v>10269.51</v>
      </c>
      <c r="AA260" s="168">
        <v>3908.87</v>
      </c>
      <c r="AB260" s="168">
        <v>-19383.14</v>
      </c>
      <c r="AC260" s="168">
        <v>0</v>
      </c>
      <c r="AD260" s="168">
        <v>-9046.33</v>
      </c>
      <c r="AE260" s="168">
        <v>17965.099999999999</v>
      </c>
      <c r="AF260" s="139">
        <f t="shared" si="272"/>
        <v>390.62363636363631</v>
      </c>
      <c r="AG260" s="139">
        <f t="shared" si="273"/>
        <v>-390.62363636363631</v>
      </c>
    </row>
    <row r="261" spans="1:33" x14ac:dyDescent="0.25">
      <c r="A261" s="130" t="s">
        <v>185</v>
      </c>
      <c r="B261" s="139">
        <v>396.78</v>
      </c>
      <c r="C261" s="139">
        <v>61.78</v>
      </c>
      <c r="D261" s="139">
        <v>2020.76</v>
      </c>
      <c r="E261" s="139">
        <v>0</v>
      </c>
      <c r="F261" s="139"/>
      <c r="G261" s="139"/>
      <c r="H261" s="139"/>
      <c r="I261" s="139"/>
      <c r="J261" s="139"/>
      <c r="K261" s="139"/>
      <c r="L261" s="139"/>
      <c r="M261" s="139"/>
      <c r="N261" s="139">
        <f t="shared" si="277"/>
        <v>2479.3199999999997</v>
      </c>
      <c r="O261" s="139"/>
      <c r="P261" s="139">
        <f t="shared" si="278"/>
        <v>5009.2275</v>
      </c>
      <c r="Q261" s="139">
        <f t="shared" si="279"/>
        <v>6678.97</v>
      </c>
      <c r="R261" s="139">
        <v>6678.97</v>
      </c>
      <c r="S261" s="170">
        <f t="shared" si="256"/>
        <v>0</v>
      </c>
      <c r="T261" s="168">
        <v>0</v>
      </c>
      <c r="U261" s="168">
        <v>0</v>
      </c>
      <c r="V261" s="168">
        <v>0</v>
      </c>
      <c r="W261" s="168">
        <v>0</v>
      </c>
      <c r="X261" s="168">
        <v>0</v>
      </c>
      <c r="Y261" s="168">
        <v>234.03</v>
      </c>
      <c r="Z261" s="168">
        <v>0</v>
      </c>
      <c r="AA261" s="168">
        <v>56.7</v>
      </c>
      <c r="AB261" s="168">
        <v>106.9</v>
      </c>
      <c r="AC261" s="168">
        <v>0</v>
      </c>
      <c r="AD261" s="168">
        <v>452.7</v>
      </c>
      <c r="AE261" s="168">
        <v>5828.64</v>
      </c>
      <c r="AF261" s="139">
        <f t="shared" si="272"/>
        <v>225.39272727272726</v>
      </c>
      <c r="AG261" s="139">
        <f t="shared" si="273"/>
        <v>-225.39272727272726</v>
      </c>
    </row>
    <row r="262" spans="1:33" x14ac:dyDescent="0.25">
      <c r="A262" s="130" t="s">
        <v>186</v>
      </c>
      <c r="B262" s="139">
        <v>1648.64</v>
      </c>
      <c r="C262" s="139">
        <v>1692.83</v>
      </c>
      <c r="D262" s="139">
        <v>1572.87</v>
      </c>
      <c r="E262" s="139">
        <v>1731.87</v>
      </c>
      <c r="F262" s="139"/>
      <c r="G262" s="139"/>
      <c r="H262" s="139"/>
      <c r="I262" s="139"/>
      <c r="J262" s="139"/>
      <c r="K262" s="139"/>
      <c r="L262" s="139"/>
      <c r="M262" s="139"/>
      <c r="N262" s="139">
        <f t="shared" si="277"/>
        <v>6646.21</v>
      </c>
      <c r="O262" s="139"/>
      <c r="P262" s="139">
        <f t="shared" si="278"/>
        <v>13050</v>
      </c>
      <c r="Q262" s="139">
        <v>17400</v>
      </c>
      <c r="R262" s="139">
        <v>17043.18</v>
      </c>
      <c r="S262" s="170">
        <f t="shared" si="256"/>
        <v>0</v>
      </c>
      <c r="T262" s="168">
        <v>-1079.68</v>
      </c>
      <c r="U262" s="168">
        <v>2431.7199999999998</v>
      </c>
      <c r="V262" s="168">
        <v>1397.5</v>
      </c>
      <c r="W262" s="168">
        <f>1455.94+540.08</f>
        <v>1996.02</v>
      </c>
      <c r="X262" s="168">
        <v>4141.2299999999996</v>
      </c>
      <c r="Y262" s="168">
        <v>1897.43</v>
      </c>
      <c r="Z262" s="168">
        <v>1351.56</v>
      </c>
      <c r="AA262" s="168">
        <v>1842.88</v>
      </c>
      <c r="AB262" s="168">
        <v>-947.97</v>
      </c>
      <c r="AC262" s="168">
        <v>1431.58</v>
      </c>
      <c r="AD262" s="168">
        <v>1149.33</v>
      </c>
      <c r="AE262" s="168">
        <v>1431.58</v>
      </c>
      <c r="AF262" s="139">
        <f t="shared" si="272"/>
        <v>604.20090909090914</v>
      </c>
      <c r="AG262" s="139">
        <f t="shared" si="273"/>
        <v>-604.20090909090914</v>
      </c>
    </row>
    <row r="263" spans="1:33" hidden="1" x14ac:dyDescent="0.25">
      <c r="A263" s="130" t="s">
        <v>573</v>
      </c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>
        <f t="shared" si="277"/>
        <v>0</v>
      </c>
      <c r="O263" s="139"/>
      <c r="P263" s="139"/>
      <c r="Q263" s="139"/>
      <c r="R263" s="139"/>
      <c r="S263" s="170"/>
      <c r="U263" s="168"/>
      <c r="V263" s="168"/>
      <c r="W263" s="168"/>
      <c r="X263" s="168"/>
      <c r="Y263" s="168"/>
      <c r="Z263" s="168"/>
      <c r="AA263" s="168"/>
      <c r="AB263" s="168"/>
      <c r="AC263" s="168"/>
      <c r="AD263" s="168"/>
      <c r="AE263" s="168"/>
      <c r="AF263" s="139"/>
      <c r="AG263" s="139"/>
    </row>
    <row r="264" spans="1:33" x14ac:dyDescent="0.25">
      <c r="A264" s="130" t="s">
        <v>187</v>
      </c>
      <c r="C264" s="139">
        <v>562.80999999999995</v>
      </c>
      <c r="D264" s="139">
        <v>3741.75</v>
      </c>
      <c r="E264" s="139"/>
      <c r="F264" s="139"/>
      <c r="G264" s="139"/>
      <c r="H264" s="139"/>
      <c r="I264" s="139"/>
      <c r="J264" s="139"/>
      <c r="K264" s="139"/>
      <c r="L264" s="139"/>
      <c r="M264" s="139"/>
      <c r="N264" s="139">
        <f t="shared" si="277"/>
        <v>4304.5599999999995</v>
      </c>
      <c r="O264" s="139"/>
      <c r="P264" s="139">
        <f t="shared" si="278"/>
        <v>1170.4575</v>
      </c>
      <c r="Q264" s="139">
        <f t="shared" si="279"/>
        <v>1560.6100000000001</v>
      </c>
      <c r="R264" s="139">
        <v>1560.6100000000001</v>
      </c>
      <c r="S264" s="170">
        <f t="shared" si="256"/>
        <v>0</v>
      </c>
      <c r="T264" s="168">
        <v>369.62</v>
      </c>
      <c r="U264" s="168">
        <v>337.5</v>
      </c>
      <c r="V264" s="168">
        <v>0</v>
      </c>
      <c r="W264" s="168">
        <v>269.62</v>
      </c>
      <c r="X264" s="168">
        <v>0</v>
      </c>
      <c r="Y264" s="168">
        <v>0</v>
      </c>
      <c r="Z264" s="168">
        <v>291.94</v>
      </c>
      <c r="AA264" s="168">
        <v>0</v>
      </c>
      <c r="AB264" s="168">
        <v>0</v>
      </c>
      <c r="AC264" s="168">
        <v>291.93</v>
      </c>
      <c r="AD264" s="168">
        <v>0</v>
      </c>
      <c r="AE264" s="168">
        <v>0</v>
      </c>
      <c r="AF264" s="139">
        <f t="shared" si="272"/>
        <v>391.3236363636363</v>
      </c>
      <c r="AG264" s="139">
        <f t="shared" si="273"/>
        <v>-391.3236363636363</v>
      </c>
    </row>
    <row r="265" spans="1:33" x14ac:dyDescent="0.25">
      <c r="A265" s="130" t="s">
        <v>188</v>
      </c>
      <c r="B265" s="139">
        <v>1195</v>
      </c>
      <c r="C265" s="139">
        <v>2793</v>
      </c>
      <c r="D265" s="139">
        <v>0</v>
      </c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277"/>
        <v>3988</v>
      </c>
      <c r="O265" s="139"/>
      <c r="P265" s="139">
        <f t="shared" si="278"/>
        <v>24634.35</v>
      </c>
      <c r="Q265" s="139">
        <f t="shared" si="279"/>
        <v>32845.799999999996</v>
      </c>
      <c r="R265" s="139">
        <v>32845.799999999996</v>
      </c>
      <c r="S265" s="170">
        <f t="shared" si="256"/>
        <v>0</v>
      </c>
      <c r="T265" s="168">
        <v>5036.3900000000003</v>
      </c>
      <c r="U265" s="168">
        <v>4091.87</v>
      </c>
      <c r="V265" s="168">
        <v>4231.8500000000004</v>
      </c>
      <c r="W265" s="168">
        <v>1960.99</v>
      </c>
      <c r="X265" s="168">
        <v>3137.77</v>
      </c>
      <c r="Y265" s="168">
        <v>2373.7600000000002</v>
      </c>
      <c r="Z265" s="168">
        <v>2720.77</v>
      </c>
      <c r="AA265" s="168">
        <v>2233.6799999999998</v>
      </c>
      <c r="AB265" s="168">
        <v>1749.68</v>
      </c>
      <c r="AC265" s="168">
        <v>1749.68</v>
      </c>
      <c r="AD265" s="168">
        <v>1809.68</v>
      </c>
      <c r="AE265" s="168">
        <v>1749.68</v>
      </c>
      <c r="AF265" s="139">
        <f t="shared" si="272"/>
        <v>362.54545454545456</v>
      </c>
      <c r="AG265" s="139">
        <f t="shared" si="273"/>
        <v>-362.54545454545456</v>
      </c>
    </row>
    <row r="266" spans="1:33" x14ac:dyDescent="0.25">
      <c r="A266" s="130" t="s">
        <v>189</v>
      </c>
      <c r="B266" s="139">
        <v>671.94</v>
      </c>
      <c r="C266" s="139">
        <v>605.78</v>
      </c>
      <c r="D266" s="139">
        <v>1463.45</v>
      </c>
      <c r="E266" s="139">
        <v>186.27</v>
      </c>
      <c r="F266" s="139"/>
      <c r="G266" s="139"/>
      <c r="H266" s="139"/>
      <c r="I266" s="139"/>
      <c r="J266" s="139"/>
      <c r="K266" s="139"/>
      <c r="L266" s="139"/>
      <c r="M266" s="139"/>
      <c r="N266" s="139">
        <f t="shared" si="277"/>
        <v>2927.44</v>
      </c>
      <c r="O266" s="139"/>
      <c r="P266" s="139">
        <f t="shared" si="278"/>
        <v>19390.365000000002</v>
      </c>
      <c r="Q266" s="139">
        <f t="shared" si="279"/>
        <v>25853.820000000003</v>
      </c>
      <c r="R266" s="139">
        <v>25853.820000000003</v>
      </c>
      <c r="S266" s="170">
        <f t="shared" si="256"/>
        <v>0</v>
      </c>
      <c r="T266" s="168">
        <v>2582.41</v>
      </c>
      <c r="U266" s="168">
        <v>2701.31</v>
      </c>
      <c r="V266" s="168">
        <v>3298.35</v>
      </c>
      <c r="W266" s="168">
        <v>2350.81</v>
      </c>
      <c r="X266" s="168">
        <v>2499.0500000000002</v>
      </c>
      <c r="Y266" s="168">
        <v>3334.89</v>
      </c>
      <c r="Z266" s="168">
        <v>2438.75</v>
      </c>
      <c r="AA266" s="168">
        <v>2256.88</v>
      </c>
      <c r="AB266" s="168">
        <v>-2442.33</v>
      </c>
      <c r="AC266" s="168">
        <v>2761.82</v>
      </c>
      <c r="AD266" s="168">
        <v>1312.38</v>
      </c>
      <c r="AE266" s="168">
        <v>2759.5</v>
      </c>
      <c r="AF266" s="139">
        <f t="shared" si="272"/>
        <v>266.13090909090909</v>
      </c>
      <c r="AG266" s="139">
        <f t="shared" si="273"/>
        <v>-266.13090909090909</v>
      </c>
    </row>
    <row r="267" spans="1:33" hidden="1" x14ac:dyDescent="0.25">
      <c r="A267" s="130" t="s">
        <v>190</v>
      </c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/>
      <c r="O267" s="139"/>
      <c r="P267" s="139">
        <f t="shared" si="278"/>
        <v>0</v>
      </c>
      <c r="Q267" s="139">
        <f t="shared" si="279"/>
        <v>0</v>
      </c>
      <c r="R267" s="139"/>
      <c r="S267" s="170">
        <f t="shared" si="256"/>
        <v>0</v>
      </c>
      <c r="U267" s="168"/>
      <c r="V267" s="168"/>
      <c r="W267" s="168"/>
      <c r="X267" s="168"/>
      <c r="Y267" s="168"/>
      <c r="Z267" s="168"/>
      <c r="AA267" s="168"/>
      <c r="AB267" s="168"/>
      <c r="AC267" s="168"/>
      <c r="AD267" s="168"/>
      <c r="AE267" s="168"/>
      <c r="AF267" s="139">
        <f>(N267-M267)/11</f>
        <v>0</v>
      </c>
      <c r="AG267" s="139">
        <f>M267-AF267</f>
        <v>0</v>
      </c>
    </row>
    <row r="268" spans="1:33" x14ac:dyDescent="0.25">
      <c r="A268" s="130" t="s">
        <v>191</v>
      </c>
      <c r="B268" s="139">
        <v>2439.17</v>
      </c>
      <c r="C268" s="139">
        <v>3322.38</v>
      </c>
      <c r="D268" s="139">
        <v>1612.25</v>
      </c>
      <c r="E268" s="139">
        <v>1612.25</v>
      </c>
      <c r="F268" s="139"/>
      <c r="G268" s="139"/>
      <c r="H268" s="139"/>
      <c r="I268" s="139"/>
      <c r="J268" s="139"/>
      <c r="K268" s="139"/>
      <c r="L268" s="139"/>
      <c r="M268" s="139"/>
      <c r="N268" s="139">
        <f t="shared" si="277"/>
        <v>8986.0499999999993</v>
      </c>
      <c r="O268" s="139"/>
      <c r="P268" s="139">
        <f t="shared" si="278"/>
        <v>11484.21</v>
      </c>
      <c r="Q268" s="139">
        <f t="shared" si="279"/>
        <v>15312.279999999999</v>
      </c>
      <c r="R268" s="139">
        <v>15312.279999999999</v>
      </c>
      <c r="S268" s="170">
        <f t="shared" si="256"/>
        <v>0</v>
      </c>
      <c r="T268" s="168">
        <v>3253.33</v>
      </c>
      <c r="U268" s="168">
        <v>2533.33</v>
      </c>
      <c r="V268" s="168">
        <v>2533.33</v>
      </c>
      <c r="W268" s="168">
        <v>2533.33</v>
      </c>
      <c r="X268" s="168">
        <v>2533.33</v>
      </c>
      <c r="Y268" s="168">
        <v>2533.33</v>
      </c>
      <c r="Z268" s="168">
        <v>2533.33</v>
      </c>
      <c r="AA268" s="168">
        <v>2533.33</v>
      </c>
      <c r="AB268" s="168">
        <v>-10791.02</v>
      </c>
      <c r="AC268" s="168">
        <v>2533.33</v>
      </c>
      <c r="AD268" s="168">
        <v>2583.33</v>
      </c>
      <c r="AE268" s="168">
        <v>0</v>
      </c>
      <c r="AF268" s="139">
        <f t="shared" si="272"/>
        <v>816.91363636363633</v>
      </c>
      <c r="AG268" s="139">
        <f t="shared" si="273"/>
        <v>-816.91363636363633</v>
      </c>
    </row>
    <row r="269" spans="1:33" x14ac:dyDescent="0.25">
      <c r="A269" s="130" t="s">
        <v>192</v>
      </c>
      <c r="B269" s="139">
        <v>2087.75</v>
      </c>
      <c r="C269" s="139">
        <v>2087.75</v>
      </c>
      <c r="D269" s="139">
        <v>2087.75</v>
      </c>
      <c r="E269" s="139">
        <v>2087.75</v>
      </c>
      <c r="F269" s="139"/>
      <c r="G269" s="139"/>
      <c r="H269" s="139"/>
      <c r="I269" s="139"/>
      <c r="J269" s="139"/>
      <c r="K269" s="139"/>
      <c r="L269" s="139"/>
      <c r="M269" s="139"/>
      <c r="N269" s="139">
        <f t="shared" si="277"/>
        <v>8351</v>
      </c>
      <c r="O269" s="139"/>
      <c r="P269" s="139">
        <f t="shared" si="278"/>
        <v>14871.262499999999</v>
      </c>
      <c r="Q269" s="139">
        <f t="shared" si="279"/>
        <v>19828.349999999999</v>
      </c>
      <c r="R269" s="139">
        <v>19828.349999999999</v>
      </c>
      <c r="S269" s="170">
        <f t="shared" si="256"/>
        <v>0</v>
      </c>
      <c r="T269" s="168">
        <v>1266.67</v>
      </c>
      <c r="U269" s="168">
        <v>1266.67</v>
      </c>
      <c r="V269" s="168">
        <v>6536.01</v>
      </c>
      <c r="W269" s="168">
        <v>3238.1</v>
      </c>
      <c r="X269" s="168">
        <v>3238.1</v>
      </c>
      <c r="Y269" s="168">
        <v>-3590.69</v>
      </c>
      <c r="Z269" s="168">
        <v>1535.07</v>
      </c>
      <c r="AA269" s="168">
        <v>1266.67</v>
      </c>
      <c r="AB269" s="168">
        <v>2678.42</v>
      </c>
      <c r="AC269" s="168">
        <v>1991.67</v>
      </c>
      <c r="AD269" s="168">
        <v>2440.2399999999998</v>
      </c>
      <c r="AE269" s="168">
        <v>-2038.58</v>
      </c>
      <c r="AF269" s="139">
        <f t="shared" si="272"/>
        <v>759.18181818181813</v>
      </c>
      <c r="AG269" s="139">
        <f t="shared" si="273"/>
        <v>-759.18181818181813</v>
      </c>
    </row>
    <row r="270" spans="1:33" x14ac:dyDescent="0.25">
      <c r="A270" s="130" t="s">
        <v>193</v>
      </c>
      <c r="B270" s="139">
        <v>735.52</v>
      </c>
      <c r="C270" s="139">
        <v>0</v>
      </c>
      <c r="D270" s="139">
        <v>382.24</v>
      </c>
      <c r="E270" s="139">
        <v>0</v>
      </c>
      <c r="F270" s="139"/>
      <c r="G270" s="139"/>
      <c r="H270" s="139"/>
      <c r="I270" s="139"/>
      <c r="J270" s="139"/>
      <c r="K270" s="139"/>
      <c r="L270" s="139"/>
      <c r="M270" s="139"/>
      <c r="N270" s="139">
        <f t="shared" si="277"/>
        <v>1117.76</v>
      </c>
      <c r="O270" s="139"/>
      <c r="P270" s="139">
        <f t="shared" si="278"/>
        <v>4215.9674999999997</v>
      </c>
      <c r="Q270" s="139">
        <f>R270</f>
        <v>5621.29</v>
      </c>
      <c r="R270" s="139">
        <v>5621.29</v>
      </c>
      <c r="S270" s="170">
        <f t="shared" si="256"/>
        <v>0</v>
      </c>
      <c r="T270" s="168">
        <v>428.57</v>
      </c>
      <c r="U270" s="168">
        <v>428.57</v>
      </c>
      <c r="V270" s="168">
        <v>428.57</v>
      </c>
      <c r="W270" s="168">
        <v>428.57</v>
      </c>
      <c r="X270" s="168">
        <v>1580.99</v>
      </c>
      <c r="Y270" s="168">
        <v>-895.84</v>
      </c>
      <c r="Z270" s="168">
        <v>374.03</v>
      </c>
      <c r="AA270" s="168">
        <v>750</v>
      </c>
      <c r="AB270" s="168">
        <v>1068.75</v>
      </c>
      <c r="AC270" s="168">
        <v>673.75</v>
      </c>
      <c r="AD270" s="168">
        <v>342</v>
      </c>
      <c r="AE270" s="168">
        <v>13.33</v>
      </c>
      <c r="AF270" s="139">
        <f t="shared" si="272"/>
        <v>101.61454545454545</v>
      </c>
      <c r="AG270" s="139">
        <f t="shared" si="273"/>
        <v>-101.61454545454545</v>
      </c>
    </row>
    <row r="271" spans="1:33" x14ac:dyDescent="0.25">
      <c r="A271" s="130" t="s">
        <v>194</v>
      </c>
      <c r="B271" s="139">
        <v>622.42999999999995</v>
      </c>
      <c r="C271" s="139">
        <v>7796.58</v>
      </c>
      <c r="D271" s="139">
        <v>2479.58</v>
      </c>
      <c r="E271" s="139">
        <v>116.9</v>
      </c>
      <c r="F271" s="139"/>
      <c r="G271" s="139"/>
      <c r="H271" s="139"/>
      <c r="I271" s="139"/>
      <c r="J271" s="139"/>
      <c r="K271" s="139"/>
      <c r="L271" s="139"/>
      <c r="M271" s="139"/>
      <c r="N271" s="139">
        <f t="shared" si="277"/>
        <v>11015.49</v>
      </c>
      <c r="O271" s="139"/>
      <c r="P271" s="139">
        <f t="shared" si="278"/>
        <v>17399.370000000003</v>
      </c>
      <c r="Q271" s="139">
        <f t="shared" si="279"/>
        <v>23199.160000000003</v>
      </c>
      <c r="R271" s="139">
        <v>23199.160000000003</v>
      </c>
      <c r="S271" s="170">
        <f t="shared" si="256"/>
        <v>0</v>
      </c>
      <c r="T271" s="168">
        <v>2451.4299999999998</v>
      </c>
      <c r="U271" s="168">
        <v>2673.97</v>
      </c>
      <c r="V271" s="168">
        <v>2254.42</v>
      </c>
      <c r="W271" s="168">
        <v>0</v>
      </c>
      <c r="X271" s="168">
        <v>865.5</v>
      </c>
      <c r="Y271" s="168">
        <v>3530.1</v>
      </c>
      <c r="Z271" s="168">
        <v>2405.85</v>
      </c>
      <c r="AA271" s="168">
        <v>2695.65</v>
      </c>
      <c r="AB271" s="168">
        <v>1073.3599999999999</v>
      </c>
      <c r="AC271" s="168">
        <v>1240.24</v>
      </c>
      <c r="AD271" s="168">
        <v>1636.36</v>
      </c>
      <c r="AE271" s="168">
        <v>2372.2800000000002</v>
      </c>
      <c r="AF271" s="139">
        <f t="shared" si="272"/>
        <v>1001.4081818181818</v>
      </c>
      <c r="AG271" s="139">
        <f t="shared" si="273"/>
        <v>-1001.4081818181818</v>
      </c>
    </row>
    <row r="272" spans="1:33" hidden="1" x14ac:dyDescent="0.25">
      <c r="A272" s="130" t="s">
        <v>195</v>
      </c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>
        <f t="shared" si="277"/>
        <v>0</v>
      </c>
      <c r="O272" s="139"/>
      <c r="P272" s="139">
        <f t="shared" si="278"/>
        <v>0</v>
      </c>
      <c r="Q272" s="139">
        <f t="shared" si="279"/>
        <v>0</v>
      </c>
      <c r="R272" s="139">
        <v>0</v>
      </c>
      <c r="S272" s="170">
        <f t="shared" si="256"/>
        <v>0</v>
      </c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39">
        <f t="shared" si="272"/>
        <v>0</v>
      </c>
      <c r="AG272" s="139">
        <f t="shared" si="273"/>
        <v>0</v>
      </c>
    </row>
    <row r="273" spans="1:33" hidden="1" x14ac:dyDescent="0.25">
      <c r="A273" s="130" t="s">
        <v>426</v>
      </c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>
        <f t="shared" si="277"/>
        <v>0</v>
      </c>
      <c r="O273" s="139"/>
      <c r="P273" s="139">
        <f t="shared" si="278"/>
        <v>0</v>
      </c>
      <c r="Q273" s="139">
        <f t="shared" si="279"/>
        <v>0</v>
      </c>
      <c r="R273" s="139">
        <v>0</v>
      </c>
      <c r="S273" s="170">
        <f t="shared" si="256"/>
        <v>0</v>
      </c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39"/>
      <c r="AG273" s="139"/>
    </row>
    <row r="274" spans="1:33" x14ac:dyDescent="0.25">
      <c r="A274" s="130" t="s">
        <v>386</v>
      </c>
      <c r="B274" s="139">
        <v>7289.15</v>
      </c>
      <c r="C274" s="139">
        <v>7787.15</v>
      </c>
      <c r="D274" s="139">
        <v>6791.15</v>
      </c>
      <c r="E274" s="139">
        <v>7289.15</v>
      </c>
      <c r="F274" s="139"/>
      <c r="G274" s="139"/>
      <c r="H274" s="139"/>
      <c r="I274" s="139"/>
      <c r="J274" s="139"/>
      <c r="K274" s="139"/>
      <c r="L274" s="139"/>
      <c r="M274" s="139"/>
      <c r="N274" s="139">
        <f t="shared" si="277"/>
        <v>29156.6</v>
      </c>
      <c r="O274" s="139"/>
      <c r="P274" s="139">
        <f t="shared" si="278"/>
        <v>60000</v>
      </c>
      <c r="Q274" s="139">
        <v>80000</v>
      </c>
      <c r="R274" s="139">
        <v>83381.570000000007</v>
      </c>
      <c r="S274" s="170">
        <f t="shared" ref="S274:S305" si="280">R274-SUM(T274:AE274)</f>
        <v>0</v>
      </c>
      <c r="T274" s="168">
        <v>3782</v>
      </c>
      <c r="U274" s="168">
        <v>3307.08</v>
      </c>
      <c r="V274" s="168">
        <v>1484.08</v>
      </c>
      <c r="W274" s="168">
        <v>3120.16</v>
      </c>
      <c r="X274" s="168">
        <v>1484.08</v>
      </c>
      <c r="Y274" s="168">
        <v>10055.51</v>
      </c>
      <c r="Z274" s="168">
        <v>11706.59</v>
      </c>
      <c r="AA274" s="168">
        <v>10222.51</v>
      </c>
      <c r="AB274" s="168">
        <v>-2159.27</v>
      </c>
      <c r="AC274" s="168">
        <v>9218.25</v>
      </c>
      <c r="AD274" s="168">
        <v>7869.73</v>
      </c>
      <c r="AE274" s="168">
        <v>23290.85</v>
      </c>
      <c r="AF274" s="139"/>
      <c r="AG274" s="139"/>
    </row>
    <row r="275" spans="1:33" x14ac:dyDescent="0.25">
      <c r="A275" s="130" t="s">
        <v>421</v>
      </c>
      <c r="B275" s="139">
        <v>19583.330000000002</v>
      </c>
      <c r="C275" s="139">
        <v>19583.330000000002</v>
      </c>
      <c r="D275" s="139">
        <v>19583.330000000002</v>
      </c>
      <c r="E275" s="139">
        <v>19583.330000000002</v>
      </c>
      <c r="F275" s="139"/>
      <c r="G275" s="139"/>
      <c r="H275" s="139"/>
      <c r="I275" s="139"/>
      <c r="J275" s="139"/>
      <c r="K275" s="139"/>
      <c r="L275" s="139"/>
      <c r="M275" s="139"/>
      <c r="N275" s="139">
        <f t="shared" si="277"/>
        <v>78333.320000000007</v>
      </c>
      <c r="O275" s="139"/>
      <c r="P275" s="139">
        <f t="shared" si="278"/>
        <v>180000</v>
      </c>
      <c r="Q275" s="139">
        <f>(160000+45000+8500)+26500</f>
        <v>240000</v>
      </c>
      <c r="R275" s="139">
        <v>349999.99000000005</v>
      </c>
      <c r="S275" s="170">
        <f t="shared" si="280"/>
        <v>0</v>
      </c>
      <c r="T275" s="168">
        <v>44000</v>
      </c>
      <c r="U275" s="168">
        <v>25000</v>
      </c>
      <c r="V275" s="168">
        <v>25000</v>
      </c>
      <c r="W275" s="168">
        <v>25000</v>
      </c>
      <c r="X275" s="168">
        <v>25000</v>
      </c>
      <c r="Y275" s="168">
        <v>29428.57</v>
      </c>
      <c r="Z275" s="168">
        <v>29428.57</v>
      </c>
      <c r="AA275" s="168">
        <v>29428.57</v>
      </c>
      <c r="AB275" s="168">
        <v>29428.57</v>
      </c>
      <c r="AC275" s="168">
        <v>29428.57</v>
      </c>
      <c r="AD275" s="168">
        <v>29428.57</v>
      </c>
      <c r="AE275" s="168">
        <v>29428.57</v>
      </c>
      <c r="AF275" s="139"/>
      <c r="AG275" s="139"/>
    </row>
    <row r="276" spans="1:33" x14ac:dyDescent="0.25">
      <c r="A276" s="130" t="s">
        <v>387</v>
      </c>
      <c r="B276" s="139">
        <v>7500</v>
      </c>
      <c r="C276" s="139">
        <v>7500</v>
      </c>
      <c r="D276" s="139">
        <v>7500</v>
      </c>
      <c r="E276" s="139">
        <v>11250</v>
      </c>
      <c r="F276" s="139"/>
      <c r="G276" s="139"/>
      <c r="H276" s="139"/>
      <c r="I276" s="139"/>
      <c r="J276" s="139"/>
      <c r="K276" s="139"/>
      <c r="L276" s="139"/>
      <c r="M276" s="139"/>
      <c r="N276" s="139">
        <f t="shared" si="277"/>
        <v>33750</v>
      </c>
      <c r="O276" s="139"/>
      <c r="P276" s="139">
        <f t="shared" si="278"/>
        <v>67875</v>
      </c>
      <c r="Q276" s="139">
        <f t="shared" si="279"/>
        <v>90500</v>
      </c>
      <c r="R276" s="139">
        <v>90500</v>
      </c>
      <c r="S276" s="170">
        <f t="shared" si="280"/>
        <v>0</v>
      </c>
      <c r="T276" s="168">
        <v>7500</v>
      </c>
      <c r="U276" s="168">
        <v>7500</v>
      </c>
      <c r="V276" s="168">
        <v>8000</v>
      </c>
      <c r="W276" s="168">
        <v>7500</v>
      </c>
      <c r="X276" s="168">
        <v>7500</v>
      </c>
      <c r="Y276" s="168">
        <v>7500</v>
      </c>
      <c r="Z276" s="168">
        <v>7500</v>
      </c>
      <c r="AA276" s="168">
        <v>7500</v>
      </c>
      <c r="AB276" s="168">
        <v>7500</v>
      </c>
      <c r="AC276" s="168">
        <v>7500</v>
      </c>
      <c r="AD276" s="168">
        <v>7500</v>
      </c>
      <c r="AE276" s="168">
        <v>7500</v>
      </c>
      <c r="AF276" s="139"/>
      <c r="AG276" s="139"/>
    </row>
    <row r="277" spans="1:33" hidden="1" x14ac:dyDescent="0.25">
      <c r="A277" s="130" t="s">
        <v>422</v>
      </c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>
        <f t="shared" si="277"/>
        <v>0</v>
      </c>
      <c r="O277" s="139"/>
      <c r="P277" s="139">
        <f t="shared" si="278"/>
        <v>0</v>
      </c>
      <c r="Q277" s="139">
        <v>0</v>
      </c>
      <c r="R277" s="139">
        <v>33743.360000000001</v>
      </c>
      <c r="S277" s="170">
        <f t="shared" si="280"/>
        <v>0</v>
      </c>
      <c r="T277" s="168">
        <v>0</v>
      </c>
      <c r="U277" s="168">
        <v>1215</v>
      </c>
      <c r="V277" s="168">
        <v>0</v>
      </c>
      <c r="W277" s="168">
        <v>8257.5</v>
      </c>
      <c r="X277" s="168">
        <v>3982.5</v>
      </c>
      <c r="Y277" s="168">
        <v>6097.5</v>
      </c>
      <c r="Z277" s="168">
        <v>9922.5</v>
      </c>
      <c r="AA277" s="168">
        <v>4455</v>
      </c>
      <c r="AB277" s="168">
        <v>-8350.8799999999992</v>
      </c>
      <c r="AC277" s="168">
        <v>4630.2700000000004</v>
      </c>
      <c r="AD277" s="168">
        <v>424.12</v>
      </c>
      <c r="AE277" s="168">
        <v>3109.85</v>
      </c>
      <c r="AF277" s="139"/>
      <c r="AG277" s="139"/>
    </row>
    <row r="278" spans="1:33" x14ac:dyDescent="0.25">
      <c r="A278" s="130" t="s">
        <v>423</v>
      </c>
      <c r="B278" s="139">
        <v>110</v>
      </c>
      <c r="C278" s="139">
        <v>0</v>
      </c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>
        <f t="shared" si="277"/>
        <v>110</v>
      </c>
      <c r="O278" s="139"/>
      <c r="P278" s="139">
        <f t="shared" si="278"/>
        <v>2374.875</v>
      </c>
      <c r="Q278" s="139">
        <f t="shared" si="279"/>
        <v>3166.5</v>
      </c>
      <c r="R278" s="139">
        <v>3166.5</v>
      </c>
      <c r="S278" s="170">
        <f t="shared" si="280"/>
        <v>0</v>
      </c>
      <c r="T278" s="168">
        <v>109</v>
      </c>
      <c r="U278" s="168">
        <v>0</v>
      </c>
      <c r="V278" s="168">
        <v>0</v>
      </c>
      <c r="W278" s="168">
        <v>0</v>
      </c>
      <c r="X278" s="168">
        <v>0</v>
      </c>
      <c r="Y278" s="168">
        <v>0</v>
      </c>
      <c r="Z278" s="168">
        <v>161</v>
      </c>
      <c r="AA278" s="168">
        <v>300</v>
      </c>
      <c r="AB278" s="168">
        <v>1093</v>
      </c>
      <c r="AC278" s="168">
        <v>90</v>
      </c>
      <c r="AD278" s="168">
        <v>910</v>
      </c>
      <c r="AE278" s="168">
        <v>503.5</v>
      </c>
      <c r="AF278" s="139"/>
      <c r="AG278" s="139"/>
    </row>
    <row r="279" spans="1:33" hidden="1" x14ac:dyDescent="0.25">
      <c r="A279" s="130" t="s">
        <v>424</v>
      </c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277"/>
        <v>0</v>
      </c>
      <c r="O279" s="139"/>
      <c r="P279" s="139">
        <f t="shared" si="278"/>
        <v>290.03250000000003</v>
      </c>
      <c r="Q279" s="139">
        <f t="shared" si="279"/>
        <v>386.71</v>
      </c>
      <c r="R279" s="139">
        <v>386.71</v>
      </c>
      <c r="S279" s="170">
        <f t="shared" si="280"/>
        <v>0</v>
      </c>
      <c r="T279" s="168">
        <v>0</v>
      </c>
      <c r="U279" s="168">
        <v>0</v>
      </c>
      <c r="V279" s="168">
        <v>0</v>
      </c>
      <c r="W279" s="168">
        <v>0</v>
      </c>
      <c r="X279" s="168">
        <v>300</v>
      </c>
      <c r="Y279" s="168">
        <v>0</v>
      </c>
      <c r="Z279" s="168">
        <v>0</v>
      </c>
      <c r="AA279" s="168">
        <v>86.71</v>
      </c>
      <c r="AB279" s="168">
        <v>0</v>
      </c>
      <c r="AC279" s="168">
        <v>0</v>
      </c>
      <c r="AD279" s="168">
        <v>0</v>
      </c>
      <c r="AE279" s="168">
        <v>0</v>
      </c>
      <c r="AF279" s="139"/>
      <c r="AG279" s="139"/>
    </row>
    <row r="280" spans="1:33" x14ac:dyDescent="0.25">
      <c r="A280" s="130" t="s">
        <v>618</v>
      </c>
      <c r="C280" s="139"/>
      <c r="D280" s="139"/>
      <c r="E280" s="139">
        <v>55</v>
      </c>
      <c r="F280" s="139"/>
      <c r="G280" s="139"/>
      <c r="H280" s="139"/>
      <c r="I280" s="139"/>
      <c r="J280" s="139"/>
      <c r="K280" s="139"/>
      <c r="L280" s="139"/>
      <c r="M280" s="139"/>
      <c r="N280" s="139">
        <f t="shared" si="277"/>
        <v>55</v>
      </c>
      <c r="O280" s="139"/>
      <c r="P280" s="139"/>
      <c r="Q280" s="139"/>
      <c r="R280" s="139"/>
      <c r="S280" s="170"/>
      <c r="U280" s="168"/>
      <c r="V280" s="168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39"/>
      <c r="AG280" s="139"/>
    </row>
    <row r="281" spans="1:33" hidden="1" x14ac:dyDescent="0.25">
      <c r="A281" s="130" t="s">
        <v>425</v>
      </c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277"/>
        <v>0</v>
      </c>
      <c r="O281" s="139"/>
      <c r="P281" s="139">
        <f t="shared" si="278"/>
        <v>430.14</v>
      </c>
      <c r="Q281" s="139">
        <f t="shared" si="279"/>
        <v>573.52</v>
      </c>
      <c r="R281" s="139">
        <v>573.52</v>
      </c>
      <c r="S281" s="170">
        <f t="shared" si="280"/>
        <v>0</v>
      </c>
      <c r="T281" s="168">
        <v>0</v>
      </c>
      <c r="U281" s="168">
        <v>0</v>
      </c>
      <c r="V281" s="168">
        <v>0</v>
      </c>
      <c r="W281" s="168">
        <v>0</v>
      </c>
      <c r="X281" s="168">
        <v>0</v>
      </c>
      <c r="Y281" s="168">
        <v>573.52</v>
      </c>
      <c r="Z281" s="168">
        <v>0</v>
      </c>
      <c r="AA281" s="168">
        <v>0</v>
      </c>
      <c r="AB281" s="168">
        <v>0</v>
      </c>
      <c r="AC281" s="168">
        <v>0</v>
      </c>
      <c r="AD281" s="168">
        <v>0</v>
      </c>
      <c r="AE281" s="168">
        <v>0</v>
      </c>
      <c r="AF281" s="139"/>
      <c r="AG281" s="139"/>
    </row>
    <row r="282" spans="1:33" x14ac:dyDescent="0.25">
      <c r="A282" s="130" t="s">
        <v>446</v>
      </c>
      <c r="B282" s="139">
        <v>2218.64</v>
      </c>
      <c r="C282" s="139">
        <v>2189.4299999999998</v>
      </c>
      <c r="D282" s="139">
        <v>16700.2</v>
      </c>
      <c r="E282" s="139">
        <v>18449.150000000001</v>
      </c>
      <c r="F282" s="139"/>
      <c r="G282" s="139"/>
      <c r="H282" s="139"/>
      <c r="I282" s="139"/>
      <c r="J282" s="139"/>
      <c r="K282" s="139"/>
      <c r="L282" s="139"/>
      <c r="M282" s="139"/>
      <c r="N282" s="139">
        <f t="shared" si="277"/>
        <v>39557.42</v>
      </c>
      <c r="O282" s="139"/>
      <c r="P282" s="139">
        <f t="shared" si="278"/>
        <v>22984.755000000001</v>
      </c>
      <c r="Q282" s="139">
        <f t="shared" si="279"/>
        <v>30646.34</v>
      </c>
      <c r="R282" s="139">
        <v>30646.34</v>
      </c>
      <c r="S282" s="170">
        <f t="shared" si="280"/>
        <v>0</v>
      </c>
      <c r="U282" s="168"/>
      <c r="V282" s="168"/>
      <c r="W282" s="168"/>
      <c r="X282" s="168"/>
      <c r="Y282" s="168">
        <v>0</v>
      </c>
      <c r="Z282" s="168">
        <v>0</v>
      </c>
      <c r="AA282" s="168">
        <v>6518.25</v>
      </c>
      <c r="AB282" s="168">
        <v>1181.6199999999999</v>
      </c>
      <c r="AC282" s="168">
        <v>11590.85</v>
      </c>
      <c r="AD282" s="168">
        <v>7906.3</v>
      </c>
      <c r="AE282" s="168">
        <v>3449.32</v>
      </c>
      <c r="AF282" s="139"/>
      <c r="AG282" s="139"/>
    </row>
    <row r="283" spans="1:33" hidden="1" x14ac:dyDescent="0.25">
      <c r="A283" s="130" t="s">
        <v>588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>
        <f t="shared" si="277"/>
        <v>0</v>
      </c>
      <c r="O283" s="139"/>
      <c r="P283" s="139"/>
      <c r="Q283" s="139"/>
      <c r="R283" s="139"/>
      <c r="S283" s="170"/>
      <c r="U283" s="168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39"/>
      <c r="AG283" s="139"/>
    </row>
    <row r="284" spans="1:33" hidden="1" x14ac:dyDescent="0.25">
      <c r="A284" s="130" t="s">
        <v>590</v>
      </c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>
        <f t="shared" si="277"/>
        <v>0</v>
      </c>
      <c r="O284" s="139"/>
      <c r="P284" s="139"/>
      <c r="Q284" s="139"/>
      <c r="R284" s="139"/>
      <c r="S284" s="170"/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39"/>
      <c r="AG284" s="139"/>
    </row>
    <row r="285" spans="1:33" ht="15.75" thickBot="1" x14ac:dyDescent="0.3">
      <c r="A285" s="138" t="s">
        <v>196</v>
      </c>
      <c r="B285" s="157">
        <f>SUM(B251:B284)</f>
        <v>65226.31</v>
      </c>
      <c r="C285" s="157">
        <f t="shared" ref="C285:P285" si="281">SUM(C251:C284)</f>
        <v>72006.94</v>
      </c>
      <c r="D285" s="157">
        <f t="shared" si="281"/>
        <v>83518.689999999988</v>
      </c>
      <c r="E285" s="157">
        <f t="shared" si="281"/>
        <v>83464.210000000006</v>
      </c>
      <c r="F285" s="157">
        <f t="shared" si="281"/>
        <v>0</v>
      </c>
      <c r="G285" s="157">
        <f t="shared" si="281"/>
        <v>0</v>
      </c>
      <c r="H285" s="157">
        <f t="shared" si="281"/>
        <v>0</v>
      </c>
      <c r="I285" s="157">
        <f t="shared" si="281"/>
        <v>0</v>
      </c>
      <c r="J285" s="157">
        <f t="shared" si="281"/>
        <v>0</v>
      </c>
      <c r="K285" s="157">
        <f>SUM(K251:K284)</f>
        <v>0</v>
      </c>
      <c r="L285" s="157">
        <f t="shared" si="281"/>
        <v>0</v>
      </c>
      <c r="M285" s="157">
        <f t="shared" si="281"/>
        <v>0</v>
      </c>
      <c r="N285" s="157">
        <f>SUM(N251:N284)</f>
        <v>304216.14999999997</v>
      </c>
      <c r="O285" s="139"/>
      <c r="P285" s="157">
        <f t="shared" si="281"/>
        <v>553646.12624999997</v>
      </c>
      <c r="Q285" s="157">
        <f t="shared" ref="Q285" si="282">SUM(Q251:Q282)</f>
        <v>738194.83499999985</v>
      </c>
      <c r="R285" s="157">
        <v>946645.50999999989</v>
      </c>
      <c r="S285" s="170">
        <f t="shared" si="280"/>
        <v>0</v>
      </c>
      <c r="T285" s="182">
        <f t="shared" ref="T285:Y285" si="283">SUM(T251:T281)</f>
        <v>90442.829999999987</v>
      </c>
      <c r="U285" s="182">
        <f t="shared" si="283"/>
        <v>71415.44</v>
      </c>
      <c r="V285" s="182">
        <f t="shared" si="283"/>
        <v>72804.350000000006</v>
      </c>
      <c r="W285" s="182">
        <f t="shared" si="283"/>
        <v>77596.460000000006</v>
      </c>
      <c r="X285" s="182">
        <f t="shared" si="283"/>
        <v>76368.37</v>
      </c>
      <c r="Y285" s="182">
        <f t="shared" si="283"/>
        <v>87260.21</v>
      </c>
      <c r="Z285" s="182">
        <f t="shared" ref="Z285" si="284">SUM(Z251:Z279)</f>
        <v>100682.48999999999</v>
      </c>
      <c r="AA285" s="182">
        <f t="shared" ref="AA285:AE285" si="285">SUM(AA251:AA282)</f>
        <v>93622.96</v>
      </c>
      <c r="AB285" s="182">
        <f t="shared" si="285"/>
        <v>3254.6100000000069</v>
      </c>
      <c r="AC285" s="182">
        <f t="shared" si="285"/>
        <v>90818.64</v>
      </c>
      <c r="AD285" s="182">
        <f t="shared" si="285"/>
        <v>66473.72</v>
      </c>
      <c r="AE285" s="182">
        <f t="shared" si="285"/>
        <v>115905.43000000002</v>
      </c>
      <c r="AF285" s="157">
        <f t="shared" si="272"/>
        <v>27656.013636363634</v>
      </c>
      <c r="AG285" s="157">
        <f t="shared" si="273"/>
        <v>-27656.013636363634</v>
      </c>
    </row>
    <row r="286" spans="1:33" ht="15.75" thickTop="1" x14ac:dyDescent="0.25">
      <c r="C286" s="139"/>
      <c r="D286" s="139"/>
      <c r="E286" s="139"/>
      <c r="F286" s="139"/>
      <c r="G286" s="139"/>
      <c r="H286" s="139"/>
      <c r="I286" s="139"/>
      <c r="J286" s="139"/>
      <c r="K286" s="139">
        <f>K285-56247.02</f>
        <v>-56247.02</v>
      </c>
      <c r="L286" s="139"/>
      <c r="M286" s="139"/>
      <c r="N286" s="139"/>
      <c r="O286" s="139"/>
      <c r="P286" s="139"/>
      <c r="Q286" s="139"/>
      <c r="R286" s="139"/>
      <c r="S286" s="170">
        <f t="shared" si="280"/>
        <v>0</v>
      </c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>
        <f t="shared" si="272"/>
        <v>0</v>
      </c>
      <c r="AG286" s="139">
        <f t="shared" si="273"/>
        <v>0</v>
      </c>
    </row>
    <row r="287" spans="1:33" x14ac:dyDescent="0.25">
      <c r="A287" s="138" t="s">
        <v>321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70">
        <f t="shared" si="280"/>
        <v>0</v>
      </c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>
        <f t="shared" si="272"/>
        <v>0</v>
      </c>
      <c r="AG287" s="139">
        <f t="shared" si="273"/>
        <v>0</v>
      </c>
    </row>
    <row r="288" spans="1:33" x14ac:dyDescent="0.25">
      <c r="A288" s="130" t="s">
        <v>197</v>
      </c>
      <c r="B288" s="139">
        <v>12500</v>
      </c>
      <c r="C288" s="139">
        <v>12500</v>
      </c>
      <c r="D288" s="139">
        <v>12500</v>
      </c>
      <c r="E288" s="139">
        <v>12500</v>
      </c>
      <c r="F288" s="139"/>
      <c r="G288" s="139"/>
      <c r="H288" s="139"/>
      <c r="I288" s="139"/>
      <c r="J288" s="139"/>
      <c r="K288" s="139"/>
      <c r="L288" s="139"/>
      <c r="M288" s="139"/>
      <c r="N288" s="139">
        <f t="shared" ref="N288:N300" si="286">SUM(B288:M288)</f>
        <v>50000</v>
      </c>
      <c r="O288" s="139"/>
      <c r="P288" s="139">
        <f>Q288/12*$P$3</f>
        <v>112500</v>
      </c>
      <c r="Q288" s="139">
        <f>R288</f>
        <v>150000</v>
      </c>
      <c r="R288" s="139">
        <v>150000</v>
      </c>
      <c r="S288" s="170">
        <f t="shared" si="280"/>
        <v>0</v>
      </c>
      <c r="T288" s="168">
        <v>12500</v>
      </c>
      <c r="U288" s="168">
        <v>12500</v>
      </c>
      <c r="V288" s="168">
        <v>12500</v>
      </c>
      <c r="W288" s="168">
        <v>12500</v>
      </c>
      <c r="X288" s="168">
        <v>12500</v>
      </c>
      <c r="Y288" s="168">
        <v>12500</v>
      </c>
      <c r="Z288" s="168">
        <v>12500</v>
      </c>
      <c r="AA288" s="168">
        <v>12500</v>
      </c>
      <c r="AB288" s="168">
        <v>12500</v>
      </c>
      <c r="AC288" s="168">
        <v>12500</v>
      </c>
      <c r="AD288" s="168">
        <v>12500</v>
      </c>
      <c r="AE288" s="168">
        <v>12500</v>
      </c>
      <c r="AF288" s="139">
        <f t="shared" si="272"/>
        <v>4545.454545454545</v>
      </c>
      <c r="AG288" s="139">
        <f t="shared" si="273"/>
        <v>-4545.454545454545</v>
      </c>
    </row>
    <row r="289" spans="1:33" hidden="1" x14ac:dyDescent="0.25">
      <c r="A289" s="130" t="s">
        <v>198</v>
      </c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>
        <f t="shared" si="286"/>
        <v>0</v>
      </c>
      <c r="O289" s="139"/>
      <c r="P289" s="139">
        <f t="shared" ref="P289:P300" si="287">Q289/12*$P$3</f>
        <v>0</v>
      </c>
      <c r="Q289" s="139">
        <f t="shared" ref="Q289:Q300" si="288">R289</f>
        <v>0</v>
      </c>
      <c r="R289" s="139">
        <v>0</v>
      </c>
      <c r="S289" s="170">
        <f t="shared" si="280"/>
        <v>0</v>
      </c>
      <c r="T289" s="168">
        <v>34022.5</v>
      </c>
      <c r="U289" s="168">
        <v>34265</v>
      </c>
      <c r="V289" s="168">
        <v>34451.25</v>
      </c>
      <c r="W289" s="168">
        <v>34845</v>
      </c>
      <c r="X289" s="168">
        <v>34565</v>
      </c>
      <c r="Y289" s="168">
        <v>34906.25</v>
      </c>
      <c r="Z289" s="168">
        <v>36258.75</v>
      </c>
      <c r="AA289" s="168">
        <v>35423.75</v>
      </c>
      <c r="AB289" s="168">
        <v>-278737.5</v>
      </c>
      <c r="AC289" s="168">
        <v>0</v>
      </c>
      <c r="AD289" s="168">
        <v>0</v>
      </c>
      <c r="AE289" s="168">
        <v>0</v>
      </c>
      <c r="AF289" s="139">
        <f t="shared" si="272"/>
        <v>0</v>
      </c>
      <c r="AG289" s="139">
        <f t="shared" si="273"/>
        <v>0</v>
      </c>
    </row>
    <row r="290" spans="1:33" x14ac:dyDescent="0.25">
      <c r="A290" s="130" t="s">
        <v>388</v>
      </c>
      <c r="B290" s="139">
        <v>705.47</v>
      </c>
      <c r="C290" s="139">
        <v>702.78</v>
      </c>
      <c r="D290" s="139">
        <v>0</v>
      </c>
      <c r="E290" s="139"/>
      <c r="F290" s="139"/>
      <c r="G290" s="139"/>
      <c r="H290" s="139"/>
      <c r="I290" s="139"/>
      <c r="J290" s="139"/>
      <c r="K290" s="139"/>
      <c r="L290" s="139"/>
      <c r="M290" s="139"/>
      <c r="N290" s="139">
        <f t="shared" si="286"/>
        <v>1408.25</v>
      </c>
      <c r="O290" s="139"/>
      <c r="P290" s="139">
        <f t="shared" si="287"/>
        <v>43648.845000000001</v>
      </c>
      <c r="Q290" s="139">
        <f t="shared" si="288"/>
        <v>58198.46</v>
      </c>
      <c r="R290" s="139">
        <v>58198.46</v>
      </c>
      <c r="S290" s="170">
        <f t="shared" si="280"/>
        <v>0</v>
      </c>
      <c r="T290" s="168">
        <v>0</v>
      </c>
      <c r="U290" s="168">
        <v>0</v>
      </c>
      <c r="V290" s="168">
        <v>0</v>
      </c>
      <c r="W290" s="168">
        <v>0</v>
      </c>
      <c r="X290" s="168">
        <v>31752.38</v>
      </c>
      <c r="Y290" s="168">
        <v>5625.56</v>
      </c>
      <c r="Z290" s="168">
        <v>4645.78</v>
      </c>
      <c r="AA290" s="168">
        <v>3846.94</v>
      </c>
      <c r="AB290" s="168">
        <v>3326.21</v>
      </c>
      <c r="AC290" s="168">
        <v>3245.67</v>
      </c>
      <c r="AD290" s="168">
        <v>3067.11</v>
      </c>
      <c r="AE290" s="168">
        <v>2688.81</v>
      </c>
      <c r="AF290" s="139"/>
      <c r="AG290" s="139"/>
    </row>
    <row r="291" spans="1:33" x14ac:dyDescent="0.25">
      <c r="A291" s="130" t="s">
        <v>199</v>
      </c>
      <c r="B291" s="139">
        <v>9456</v>
      </c>
      <c r="C291" s="139">
        <v>12706.5</v>
      </c>
      <c r="D291" s="139">
        <v>14479.5</v>
      </c>
      <c r="E291" s="139">
        <v>15957</v>
      </c>
      <c r="F291" s="139"/>
      <c r="G291" s="139"/>
      <c r="H291" s="139"/>
      <c r="I291" s="139"/>
      <c r="J291" s="139"/>
      <c r="K291" s="139"/>
      <c r="L291" s="139"/>
      <c r="M291" s="139"/>
      <c r="N291" s="139">
        <f t="shared" si="286"/>
        <v>52599</v>
      </c>
      <c r="O291" s="139"/>
      <c r="P291" s="139">
        <f t="shared" si="287"/>
        <v>143988.78749999998</v>
      </c>
      <c r="Q291" s="139">
        <f t="shared" si="288"/>
        <v>191985.05</v>
      </c>
      <c r="R291" s="139">
        <v>191985.05</v>
      </c>
      <c r="S291" s="170">
        <f t="shared" si="280"/>
        <v>0</v>
      </c>
      <c r="T291" s="168">
        <v>6585.5</v>
      </c>
      <c r="U291" s="168">
        <v>10400.5</v>
      </c>
      <c r="V291" s="168">
        <v>6846.5</v>
      </c>
      <c r="W291" s="168">
        <v>18155</v>
      </c>
      <c r="X291" s="168">
        <v>23942.5</v>
      </c>
      <c r="Y291" s="168">
        <v>23535</v>
      </c>
      <c r="Z291" s="168">
        <v>27107.66</v>
      </c>
      <c r="AA291" s="168">
        <v>22399.58</v>
      </c>
      <c r="AB291" s="168">
        <v>15252.15</v>
      </c>
      <c r="AC291" s="168">
        <v>19396.66</v>
      </c>
      <c r="AD291" s="168">
        <v>8388.56</v>
      </c>
      <c r="AE291" s="168">
        <v>9975.44</v>
      </c>
      <c r="AF291" s="139"/>
      <c r="AG291" s="139"/>
    </row>
    <row r="292" spans="1:33" x14ac:dyDescent="0.25">
      <c r="A292" s="130" t="s">
        <v>200</v>
      </c>
      <c r="B292" s="139">
        <v>15776.3</v>
      </c>
      <c r="C292" s="139">
        <v>9815.42</v>
      </c>
      <c r="D292" s="139">
        <v>49212.25</v>
      </c>
      <c r="E292" s="139">
        <v>12531.21</v>
      </c>
      <c r="F292" s="139"/>
      <c r="G292" s="139"/>
      <c r="H292" s="139"/>
      <c r="I292" s="139"/>
      <c r="J292" s="139"/>
      <c r="K292" s="139"/>
      <c r="L292" s="139"/>
      <c r="M292" s="139"/>
      <c r="N292" s="139">
        <f t="shared" si="286"/>
        <v>87335.18</v>
      </c>
      <c r="O292" s="139"/>
      <c r="P292" s="139">
        <f t="shared" si="287"/>
        <v>216176.70749999999</v>
      </c>
      <c r="Q292" s="139">
        <f t="shared" si="288"/>
        <v>288235.61</v>
      </c>
      <c r="R292" s="139">
        <v>288235.61</v>
      </c>
      <c r="S292" s="170">
        <f t="shared" si="280"/>
        <v>0</v>
      </c>
      <c r="T292" s="168">
        <v>41021.9</v>
      </c>
      <c r="U292" s="168">
        <v>14206.22</v>
      </c>
      <c r="V292" s="168">
        <v>13266.54</v>
      </c>
      <c r="W292" s="168">
        <v>32043.16</v>
      </c>
      <c r="X292" s="168">
        <v>18002.150000000001</v>
      </c>
      <c r="Y292" s="168">
        <v>18622.22</v>
      </c>
      <c r="Z292" s="168">
        <v>12562.67</v>
      </c>
      <c r="AA292" s="168">
        <v>3538.9</v>
      </c>
      <c r="AB292" s="168">
        <v>30143.42</v>
      </c>
      <c r="AC292" s="168">
        <v>22129.23</v>
      </c>
      <c r="AD292" s="168">
        <v>34960.17</v>
      </c>
      <c r="AE292" s="168">
        <v>47739.03</v>
      </c>
      <c r="AF292" s="139">
        <f t="shared" ref="AF292:AF305" si="289">(N292-M292)/11</f>
        <v>7939.5618181818172</v>
      </c>
      <c r="AG292" s="139">
        <f t="shared" ref="AG292:AG305" si="290">M292-AF292</f>
        <v>-7939.5618181818172</v>
      </c>
    </row>
    <row r="293" spans="1:33" x14ac:dyDescent="0.25">
      <c r="A293" s="130" t="s">
        <v>201</v>
      </c>
      <c r="B293" s="139">
        <v>-39467.980000000003</v>
      </c>
      <c r="C293" s="139">
        <v>-29233.22</v>
      </c>
      <c r="D293" s="139">
        <v>-20752.240000000002</v>
      </c>
      <c r="E293" s="139">
        <v>-30139.200000000001</v>
      </c>
      <c r="F293" s="139"/>
      <c r="G293" s="139"/>
      <c r="H293" s="139"/>
      <c r="I293" s="139"/>
      <c r="J293" s="139"/>
      <c r="K293" s="139"/>
      <c r="L293" s="139"/>
      <c r="M293" s="139"/>
      <c r="N293" s="139">
        <f t="shared" si="286"/>
        <v>-119592.64000000001</v>
      </c>
      <c r="O293" s="139"/>
      <c r="P293" s="139">
        <f t="shared" si="287"/>
        <v>-137722.67249999999</v>
      </c>
      <c r="Q293" s="139">
        <f t="shared" si="288"/>
        <v>-183630.22999999998</v>
      </c>
      <c r="R293" s="139">
        <v>-183630.22999999998</v>
      </c>
      <c r="S293" s="170">
        <f t="shared" si="280"/>
        <v>0</v>
      </c>
      <c r="T293" s="168">
        <v>-12832.51</v>
      </c>
      <c r="U293" s="168">
        <v>-10798.17</v>
      </c>
      <c r="V293" s="168">
        <v>-12464.55</v>
      </c>
      <c r="W293" s="168">
        <v>-15499.01</v>
      </c>
      <c r="X293" s="168">
        <v>-24863.5</v>
      </c>
      <c r="Y293" s="168">
        <v>-16320.72</v>
      </c>
      <c r="Z293" s="168">
        <v>-14231.08</v>
      </c>
      <c r="AA293" s="168">
        <v>-15651.5</v>
      </c>
      <c r="AB293" s="168">
        <v>-15109.51</v>
      </c>
      <c r="AC293" s="168">
        <v>-16423.150000000001</v>
      </c>
      <c r="AD293" s="168">
        <v>-14395.92</v>
      </c>
      <c r="AE293" s="168">
        <v>-15040.61</v>
      </c>
      <c r="AF293" s="139">
        <f t="shared" si="289"/>
        <v>-10872.058181818184</v>
      </c>
      <c r="AG293" s="139">
        <f t="shared" si="290"/>
        <v>10872.058181818184</v>
      </c>
    </row>
    <row r="294" spans="1:33" x14ac:dyDescent="0.25">
      <c r="A294" s="130" t="s">
        <v>594</v>
      </c>
      <c r="B294" s="139">
        <v>0</v>
      </c>
      <c r="C294" s="139"/>
      <c r="D294" s="139">
        <v>-363.79</v>
      </c>
      <c r="E294" s="139"/>
      <c r="F294" s="139"/>
      <c r="G294" s="139"/>
      <c r="H294" s="139"/>
      <c r="I294" s="139"/>
      <c r="J294" s="139"/>
      <c r="K294" s="139"/>
      <c r="L294" s="139"/>
      <c r="M294" s="139"/>
      <c r="N294" s="139">
        <f t="shared" si="286"/>
        <v>-363.79</v>
      </c>
      <c r="O294" s="139"/>
      <c r="P294" s="139"/>
      <c r="Q294" s="139"/>
      <c r="R294" s="139"/>
      <c r="S294" s="170"/>
      <c r="U294" s="168"/>
      <c r="V294" s="168"/>
      <c r="W294" s="168"/>
      <c r="X294" s="168"/>
      <c r="Y294" s="168"/>
      <c r="Z294" s="168"/>
      <c r="AA294" s="168"/>
      <c r="AB294" s="168"/>
      <c r="AC294" s="168"/>
      <c r="AD294" s="168"/>
      <c r="AE294" s="168"/>
      <c r="AF294" s="139"/>
      <c r="AG294" s="139"/>
    </row>
    <row r="295" spans="1:33" hidden="1" x14ac:dyDescent="0.25">
      <c r="A295" s="130" t="s">
        <v>389</v>
      </c>
      <c r="B295" s="139">
        <v>0</v>
      </c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>
        <f t="shared" si="286"/>
        <v>0</v>
      </c>
      <c r="O295" s="139"/>
      <c r="P295" s="139">
        <f t="shared" si="287"/>
        <v>710.44499999999994</v>
      </c>
      <c r="Q295" s="139">
        <f t="shared" si="288"/>
        <v>947.26</v>
      </c>
      <c r="R295" s="139">
        <v>947.26</v>
      </c>
      <c r="S295" s="170">
        <f t="shared" si="280"/>
        <v>0</v>
      </c>
      <c r="T295" s="168">
        <v>0</v>
      </c>
      <c r="U295" s="168">
        <v>0</v>
      </c>
      <c r="V295" s="168">
        <v>0.1</v>
      </c>
      <c r="W295" s="168">
        <v>0</v>
      </c>
      <c r="X295" s="168">
        <v>0</v>
      </c>
      <c r="Y295" s="168">
        <v>49.5</v>
      </c>
      <c r="Z295" s="168">
        <v>0</v>
      </c>
      <c r="AA295" s="168">
        <v>0</v>
      </c>
      <c r="AB295" s="168">
        <v>0</v>
      </c>
      <c r="AC295" s="168">
        <v>0</v>
      </c>
      <c r="AD295" s="168">
        <v>0</v>
      </c>
      <c r="AE295" s="168">
        <v>897.66</v>
      </c>
      <c r="AF295" s="139">
        <f t="shared" si="289"/>
        <v>0</v>
      </c>
      <c r="AG295" s="139">
        <f t="shared" si="290"/>
        <v>0</v>
      </c>
    </row>
    <row r="296" spans="1:33" x14ac:dyDescent="0.25">
      <c r="A296" s="130" t="s">
        <v>390</v>
      </c>
      <c r="B296" s="139">
        <v>20720.71</v>
      </c>
      <c r="C296" s="139">
        <v>16648.39</v>
      </c>
      <c r="D296" s="139">
        <v>20341.47</v>
      </c>
      <c r="E296" s="139">
        <v>18678.11</v>
      </c>
      <c r="F296" s="139"/>
      <c r="G296" s="139"/>
      <c r="H296" s="139"/>
      <c r="I296" s="139"/>
      <c r="J296" s="139"/>
      <c r="K296" s="139"/>
      <c r="L296" s="139"/>
      <c r="M296" s="139"/>
      <c r="N296" s="139">
        <f t="shared" si="286"/>
        <v>76388.679999999993</v>
      </c>
      <c r="O296" s="139"/>
      <c r="P296" s="139">
        <f t="shared" si="287"/>
        <v>52375.18499999999</v>
      </c>
      <c r="Q296" s="139">
        <f t="shared" si="288"/>
        <v>69833.579999999987</v>
      </c>
      <c r="R296" s="139">
        <v>69833.579999999987</v>
      </c>
      <c r="S296" s="170">
        <f t="shared" si="280"/>
        <v>0</v>
      </c>
      <c r="T296" s="168">
        <v>0</v>
      </c>
      <c r="U296" s="168">
        <v>0</v>
      </c>
      <c r="V296" s="168">
        <v>0</v>
      </c>
      <c r="W296" s="168">
        <v>0</v>
      </c>
      <c r="X296" s="168">
        <v>2087.77</v>
      </c>
      <c r="Y296" s="168">
        <v>2250.1799999999998</v>
      </c>
      <c r="Z296" s="168">
        <v>1925.15</v>
      </c>
      <c r="AA296" s="168">
        <v>9930.23</v>
      </c>
      <c r="AB296" s="168">
        <v>9676.48</v>
      </c>
      <c r="AC296" s="168">
        <v>11787.56</v>
      </c>
      <c r="AD296" s="168">
        <v>14682.25</v>
      </c>
      <c r="AE296" s="168">
        <v>17493.96</v>
      </c>
      <c r="AF296" s="139"/>
      <c r="AG296" s="139"/>
    </row>
    <row r="297" spans="1:33" x14ac:dyDescent="0.25">
      <c r="A297" s="130" t="s">
        <v>428</v>
      </c>
      <c r="B297" s="139">
        <v>819.34</v>
      </c>
      <c r="C297" s="139">
        <v>1322.43</v>
      </c>
      <c r="D297" s="139">
        <v>595.45000000000005</v>
      </c>
      <c r="E297" s="139">
        <v>45.84</v>
      </c>
      <c r="F297" s="139"/>
      <c r="G297" s="139"/>
      <c r="H297" s="139"/>
      <c r="I297" s="139"/>
      <c r="J297" s="139"/>
      <c r="K297" s="139"/>
      <c r="L297" s="139"/>
      <c r="M297" s="139"/>
      <c r="N297" s="139">
        <f t="shared" si="286"/>
        <v>2783.0600000000004</v>
      </c>
      <c r="O297" s="139"/>
      <c r="P297" s="139">
        <f t="shared" si="287"/>
        <v>5425.5</v>
      </c>
      <c r="Q297" s="139">
        <f t="shared" si="288"/>
        <v>7234</v>
      </c>
      <c r="R297" s="139">
        <v>7234</v>
      </c>
      <c r="S297" s="170">
        <f t="shared" si="280"/>
        <v>0</v>
      </c>
      <c r="T297" s="168">
        <v>0</v>
      </c>
      <c r="U297" s="168">
        <v>0</v>
      </c>
      <c r="V297" s="168">
        <v>0</v>
      </c>
      <c r="W297" s="168">
        <v>0</v>
      </c>
      <c r="X297" s="168">
        <v>0</v>
      </c>
      <c r="Y297" s="168">
        <v>944.87</v>
      </c>
      <c r="Z297" s="168">
        <v>896.84</v>
      </c>
      <c r="AA297" s="168">
        <v>1815.02</v>
      </c>
      <c r="AB297" s="168">
        <v>1378.43</v>
      </c>
      <c r="AC297" s="168">
        <v>1346.44</v>
      </c>
      <c r="AD297" s="168">
        <v>214.73</v>
      </c>
      <c r="AE297" s="168">
        <v>637.66999999999996</v>
      </c>
      <c r="AF297" s="139"/>
      <c r="AG297" s="139"/>
    </row>
    <row r="298" spans="1:33" x14ac:dyDescent="0.25">
      <c r="A298" s="130" t="s">
        <v>427</v>
      </c>
      <c r="B298" s="139">
        <v>1033.1300000000001</v>
      </c>
      <c r="C298" s="139">
        <v>531.23</v>
      </c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>
        <f t="shared" si="286"/>
        <v>1564.3600000000001</v>
      </c>
      <c r="O298" s="139"/>
      <c r="P298" s="139">
        <f t="shared" si="287"/>
        <v>22591.245000000003</v>
      </c>
      <c r="Q298" s="139">
        <f t="shared" si="288"/>
        <v>30121.660000000003</v>
      </c>
      <c r="R298" s="139">
        <v>30121.660000000003</v>
      </c>
      <c r="S298" s="170">
        <f t="shared" si="280"/>
        <v>0</v>
      </c>
      <c r="T298" s="168">
        <v>0</v>
      </c>
      <c r="U298" s="168">
        <v>0</v>
      </c>
      <c r="V298" s="168">
        <v>0</v>
      </c>
      <c r="W298" s="168">
        <v>0</v>
      </c>
      <c r="X298" s="168">
        <v>7848.21</v>
      </c>
      <c r="Y298" s="168">
        <v>7891.39</v>
      </c>
      <c r="Z298" s="168">
        <v>2345.38</v>
      </c>
      <c r="AA298" s="168">
        <v>2213.81</v>
      </c>
      <c r="AB298" s="168">
        <v>1785.24</v>
      </c>
      <c r="AC298" s="168">
        <v>2122.1999999999998</v>
      </c>
      <c r="AD298" s="168">
        <v>2685.54</v>
      </c>
      <c r="AE298" s="168">
        <v>3229.89</v>
      </c>
      <c r="AF298" s="139"/>
      <c r="AG298" s="139"/>
    </row>
    <row r="299" spans="1:33" x14ac:dyDescent="0.25">
      <c r="A299" s="130" t="s">
        <v>391</v>
      </c>
      <c r="B299" s="139">
        <v>17978.47</v>
      </c>
      <c r="C299" s="139">
        <v>30312.17</v>
      </c>
      <c r="D299" s="139">
        <v>22611.89</v>
      </c>
      <c r="E299" s="139">
        <v>9563.23</v>
      </c>
      <c r="F299" s="139"/>
      <c r="G299" s="139"/>
      <c r="H299" s="139"/>
      <c r="I299" s="139"/>
      <c r="J299" s="139"/>
      <c r="K299" s="139"/>
      <c r="L299" s="139"/>
      <c r="M299" s="139"/>
      <c r="N299" s="139">
        <f t="shared" si="286"/>
        <v>80465.759999999995</v>
      </c>
      <c r="O299" s="139"/>
      <c r="P299" s="139">
        <f t="shared" si="287"/>
        <v>45668.745000000003</v>
      </c>
      <c r="Q299" s="139">
        <f t="shared" si="288"/>
        <v>60891.66</v>
      </c>
      <c r="R299" s="139">
        <v>60891.66</v>
      </c>
      <c r="S299" s="170">
        <f t="shared" si="280"/>
        <v>0</v>
      </c>
      <c r="T299" s="168">
        <v>0</v>
      </c>
      <c r="U299" s="168">
        <v>0</v>
      </c>
      <c r="V299" s="168">
        <v>0</v>
      </c>
      <c r="W299" s="168">
        <v>0</v>
      </c>
      <c r="X299" s="168">
        <v>0</v>
      </c>
      <c r="Y299" s="168">
        <v>2495.6</v>
      </c>
      <c r="Z299" s="168">
        <v>7458.78</v>
      </c>
      <c r="AA299" s="168">
        <v>7350.25</v>
      </c>
      <c r="AB299" s="168">
        <v>8126.37</v>
      </c>
      <c r="AC299" s="168">
        <v>10558.14</v>
      </c>
      <c r="AD299" s="168">
        <v>12910.5</v>
      </c>
      <c r="AE299" s="168">
        <v>11992.02</v>
      </c>
      <c r="AF299" s="139"/>
      <c r="AG299" s="139"/>
    </row>
    <row r="300" spans="1:33" x14ac:dyDescent="0.25">
      <c r="A300" s="130" t="s">
        <v>439</v>
      </c>
      <c r="B300" s="139">
        <v>0</v>
      </c>
      <c r="C300" s="139">
        <v>679.39</v>
      </c>
      <c r="D300" s="139">
        <v>34.96</v>
      </c>
      <c r="E300" s="139">
        <v>91.37</v>
      </c>
      <c r="F300" s="139"/>
      <c r="G300" s="139"/>
      <c r="H300" s="139"/>
      <c r="I300" s="139"/>
      <c r="J300" s="139"/>
      <c r="K300" s="139"/>
      <c r="L300" s="139"/>
      <c r="M300" s="139"/>
      <c r="N300" s="139">
        <f t="shared" si="286"/>
        <v>805.72</v>
      </c>
      <c r="O300" s="139"/>
      <c r="P300" s="139">
        <f t="shared" si="287"/>
        <v>12741.21</v>
      </c>
      <c r="Q300" s="139">
        <f t="shared" si="288"/>
        <v>16988.28</v>
      </c>
      <c r="R300" s="139">
        <v>16988.28</v>
      </c>
      <c r="S300" s="170">
        <f t="shared" si="280"/>
        <v>0</v>
      </c>
      <c r="T300" s="168">
        <v>0</v>
      </c>
      <c r="U300" s="168">
        <v>0</v>
      </c>
      <c r="V300" s="168">
        <v>0</v>
      </c>
      <c r="W300" s="168">
        <v>0</v>
      </c>
      <c r="X300" s="168">
        <v>0</v>
      </c>
      <c r="Y300" s="168">
        <v>0</v>
      </c>
      <c r="Z300" s="168">
        <v>3098.28</v>
      </c>
      <c r="AA300" s="168">
        <v>0</v>
      </c>
      <c r="AB300" s="168">
        <v>0</v>
      </c>
      <c r="AC300" s="168">
        <v>0</v>
      </c>
      <c r="AD300" s="168">
        <v>0</v>
      </c>
      <c r="AE300" s="168">
        <v>13890</v>
      </c>
      <c r="AF300" s="139"/>
      <c r="AG300" s="139"/>
    </row>
    <row r="301" spans="1:33" ht="15.75" thickBot="1" x14ac:dyDescent="0.3">
      <c r="A301" s="138" t="s">
        <v>202</v>
      </c>
      <c r="B301" s="159">
        <f>SUM(B288:B300)</f>
        <v>39521.440000000002</v>
      </c>
      <c r="C301" s="159">
        <f t="shared" ref="C301:G301" si="291">SUM(C288:C300)</f>
        <v>55985.09</v>
      </c>
      <c r="D301" s="159">
        <f t="shared" si="291"/>
        <v>98659.49</v>
      </c>
      <c r="E301" s="159">
        <f t="shared" si="291"/>
        <v>39227.560000000005</v>
      </c>
      <c r="F301" s="159">
        <f t="shared" si="291"/>
        <v>0</v>
      </c>
      <c r="G301" s="159">
        <f t="shared" si="291"/>
        <v>0</v>
      </c>
      <c r="H301" s="159">
        <f t="shared" ref="H301" si="292">SUM(H288:H300)</f>
        <v>0</v>
      </c>
      <c r="I301" s="159">
        <f t="shared" ref="I301:Q301" si="293">SUM(I288:I300)</f>
        <v>0</v>
      </c>
      <c r="J301" s="159">
        <f t="shared" si="293"/>
        <v>0</v>
      </c>
      <c r="K301" s="159">
        <f t="shared" si="293"/>
        <v>0</v>
      </c>
      <c r="L301" s="159">
        <f t="shared" si="293"/>
        <v>0</v>
      </c>
      <c r="M301" s="159">
        <f t="shared" si="293"/>
        <v>0</v>
      </c>
      <c r="N301" s="159">
        <f t="shared" si="293"/>
        <v>233393.58</v>
      </c>
      <c r="O301" s="159"/>
      <c r="P301" s="159">
        <f>SUM(P288:P300)</f>
        <v>518103.9975</v>
      </c>
      <c r="Q301" s="159">
        <f t="shared" si="293"/>
        <v>690805.33000000007</v>
      </c>
      <c r="R301" s="159">
        <v>690805.33000000007</v>
      </c>
      <c r="S301" s="170">
        <f t="shared" si="280"/>
        <v>0</v>
      </c>
      <c r="T301" s="185">
        <f t="shared" ref="T301:Y301" si="294">SUM(T288:T300)</f>
        <v>81297.39</v>
      </c>
      <c r="U301" s="185">
        <f t="shared" si="294"/>
        <v>60573.55</v>
      </c>
      <c r="V301" s="185">
        <f t="shared" si="294"/>
        <v>54599.840000000004</v>
      </c>
      <c r="W301" s="185">
        <f t="shared" si="294"/>
        <v>82044.150000000009</v>
      </c>
      <c r="X301" s="185">
        <f t="shared" si="294"/>
        <v>105834.51000000001</v>
      </c>
      <c r="Y301" s="185">
        <f t="shared" si="294"/>
        <v>92499.849999999991</v>
      </c>
      <c r="Z301" s="185">
        <f t="shared" ref="Z301:AE301" si="295">SUM(Z288:Z300)</f>
        <v>94568.209999999992</v>
      </c>
      <c r="AA301" s="185">
        <f t="shared" si="295"/>
        <v>83366.98</v>
      </c>
      <c r="AB301" s="185">
        <f t="shared" si="295"/>
        <v>-211658.71</v>
      </c>
      <c r="AC301" s="185">
        <f t="shared" si="295"/>
        <v>66662.75</v>
      </c>
      <c r="AD301" s="185">
        <f t="shared" si="295"/>
        <v>75012.94</v>
      </c>
      <c r="AE301" s="185">
        <f t="shared" si="295"/>
        <v>106003.87000000001</v>
      </c>
      <c r="AF301" s="159">
        <f t="shared" si="289"/>
        <v>21217.598181818179</v>
      </c>
      <c r="AG301" s="159">
        <f t="shared" si="290"/>
        <v>-21217.598181818179</v>
      </c>
    </row>
    <row r="302" spans="1:33" ht="15.75" thickTop="1" x14ac:dyDescent="0.25">
      <c r="S302" s="170">
        <f t="shared" si="280"/>
        <v>0</v>
      </c>
      <c r="AF302" s="130">
        <f t="shared" si="289"/>
        <v>0</v>
      </c>
      <c r="AG302" s="130">
        <f t="shared" si="290"/>
        <v>0</v>
      </c>
    </row>
    <row r="303" spans="1:33" s="138" customFormat="1" ht="15.75" thickBot="1" x14ac:dyDescent="0.3">
      <c r="A303" s="138" t="s">
        <v>203</v>
      </c>
      <c r="B303" s="157">
        <f t="shared" ref="B303:G303" si="296">B208-B224-B249-B285+B301</f>
        <v>561677.80999983067</v>
      </c>
      <c r="C303" s="157">
        <f t="shared" si="296"/>
        <v>504619.27000093937</v>
      </c>
      <c r="D303" s="157">
        <f t="shared" si="296"/>
        <v>3670884.4000005824</v>
      </c>
      <c r="E303" s="157">
        <f>E208-E224-E249-E285+E301</f>
        <v>12339151.049999867</v>
      </c>
      <c r="F303" s="157">
        <f t="shared" si="296"/>
        <v>0</v>
      </c>
      <c r="G303" s="157">
        <f t="shared" si="296"/>
        <v>0</v>
      </c>
      <c r="H303" s="157">
        <f t="shared" ref="H303" si="297">H208-H224-H249-H285+H301</f>
        <v>0</v>
      </c>
      <c r="I303" s="157">
        <f t="shared" ref="I303:Q303" si="298">I208-I224-I249-I285+I301</f>
        <v>0</v>
      </c>
      <c r="J303" s="157">
        <f t="shared" si="298"/>
        <v>0</v>
      </c>
      <c r="K303" s="157">
        <f t="shared" si="298"/>
        <v>0</v>
      </c>
      <c r="L303" s="157">
        <f t="shared" si="298"/>
        <v>0</v>
      </c>
      <c r="M303" s="157">
        <f>M208-M224-M249-M285+M301</f>
        <v>0</v>
      </c>
      <c r="N303" s="157">
        <f>N208-N224-N249-N285+N301</f>
        <v>17076332.530001219</v>
      </c>
      <c r="O303" s="157"/>
      <c r="P303" s="157">
        <f t="shared" si="298"/>
        <v>-329599.51875167812</v>
      </c>
      <c r="Q303" s="157">
        <f t="shared" si="298"/>
        <v>-439466.02499683434</v>
      </c>
      <c r="R303" s="157">
        <v>-570607.76000017207</v>
      </c>
      <c r="S303" s="170">
        <f t="shared" si="280"/>
        <v>0</v>
      </c>
      <c r="T303" s="182">
        <f t="shared" ref="T303:AD303" si="299">T208-T224-T249-T285+T301</f>
        <v>65733.430000085864</v>
      </c>
      <c r="U303" s="182">
        <f t="shared" si="299"/>
        <v>62568.989999875965</v>
      </c>
      <c r="V303" s="182">
        <f t="shared" si="299"/>
        <v>190852.60999999283</v>
      </c>
      <c r="W303" s="182">
        <f t="shared" si="299"/>
        <v>-70572.119999890288</v>
      </c>
      <c r="X303" s="182">
        <f t="shared" si="299"/>
        <v>-203743.00000022177</v>
      </c>
      <c r="Y303" s="182">
        <f t="shared" si="299"/>
        <v>-88358.510000069145</v>
      </c>
      <c r="Z303" s="182">
        <f t="shared" si="299"/>
        <v>-303625.04000008584</v>
      </c>
      <c r="AA303" s="182">
        <f t="shared" si="299"/>
        <v>-208857.15000011685</v>
      </c>
      <c r="AB303" s="182">
        <f t="shared" si="299"/>
        <v>624726.2899999572</v>
      </c>
      <c r="AC303" s="182">
        <f t="shared" si="299"/>
        <v>-30452.230000001189</v>
      </c>
      <c r="AD303" s="182">
        <f t="shared" si="299"/>
        <v>-220404.46999992366</v>
      </c>
      <c r="AE303" s="182">
        <f>AE208-AE224-AE249-AE285+AE301</f>
        <v>-388476.55999977468</v>
      </c>
      <c r="AF303" s="157">
        <f t="shared" si="289"/>
        <v>1552393.8663637473</v>
      </c>
      <c r="AG303" s="157">
        <f t="shared" si="290"/>
        <v>-1552393.8663637473</v>
      </c>
    </row>
    <row r="304" spans="1:33" ht="15.75" thickTop="1" x14ac:dyDescent="0.25">
      <c r="S304" s="170">
        <f t="shared" si="280"/>
        <v>0</v>
      </c>
      <c r="AF304" s="130">
        <f t="shared" si="289"/>
        <v>0</v>
      </c>
      <c r="AG304" s="130">
        <f t="shared" si="290"/>
        <v>0</v>
      </c>
    </row>
    <row r="305" spans="2:33" x14ac:dyDescent="0.25">
      <c r="B305" s="160">
        <f>+B81-B303</f>
        <v>1.1909287422895432E-7</v>
      </c>
      <c r="C305" s="160">
        <f t="shared" ref="C305:G305" si="300">+C81-C303</f>
        <v>-6.2957406044006348E-7</v>
      </c>
      <c r="D305" s="160">
        <f t="shared" si="300"/>
        <v>-6.8638473749160767E-7</v>
      </c>
      <c r="E305" s="160">
        <f t="shared" si="300"/>
        <v>-4.4703483581542969E-8</v>
      </c>
      <c r="F305" s="160">
        <f t="shared" si="300"/>
        <v>0</v>
      </c>
      <c r="G305" s="160">
        <f t="shared" si="300"/>
        <v>0</v>
      </c>
      <c r="H305" s="160">
        <f t="shared" ref="H305" si="301">+H81-H303</f>
        <v>0</v>
      </c>
      <c r="I305" s="160">
        <f t="shared" ref="I305:L305" si="302">+I81-I303</f>
        <v>0</v>
      </c>
      <c r="J305" s="160">
        <f t="shared" si="302"/>
        <v>0</v>
      </c>
      <c r="K305" s="160">
        <f t="shared" si="302"/>
        <v>0</v>
      </c>
      <c r="L305" s="160">
        <f t="shared" si="302"/>
        <v>0</v>
      </c>
      <c r="M305" s="160">
        <f>+M81-M303</f>
        <v>0</v>
      </c>
      <c r="N305" s="160">
        <f>+N81-N303</f>
        <v>-1.601874828338623E-6</v>
      </c>
      <c r="O305" s="160"/>
      <c r="P305" s="160">
        <f>R305/12*$P$3</f>
        <v>1.0156072676181793E-6</v>
      </c>
      <c r="Q305" s="160">
        <f>+Q81-Q303</f>
        <v>-131141.73500198359</v>
      </c>
      <c r="R305" s="160">
        <v>1.3541430234909058E-6</v>
      </c>
      <c r="S305" s="170">
        <f t="shared" si="280"/>
        <v>9.8299642559140921E-7</v>
      </c>
      <c r="T305" s="186">
        <f t="shared" ref="T305:AE305" si="303">+T81-T303</f>
        <v>3.3396645449101925E-8</v>
      </c>
      <c r="U305" s="186">
        <f t="shared" si="303"/>
        <v>-8.5754436440765858E-8</v>
      </c>
      <c r="V305" s="186">
        <f t="shared" si="303"/>
        <v>-6.1991158872842789E-8</v>
      </c>
      <c r="W305" s="186">
        <f t="shared" si="303"/>
        <v>-1.5126715879887342E-7</v>
      </c>
      <c r="X305" s="186">
        <f t="shared" si="303"/>
        <v>2.2526364773511887E-7</v>
      </c>
      <c r="Y305" s="186">
        <f t="shared" si="303"/>
        <v>1.1976226232945919E-8</v>
      </c>
      <c r="Z305" s="186">
        <f t="shared" si="303"/>
        <v>1.0972144082188606E-7</v>
      </c>
      <c r="AA305" s="186">
        <f t="shared" si="303"/>
        <v>1.6932608559727669E-7</v>
      </c>
      <c r="AB305" s="186">
        <f t="shared" si="303"/>
        <v>1.073349267244339E-7</v>
      </c>
      <c r="AC305" s="186">
        <f t="shared" si="303"/>
        <v>1.2507371138781309E-7</v>
      </c>
      <c r="AD305" s="186">
        <f t="shared" si="303"/>
        <v>4.8894435167312622E-8</v>
      </c>
      <c r="AE305" s="186">
        <f t="shared" si="303"/>
        <v>-1.6082776710391045E-7</v>
      </c>
      <c r="AF305" s="160">
        <f t="shared" si="289"/>
        <v>-1.4562498439442029E-7</v>
      </c>
      <c r="AG305" s="160">
        <f t="shared" si="290"/>
        <v>1.4562498439442029E-7</v>
      </c>
    </row>
    <row r="307" spans="2:33" x14ac:dyDescent="0.25">
      <c r="L307" s="160"/>
      <c r="AD307" s="186"/>
    </row>
    <row r="308" spans="2:33" x14ac:dyDescent="0.25">
      <c r="P308" s="160"/>
    </row>
  </sheetData>
  <mergeCells count="2">
    <mergeCell ref="P1:P2"/>
    <mergeCell ref="Q1:Q2"/>
  </mergeCells>
  <pageMargins left="0.25" right="0.25" top="0.75" bottom="0.75" header="0.3" footer="0.3"/>
  <pageSetup scale="52" fitToHeight="0" orientation="landscape" r:id="rId1"/>
  <headerFooter scaleWithDoc="0" alignWithMargins="0">
    <oddFooter>&amp;CPage &amp;P of &amp;N</oddFooter>
  </headerFooter>
  <rowBreaks count="5" manualBreakCount="5">
    <brk id="36" max="13" man="1"/>
    <brk id="86" max="13" man="1"/>
    <brk id="156" max="13" man="1"/>
    <brk id="224" max="13" man="1"/>
    <brk id="285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3"/>
  <sheetViews>
    <sheetView view="pageBreakPreview" zoomScale="60" zoomScaleNormal="60" workbookViewId="0">
      <pane ySplit="6" topLeftCell="A109" activePane="bottomLeft" state="frozen"/>
      <selection activeCell="A297" sqref="A297"/>
      <selection pane="bottomLeft" activeCell="B92" sqref="B92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212" t="s">
        <v>538</v>
      </c>
      <c r="B1" s="212"/>
      <c r="C1" s="212"/>
      <c r="D1" s="212"/>
      <c r="E1" s="212"/>
      <c r="F1" s="212"/>
      <c r="G1" s="212"/>
      <c r="H1" s="212"/>
      <c r="I1" s="212"/>
    </row>
    <row r="2" spans="1:12" ht="36" x14ac:dyDescent="0.55000000000000004">
      <c r="A2" s="212" t="s">
        <v>539</v>
      </c>
      <c r="B2" s="212"/>
      <c r="C2" s="212"/>
      <c r="D2" s="212"/>
      <c r="E2" s="212"/>
      <c r="F2" s="212"/>
      <c r="G2" s="212"/>
      <c r="H2" s="212"/>
      <c r="I2" s="212"/>
    </row>
    <row r="3" spans="1:12" ht="36" x14ac:dyDescent="0.55000000000000004">
      <c r="A3" s="212" t="s">
        <v>262</v>
      </c>
      <c r="B3" s="212"/>
      <c r="C3" s="212"/>
      <c r="D3" s="212"/>
      <c r="E3" s="212"/>
      <c r="F3" s="212"/>
      <c r="G3" s="212"/>
      <c r="H3" s="212"/>
      <c r="I3" s="212"/>
    </row>
    <row r="4" spans="1:12" ht="36" x14ac:dyDescent="0.55000000000000004">
      <c r="A4" s="213">
        <f>'Comp Summary YTD 2020-2019 '!A12:I12</f>
        <v>43951</v>
      </c>
      <c r="B4" s="214"/>
      <c r="C4" s="214"/>
      <c r="D4" s="214"/>
      <c r="E4" s="214"/>
      <c r="F4" s="214"/>
      <c r="G4" s="214"/>
      <c r="H4" s="214"/>
      <c r="I4" s="214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1097290359.1500001</v>
      </c>
      <c r="C8" s="13">
        <f>'Comp YTD 2020-2019 '!C12</f>
        <v>6630858.9000000004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1103921218.0500002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1228239585.6900001</v>
      </c>
      <c r="C9" s="13">
        <f>'Comp YTD 2020-2019 '!C13</f>
        <v>951446.44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1229191032.1300001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15112181.949999999</v>
      </c>
      <c r="C10" s="13">
        <f>'Comp YTD 2020-2019 '!C14</f>
        <v>15229.84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15127411.789999999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52653902.969999999</v>
      </c>
      <c r="C11" s="13">
        <f>'Comp YTD 2020-2019 '!C15</f>
        <v>43279.8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52697182.769999996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20715619.399999999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20715619.399999999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36662970.149999999</v>
      </c>
      <c r="C13" s="13">
        <f>'Comp YTD 2020-2019 '!C17</f>
        <v>75.97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36663046.119999997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514149.37</v>
      </c>
      <c r="C14" s="13">
        <f>'Comp YTD 2020-2019 '!C18</f>
        <v>192002.00000000003</v>
      </c>
      <c r="D14" s="13">
        <f>DEP!N17</f>
        <v>2070342.7200000002</v>
      </c>
      <c r="E14" s="13">
        <v>0</v>
      </c>
      <c r="F14" s="13">
        <f>'BSC (Dome)'!N15</f>
        <v>283910.69</v>
      </c>
      <c r="G14" s="13">
        <v>0</v>
      </c>
      <c r="H14" s="13">
        <v>0</v>
      </c>
      <c r="I14" s="13">
        <f t="shared" si="0"/>
        <v>3060404.7800000003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2451188768.6799998</v>
      </c>
      <c r="C15" s="15">
        <f t="shared" si="1"/>
        <v>7832892.9499999993</v>
      </c>
      <c r="D15" s="15">
        <f t="shared" si="1"/>
        <v>2070342.7200000002</v>
      </c>
      <c r="E15" s="15">
        <f t="shared" si="1"/>
        <v>0</v>
      </c>
      <c r="F15" s="15">
        <f t="shared" si="1"/>
        <v>283910.69</v>
      </c>
      <c r="G15" s="15">
        <f t="shared" si="1"/>
        <v>0</v>
      </c>
      <c r="H15" s="15">
        <f t="shared" si="1"/>
        <v>0</v>
      </c>
      <c r="I15" s="15">
        <f t="shared" si="0"/>
        <v>2461375915.0399995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1088751762.02</v>
      </c>
      <c r="C18" s="13">
        <f>BPM!N20+BPM!N31</f>
        <v>6468387.3300000001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1095220149.3499999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1217045904.2600012</v>
      </c>
      <c r="C19" s="13">
        <f>BPM!N21+BPM!N32</f>
        <v>878069.50000000012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1217923973.7600012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14753635.110000003</v>
      </c>
      <c r="C20" s="13">
        <f>BPM!N22+BPM!N33</f>
        <v>13768.460000000001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14767403.570000004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51896815.360000007</v>
      </c>
      <c r="C21" s="13">
        <f>BPM!N23</f>
        <v>40652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51937467.360000007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19906002.350000001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19906002.350000001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34996576.359999999</v>
      </c>
      <c r="C23" s="13">
        <f>BPM!N25</f>
        <v>66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34996642.359999999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1438791.8099999998</v>
      </c>
      <c r="C24" s="13">
        <f>BPM!N24+BPM!N26+BPM!N27+BPM!N35+BPM!N36+BPM!N29+BPM!N30+BPM!N28</f>
        <v>286276.52</v>
      </c>
      <c r="D24" s="13">
        <f>DEP!N23</f>
        <v>49342.94</v>
      </c>
      <c r="E24" s="13">
        <v>0</v>
      </c>
      <c r="F24" s="13">
        <f>'BSC (Dome)'!N18</f>
        <v>959.06000000000006</v>
      </c>
      <c r="G24" s="13">
        <v>0</v>
      </c>
      <c r="H24" s="13">
        <v>0</v>
      </c>
      <c r="I24" s="13">
        <f t="shared" si="2"/>
        <v>1775370.3299999998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2428789487.2700014</v>
      </c>
      <c r="C25" s="15">
        <f t="shared" si="3"/>
        <v>7687219.8100000005</v>
      </c>
      <c r="D25" s="15">
        <f t="shared" si="3"/>
        <v>49342.94</v>
      </c>
      <c r="E25" s="15">
        <f t="shared" si="3"/>
        <v>0</v>
      </c>
      <c r="F25" s="15">
        <f t="shared" si="3"/>
        <v>959.06000000000006</v>
      </c>
      <c r="G25" s="15">
        <f t="shared" si="3"/>
        <v>0</v>
      </c>
      <c r="H25" s="15">
        <f t="shared" si="3"/>
        <v>0</v>
      </c>
      <c r="I25" s="15">
        <f t="shared" si="2"/>
        <v>2436527009.0800014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22399281.409998417</v>
      </c>
      <c r="C27" s="18">
        <f t="shared" si="4"/>
        <v>145673.13999999873</v>
      </c>
      <c r="D27" s="18">
        <f t="shared" si="4"/>
        <v>2020999.7800000003</v>
      </c>
      <c r="E27" s="18">
        <f t="shared" si="4"/>
        <v>0</v>
      </c>
      <c r="F27" s="18">
        <f t="shared" si="4"/>
        <v>282951.63</v>
      </c>
      <c r="G27" s="18">
        <f t="shared" si="4"/>
        <v>0</v>
      </c>
      <c r="H27" s="18">
        <f t="shared" si="4"/>
        <v>0</v>
      </c>
      <c r="I27" s="18">
        <f>SUM(B27:H27)</f>
        <v>24848905.959998418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1048131.2599999999</v>
      </c>
      <c r="C32" s="13">
        <f>BPM!N44</f>
        <v>59873.320000000007</v>
      </c>
      <c r="D32" s="13">
        <f>DEP!N29</f>
        <v>363940.02</v>
      </c>
      <c r="E32" s="13">
        <v>0</v>
      </c>
      <c r="F32" s="13">
        <f>'BSC (Dome)'!N25+'BSC (Dome)'!N33</f>
        <v>110428.29000000001</v>
      </c>
      <c r="G32" s="13">
        <v>0</v>
      </c>
      <c r="H32" s="13">
        <v>0</v>
      </c>
      <c r="I32" s="13">
        <f t="shared" ref="I32:I42" si="5">SUM(B32:H32)</f>
        <v>1582372.89</v>
      </c>
      <c r="L32" s="24"/>
    </row>
    <row r="33" spans="1:12" s="22" customFormat="1" ht="42.75" customHeight="1" x14ac:dyDescent="0.5">
      <c r="A33" s="6" t="s">
        <v>530</v>
      </c>
      <c r="B33" s="13">
        <f>'Comp YTD 2020-2019 '!B38</f>
        <v>3077797.6100000003</v>
      </c>
      <c r="C33" s="13">
        <f>BPM!N45</f>
        <v>7339.8899999999994</v>
      </c>
      <c r="D33" s="13">
        <f>DEP!N30</f>
        <v>29220.82</v>
      </c>
      <c r="E33" s="13">
        <v>0</v>
      </c>
      <c r="F33" s="13">
        <f>'Comp YTD 2020-2019 '!F38</f>
        <v>2250</v>
      </c>
      <c r="G33" s="13">
        <v>0</v>
      </c>
      <c r="H33" s="13">
        <v>0</v>
      </c>
      <c r="I33" s="13">
        <f t="shared" si="5"/>
        <v>3116608.3200000003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6472.47</v>
      </c>
      <c r="C34" s="13">
        <f>'Comp YTD 2020-2019 '!C39</f>
        <v>510.21</v>
      </c>
      <c r="D34" s="13">
        <f>'Comp YTD 2020-2019 '!D39</f>
        <v>1430.3199999999997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8413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83709.73</v>
      </c>
      <c r="C35" s="13">
        <f>BPM!N47</f>
        <v>6067.9600000000009</v>
      </c>
      <c r="D35" s="13">
        <f>DEP!N32</f>
        <v>34727.46</v>
      </c>
      <c r="E35" s="13">
        <v>0</v>
      </c>
      <c r="F35" s="13">
        <f>'BSC (Dome)'!N27</f>
        <v>8223.2099999999991</v>
      </c>
      <c r="G35" s="13">
        <v>0</v>
      </c>
      <c r="H35" s="13">
        <v>0</v>
      </c>
      <c r="I35" s="13">
        <f t="shared" si="5"/>
        <v>132728.35999999999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99444.159999999989</v>
      </c>
      <c r="C36" s="13">
        <f>BPM!N48</f>
        <v>11442.710000000001</v>
      </c>
      <c r="D36" s="13">
        <f>DEP!N33</f>
        <v>52500.259999999995</v>
      </c>
      <c r="E36" s="13">
        <v>0</v>
      </c>
      <c r="F36" s="13">
        <f>'BSC (Dome)'!N28</f>
        <v>14795.34</v>
      </c>
      <c r="G36" s="13">
        <v>0</v>
      </c>
      <c r="H36" s="13">
        <v>0</v>
      </c>
      <c r="I36" s="13">
        <f t="shared" si="5"/>
        <v>178182.47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18069.059999999998</v>
      </c>
      <c r="C37" s="13">
        <f>BPM!N49</f>
        <v>1736.52</v>
      </c>
      <c r="D37" s="13">
        <f>DEP!N34</f>
        <v>6673.9800000000005</v>
      </c>
      <c r="E37" s="13">
        <v>0</v>
      </c>
      <c r="F37" s="13">
        <f>'BSC (Dome)'!N29</f>
        <v>1025.82</v>
      </c>
      <c r="G37" s="13">
        <v>0</v>
      </c>
      <c r="H37" s="13">
        <v>0</v>
      </c>
      <c r="I37" s="13">
        <f t="shared" si="5"/>
        <v>27505.379999999997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82332.899999999994</v>
      </c>
      <c r="C38" s="13">
        <f>BPM!N50</f>
        <v>2948.5800000000004</v>
      </c>
      <c r="D38" s="13">
        <f>DEP!N35</f>
        <v>11820.53</v>
      </c>
      <c r="E38" s="13">
        <v>0</v>
      </c>
      <c r="F38" s="13">
        <f>'BSC (Dome)'!N31</f>
        <v>1500</v>
      </c>
      <c r="G38" s="13">
        <v>0</v>
      </c>
      <c r="H38" s="13">
        <v>0</v>
      </c>
      <c r="I38" s="13">
        <f t="shared" si="5"/>
        <v>98602.01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32963.53</v>
      </c>
      <c r="C39" s="13">
        <f>'Comp YTD 2020-2019 '!C44</f>
        <v>0</v>
      </c>
      <c r="D39" s="13">
        <f>DEP!N36</f>
        <v>980.75</v>
      </c>
      <c r="E39" s="13">
        <v>0</v>
      </c>
      <c r="F39" s="13">
        <f>'BSC (Dome)'!N30+'BSC (Dome)'!N32</f>
        <v>522.96</v>
      </c>
      <c r="G39" s="13">
        <v>0</v>
      </c>
      <c r="H39" s="13">
        <v>0</v>
      </c>
      <c r="I39" s="13">
        <f t="shared" si="5"/>
        <v>34467.24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365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365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25883.8</v>
      </c>
      <c r="C41" s="13">
        <f>BPM!N52</f>
        <v>750</v>
      </c>
      <c r="D41" s="13">
        <f>DEP!N37</f>
        <v>8812.2000000000007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35446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4475169.5200000005</v>
      </c>
      <c r="C42" s="15">
        <f t="shared" ref="C42:H42" si="6">SUM(C32:C41)</f>
        <v>90669.190000000031</v>
      </c>
      <c r="D42" s="15">
        <f t="shared" si="6"/>
        <v>510106.34000000008</v>
      </c>
      <c r="E42" s="15">
        <f t="shared" si="6"/>
        <v>0</v>
      </c>
      <c r="F42" s="15">
        <f t="shared" si="6"/>
        <v>138745.62</v>
      </c>
      <c r="G42" s="15">
        <f t="shared" si="6"/>
        <v>0</v>
      </c>
      <c r="H42" s="15">
        <f t="shared" si="6"/>
        <v>0</v>
      </c>
      <c r="I42" s="15">
        <f t="shared" si="5"/>
        <v>5214690.6700000009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166800</v>
      </c>
      <c r="C45" s="13">
        <f>BPM!N57</f>
        <v>15000</v>
      </c>
      <c r="D45" s="13">
        <f>DEP!N42</f>
        <v>150000</v>
      </c>
      <c r="E45" s="13">
        <v>0</v>
      </c>
      <c r="F45" s="13">
        <f>'BSC (Dome)'!N37</f>
        <v>4000</v>
      </c>
      <c r="G45" s="13">
        <v>0</v>
      </c>
      <c r="H45" s="13">
        <v>0</v>
      </c>
      <c r="I45" s="13">
        <f t="shared" ref="I45:I67" si="7">SUM(B45:H45)</f>
        <v>335800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12501.609999999999</v>
      </c>
      <c r="C46" s="13">
        <v>0</v>
      </c>
      <c r="D46" s="13">
        <f>DEP!N43</f>
        <v>-3572.62</v>
      </c>
      <c r="E46" s="13">
        <v>0</v>
      </c>
      <c r="F46" s="13">
        <f>'BSC (Dome)'!N39</f>
        <v>3287.5</v>
      </c>
      <c r="G46" s="13">
        <f>'Comp YTD 2020-2019 '!G51</f>
        <v>161.63</v>
      </c>
      <c r="H46" s="13">
        <v>0</v>
      </c>
      <c r="I46" s="13">
        <f t="shared" si="7"/>
        <v>12378.119999999997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5257.74</v>
      </c>
      <c r="C47" s="13">
        <v>0</v>
      </c>
      <c r="D47" s="13">
        <f>'Comp YTD 2020-2019 '!D52</f>
        <v>5892.38</v>
      </c>
      <c r="E47" s="13">
        <v>0</v>
      </c>
      <c r="F47" s="13">
        <f>'BSC (Dome)'!N38</f>
        <v>35941.71</v>
      </c>
      <c r="G47" s="13">
        <v>0</v>
      </c>
      <c r="H47" s="13">
        <v>0</v>
      </c>
      <c r="I47" s="13">
        <f t="shared" si="7"/>
        <v>47091.83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664.62</v>
      </c>
      <c r="C48" s="13">
        <v>0</v>
      </c>
      <c r="D48" s="13">
        <f>'Comp YTD 2020-2019 '!D53</f>
        <v>215.28</v>
      </c>
      <c r="E48" s="13">
        <v>0</v>
      </c>
      <c r="F48" s="13">
        <f>'BSC (Dome)'!N40</f>
        <v>1092.7</v>
      </c>
      <c r="G48" s="13">
        <v>0</v>
      </c>
      <c r="H48" s="13">
        <v>0</v>
      </c>
      <c r="I48" s="13">
        <f t="shared" si="7"/>
        <v>1972.6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890.12</v>
      </c>
      <c r="C49" s="13">
        <v>0</v>
      </c>
      <c r="D49" s="13">
        <f>DEP!N45</f>
        <v>1100</v>
      </c>
      <c r="E49" s="13">
        <v>0</v>
      </c>
      <c r="F49" s="13">
        <f>'BSC (Dome)'!N41</f>
        <v>2912.1800000000003</v>
      </c>
      <c r="G49" s="13">
        <v>0</v>
      </c>
      <c r="H49" s="13">
        <v>0</v>
      </c>
      <c r="I49" s="13">
        <f t="shared" si="7"/>
        <v>4902.3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10000</v>
      </c>
      <c r="C50" s="13">
        <v>0</v>
      </c>
      <c r="D50" s="13">
        <f>DEP!N46</f>
        <v>8400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18400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44097.82</v>
      </c>
      <c r="C51" s="13">
        <f>BPM!N58</f>
        <v>0</v>
      </c>
      <c r="D51" s="13">
        <f>DEP!N47</f>
        <v>11027.880000000001</v>
      </c>
      <c r="E51" s="13">
        <v>0</v>
      </c>
      <c r="F51" s="13">
        <f>'BSC (Dome)'!N43</f>
        <v>1347.65</v>
      </c>
      <c r="G51" s="13">
        <v>0</v>
      </c>
      <c r="H51" s="13">
        <v>0</v>
      </c>
      <c r="I51" s="13">
        <f t="shared" si="7"/>
        <v>56473.35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2576.14</v>
      </c>
      <c r="G52" s="13">
        <v>0</v>
      </c>
      <c r="H52" s="13">
        <v>0</v>
      </c>
      <c r="I52" s="13">
        <f t="shared" si="7"/>
        <v>2576.14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37072.199999999997</v>
      </c>
      <c r="C53" s="13">
        <v>0</v>
      </c>
      <c r="D53" s="13">
        <f>DEP!N48</f>
        <v>24051.72</v>
      </c>
      <c r="E53" s="13">
        <v>0</v>
      </c>
      <c r="F53" s="13">
        <f>'BSC (Dome)'!N46</f>
        <v>919.43000000000006</v>
      </c>
      <c r="G53" s="13">
        <v>0</v>
      </c>
      <c r="H53" s="13">
        <v>0</v>
      </c>
      <c r="I53" s="13">
        <f t="shared" si="7"/>
        <v>62043.35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11429.77</v>
      </c>
      <c r="C54" s="13">
        <v>0</v>
      </c>
      <c r="D54" s="13">
        <f>DEP!N50</f>
        <v>1673.7399999999998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13103.51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22353.66</v>
      </c>
      <c r="C55" s="13">
        <f>BPM!N59</f>
        <v>300</v>
      </c>
      <c r="D55" s="13">
        <f>DEP!N51</f>
        <v>90625.04</v>
      </c>
      <c r="E55" s="13">
        <v>0</v>
      </c>
      <c r="F55" s="13">
        <f>'BSC (Dome)'!N48</f>
        <v>10594.33</v>
      </c>
      <c r="G55" s="13">
        <v>0</v>
      </c>
      <c r="H55" s="13">
        <v>0</v>
      </c>
      <c r="I55" s="13">
        <f t="shared" si="7"/>
        <v>123873.03</v>
      </c>
      <c r="L55" s="24"/>
    </row>
    <row r="56" spans="1:12" s="22" customFormat="1" ht="42.75" customHeight="1" x14ac:dyDescent="0.5">
      <c r="A56" s="6" t="s">
        <v>349</v>
      </c>
      <c r="B56" s="13">
        <f>'Comp YTD 2020-2019 '!B67</f>
        <v>110</v>
      </c>
      <c r="C56" s="13">
        <f>BPM!N76</f>
        <v>0</v>
      </c>
      <c r="D56" s="13">
        <f>DEP!N76</f>
        <v>110</v>
      </c>
      <c r="E56" s="13">
        <f>Lending!N11</f>
        <v>110</v>
      </c>
      <c r="F56" s="13">
        <f>'BSC (Dome)'!N49</f>
        <v>110</v>
      </c>
      <c r="G56" s="13">
        <f>'Oliari Co.'!N13+'Oliari Co.'!N10</f>
        <v>0</v>
      </c>
      <c r="H56" s="13">
        <f>'722 Bedford St'!N10</f>
        <v>0</v>
      </c>
      <c r="I56" s="13">
        <f t="shared" si="7"/>
        <v>440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(Dome)'!N45</f>
        <v>9098.15</v>
      </c>
      <c r="G57" s="13">
        <v>0</v>
      </c>
      <c r="H57" s="13">
        <v>0</v>
      </c>
      <c r="I57" s="13">
        <f t="shared" si="7"/>
        <v>9098.15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44119.18</v>
      </c>
      <c r="C58" s="13">
        <v>0</v>
      </c>
      <c r="D58" s="13">
        <f>DEP!N52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44119.18</v>
      </c>
      <c r="L58" s="24"/>
    </row>
    <row r="59" spans="1:12" s="22" customFormat="1" ht="42.75" customHeight="1" x14ac:dyDescent="0.5">
      <c r="A59" s="6" t="s">
        <v>239</v>
      </c>
      <c r="B59" s="13">
        <f>'Comp YTD 2020-2019 '!B63</f>
        <v>6576.24</v>
      </c>
      <c r="C59" s="13">
        <v>0</v>
      </c>
      <c r="D59" s="13">
        <f>DEP!N55</f>
        <v>1602.28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8178.5199999999995</v>
      </c>
      <c r="L59" s="24"/>
    </row>
    <row r="60" spans="1:12" s="22" customFormat="1" ht="42.75" customHeight="1" x14ac:dyDescent="0.5">
      <c r="A60" s="6" t="s">
        <v>240</v>
      </c>
      <c r="B60" s="13">
        <f>'Comp YTD 2020-2019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241</v>
      </c>
      <c r="B61" s="13">
        <f>'Comp YTD 2020-2019 '!B65</f>
        <v>427204.03</v>
      </c>
      <c r="C61" s="13">
        <f>BPM!N60</f>
        <v>1673.16</v>
      </c>
      <c r="D61" s="13">
        <f>DEP!N56</f>
        <v>53828.75</v>
      </c>
      <c r="E61" s="13">
        <v>0</v>
      </c>
      <c r="F61" s="13">
        <f>'BSC (Dome)'!N54</f>
        <v>33649.08</v>
      </c>
      <c r="G61" s="13">
        <f>'Oliari Co.'!N14</f>
        <v>37007.090000000004</v>
      </c>
      <c r="H61" s="13">
        <f>'722 Bedford St'!N11</f>
        <v>58185.68</v>
      </c>
      <c r="I61" s="13">
        <f t="shared" si="7"/>
        <v>611547.79</v>
      </c>
      <c r="L61" s="24"/>
    </row>
    <row r="62" spans="1:12" s="22" customFormat="1" ht="42.75" customHeight="1" x14ac:dyDescent="0.5">
      <c r="A62" s="6" t="s">
        <v>251</v>
      </c>
      <c r="B62" s="13">
        <f>'Comp YTD 2020-2019 '!B66</f>
        <v>4304.5599999999995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4304.5599999999995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'!B68</f>
        <v>6646.21</v>
      </c>
      <c r="C63" s="13">
        <f>BPM!N77</f>
        <v>477</v>
      </c>
      <c r="D63" s="13">
        <f>DEP!N58</f>
        <v>5448.72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12571.93</v>
      </c>
      <c r="L63" s="24"/>
    </row>
    <row r="64" spans="1:12" s="22" customFormat="1" ht="42.75" customHeight="1" x14ac:dyDescent="0.5">
      <c r="A64" s="6" t="s">
        <v>245</v>
      </c>
      <c r="B64" s="13">
        <f>'Comp YTD 2020-2019 '!B69</f>
        <v>34309.08</v>
      </c>
      <c r="C64" s="13">
        <f>BPM!N71</f>
        <v>1350</v>
      </c>
      <c r="D64" s="13">
        <f>DEP!N54</f>
        <v>29810.33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65469.41</v>
      </c>
      <c r="L64" s="24"/>
    </row>
    <row r="65" spans="1:12" s="22" customFormat="1" ht="42.75" customHeight="1" x14ac:dyDescent="0.5">
      <c r="A65" s="6" t="s">
        <v>361</v>
      </c>
      <c r="B65" s="13">
        <f>'Comp YTD 2020-2019 '!B70</f>
        <v>8913.15</v>
      </c>
      <c r="C65" s="13">
        <v>0</v>
      </c>
      <c r="D65" s="13">
        <f>DEP!N59</f>
        <v>116.71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9029.8599999999988</v>
      </c>
      <c r="L65" s="24"/>
    </row>
    <row r="66" spans="1:12" s="22" customFormat="1" ht="42.75" customHeight="1" x14ac:dyDescent="0.5">
      <c r="A66" s="6" t="s">
        <v>362</v>
      </c>
      <c r="B66" s="13">
        <f>'Comp YTD 2020-2019 '!B71</f>
        <v>10208.789999999999</v>
      </c>
      <c r="C66" s="13">
        <f>BPM!N69+BPM!N70</f>
        <v>4750.5999999999995</v>
      </c>
      <c r="D66" s="13">
        <f>DEP!N60</f>
        <v>1350.94</v>
      </c>
      <c r="E66" s="13">
        <v>0</v>
      </c>
      <c r="F66" s="13">
        <f>'BSC (Dome)'!N57</f>
        <v>3230.44</v>
      </c>
      <c r="G66" s="13">
        <v>0</v>
      </c>
      <c r="H66" s="13">
        <v>0</v>
      </c>
      <c r="I66" s="13">
        <f t="shared" si="7"/>
        <v>19540.77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853458.78</v>
      </c>
      <c r="C67" s="15">
        <f t="shared" si="8"/>
        <v>23550.76</v>
      </c>
      <c r="D67" s="15">
        <f t="shared" si="8"/>
        <v>381681.15</v>
      </c>
      <c r="E67" s="15">
        <f t="shared" si="8"/>
        <v>110</v>
      </c>
      <c r="F67" s="15">
        <f t="shared" si="8"/>
        <v>108759.31</v>
      </c>
      <c r="G67" s="15">
        <f t="shared" si="8"/>
        <v>37168.720000000001</v>
      </c>
      <c r="H67" s="15">
        <f t="shared" si="8"/>
        <v>58185.68</v>
      </c>
      <c r="I67" s="15">
        <f t="shared" si="7"/>
        <v>1462914.4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'!B81</f>
        <v>6102.99</v>
      </c>
      <c r="C70" s="13">
        <v>0</v>
      </c>
      <c r="D70" s="13">
        <f>DEP!N64</f>
        <v>711.54000000000008</v>
      </c>
      <c r="E70" s="13">
        <v>0</v>
      </c>
      <c r="F70" s="13">
        <f>'BSC (Dome)'!N61</f>
        <v>1551.92</v>
      </c>
      <c r="G70" s="13">
        <v>0</v>
      </c>
      <c r="H70" s="13">
        <v>0</v>
      </c>
      <c r="I70" s="13">
        <f t="shared" ref="I70:I90" si="9">SUM(B70:H70)</f>
        <v>8366.4500000000007</v>
      </c>
      <c r="L70" s="24"/>
    </row>
    <row r="71" spans="1:12" s="22" customFormat="1" ht="42.75" customHeight="1" x14ac:dyDescent="0.5">
      <c r="A71" s="6" t="s">
        <v>384</v>
      </c>
      <c r="B71" s="13">
        <f>'Comp YTD 2020-2019 '!B82</f>
        <v>738</v>
      </c>
      <c r="C71" s="13">
        <f>'Comp YTD 2020-2019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738</v>
      </c>
      <c r="L71" s="24"/>
    </row>
    <row r="72" spans="1:12" s="22" customFormat="1" ht="42.75" customHeight="1" x14ac:dyDescent="0.5">
      <c r="A72" s="6" t="s">
        <v>532</v>
      </c>
      <c r="B72" s="13">
        <v>0</v>
      </c>
      <c r="C72" s="13">
        <v>0</v>
      </c>
      <c r="D72" s="13">
        <v>0</v>
      </c>
      <c r="E72" s="13">
        <f>Lending!N9</f>
        <v>0</v>
      </c>
      <c r="F72" s="13">
        <v>0</v>
      </c>
      <c r="G72" s="13">
        <v>0</v>
      </c>
      <c r="H72" s="13">
        <v>0</v>
      </c>
      <c r="I72" s="13">
        <f t="shared" si="9"/>
        <v>0</v>
      </c>
      <c r="L72" s="24"/>
    </row>
    <row r="73" spans="1:12" s="22" customFormat="1" ht="42.75" customHeight="1" x14ac:dyDescent="0.5">
      <c r="A73" s="6" t="s">
        <v>249</v>
      </c>
      <c r="B73" s="13">
        <f>'Comp YTD 2020-2019 '!B84</f>
        <v>29321.519999999997</v>
      </c>
      <c r="C73" s="13">
        <f>BPM!N65</f>
        <v>391.37</v>
      </c>
      <c r="D73" s="13">
        <f>DEP!N65</f>
        <v>1097.3600000000001</v>
      </c>
      <c r="E73" s="13">
        <f>Lending!N10</f>
        <v>7.8900000000000006</v>
      </c>
      <c r="F73" s="13">
        <f>'BSC (Dome)'!N62</f>
        <v>0</v>
      </c>
      <c r="G73" s="13">
        <f>-'Oliari Co.'!N27</f>
        <v>0</v>
      </c>
      <c r="H73" s="13">
        <f>'722 Bedford St'!N16</f>
        <v>0</v>
      </c>
      <c r="I73" s="13">
        <f t="shared" si="9"/>
        <v>30818.139999999996</v>
      </c>
      <c r="L73" s="24"/>
    </row>
    <row r="74" spans="1:12" s="22" customFormat="1" ht="42.75" customHeight="1" x14ac:dyDescent="0.5">
      <c r="A74" s="6" t="s">
        <v>356</v>
      </c>
      <c r="B74" s="13">
        <f>'Comp YTD 2020-2019 '!B85</f>
        <v>0</v>
      </c>
      <c r="C74" s="13">
        <v>0</v>
      </c>
      <c r="D74" s="13">
        <v>0</v>
      </c>
      <c r="E74" s="13">
        <v>0</v>
      </c>
      <c r="F74" s="13">
        <f>'BSC (Dome)'!N63</f>
        <v>3386.15</v>
      </c>
      <c r="G74" s="13">
        <v>0</v>
      </c>
      <c r="H74" s="13">
        <v>0</v>
      </c>
      <c r="I74" s="13">
        <f t="shared" si="9"/>
        <v>3386.15</v>
      </c>
      <c r="L74" s="24"/>
    </row>
    <row r="75" spans="1:12" s="22" customFormat="1" ht="42.75" customHeight="1" x14ac:dyDescent="0.5">
      <c r="A75" s="6" t="s">
        <v>250</v>
      </c>
      <c r="B75" s="13">
        <f>'Comp YTD 2020-2019 '!B86</f>
        <v>7094.8099999999995</v>
      </c>
      <c r="C75" s="13">
        <v>0</v>
      </c>
      <c r="D75" s="13">
        <f>DEP!N75</f>
        <v>0</v>
      </c>
      <c r="E75" s="13">
        <v>0</v>
      </c>
      <c r="F75" s="13">
        <f>'BSC (Dome)'!N67</f>
        <v>179.83</v>
      </c>
      <c r="G75" s="13">
        <f>'Comp YTD 2020-2019 '!G86</f>
        <v>3443.72</v>
      </c>
      <c r="H75" s="13">
        <v>0</v>
      </c>
      <c r="I75" s="13">
        <f t="shared" si="9"/>
        <v>10718.359999999999</v>
      </c>
      <c r="L75" s="24"/>
    </row>
    <row r="76" spans="1:12" s="22" customFormat="1" ht="42.75" customHeight="1" x14ac:dyDescent="0.5">
      <c r="A76" s="6" t="s">
        <v>353</v>
      </c>
      <c r="B76" s="13">
        <f>'Comp YTD 2020-2019 '!B87</f>
        <v>78333.320000000007</v>
      </c>
      <c r="C76" s="13">
        <f>BPM!N73</f>
        <v>1540</v>
      </c>
      <c r="D76" s="13">
        <f>DEP!N69</f>
        <v>13000</v>
      </c>
      <c r="E76" s="13">
        <v>0</v>
      </c>
      <c r="F76" s="13">
        <f>'BSC (Dome)'!N68</f>
        <v>1000</v>
      </c>
      <c r="G76" s="13">
        <f>'Oliari Co.'!N18</f>
        <v>1000</v>
      </c>
      <c r="H76" s="13">
        <f>'722 Bedford St'!N15</f>
        <v>1333.32</v>
      </c>
      <c r="I76" s="13">
        <f t="shared" si="9"/>
        <v>96206.640000000014</v>
      </c>
      <c r="L76" s="24"/>
    </row>
    <row r="77" spans="1:12" s="22" customFormat="1" ht="42.75" customHeight="1" x14ac:dyDescent="0.5">
      <c r="A77" s="6" t="s">
        <v>354</v>
      </c>
      <c r="B77" s="13">
        <f>'Comp YTD 2020-2019 '!B88</f>
        <v>33750</v>
      </c>
      <c r="C77" s="13">
        <f>BPM!N74</f>
        <v>11434.29</v>
      </c>
      <c r="D77" s="13">
        <f>DEP!N70</f>
        <v>10500</v>
      </c>
      <c r="E77" s="13">
        <f>Lending!N12</f>
        <v>0</v>
      </c>
      <c r="F77" s="13">
        <f>'BSC (Dome)'!N69</f>
        <v>4500</v>
      </c>
      <c r="G77" s="13">
        <v>0</v>
      </c>
      <c r="H77" s="13">
        <v>0</v>
      </c>
      <c r="I77" s="13">
        <f t="shared" si="9"/>
        <v>60184.29</v>
      </c>
      <c r="L77" s="24"/>
    </row>
    <row r="78" spans="1:12" s="22" customFormat="1" ht="42.75" customHeight="1" x14ac:dyDescent="0.5">
      <c r="A78" s="6" t="s">
        <v>355</v>
      </c>
      <c r="B78" s="13">
        <f>'Comp YTD 2020-2019 '!B89</f>
        <v>29156.6</v>
      </c>
      <c r="C78" s="13">
        <f>BPM!N72</f>
        <v>8510</v>
      </c>
      <c r="D78" s="13">
        <f>DEP!N68</f>
        <v>1333.32</v>
      </c>
      <c r="E78" s="13">
        <f>Lending!N13</f>
        <v>1000</v>
      </c>
      <c r="F78" s="13">
        <v>0</v>
      </c>
      <c r="G78" s="13">
        <v>0</v>
      </c>
      <c r="H78" s="13">
        <v>0</v>
      </c>
      <c r="I78" s="13">
        <f t="shared" si="9"/>
        <v>39999.919999999998</v>
      </c>
      <c r="L78" s="24"/>
    </row>
    <row r="79" spans="1:12" s="22" customFormat="1" ht="42.75" customHeight="1" x14ac:dyDescent="0.5">
      <c r="A79" s="6" t="s">
        <v>393</v>
      </c>
      <c r="B79" s="13">
        <f>'Comp YTD 2020-2019 '!B90</f>
        <v>0</v>
      </c>
      <c r="C79" s="13">
        <f>BPM!N75</f>
        <v>0</v>
      </c>
      <c r="D79" s="13">
        <f>DEP!N72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'!B91</f>
        <v>0</v>
      </c>
      <c r="C80" s="13">
        <v>0</v>
      </c>
      <c r="D80" s="13">
        <f>DEP!N71</f>
        <v>3666.67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3666.67</v>
      </c>
      <c r="L80" s="24"/>
    </row>
    <row r="81" spans="1:12" s="22" customFormat="1" ht="42.75" customHeight="1" x14ac:dyDescent="0.5">
      <c r="A81" s="6" t="s">
        <v>252</v>
      </c>
      <c r="B81" s="13">
        <f>'Comp YTD 2020-2019 '!B92</f>
        <v>4296.8599999999997</v>
      </c>
      <c r="C81" s="13">
        <f>BPM!N66</f>
        <v>0</v>
      </c>
      <c r="D81" s="13">
        <f>DEP!N67</f>
        <v>0</v>
      </c>
      <c r="E81" s="13">
        <v>0</v>
      </c>
      <c r="F81" s="13">
        <f>'BSC (Dome)'!N65</f>
        <v>2123.89</v>
      </c>
      <c r="G81" s="13">
        <v>0</v>
      </c>
      <c r="H81" s="13">
        <v>0</v>
      </c>
      <c r="I81" s="13">
        <f t="shared" si="9"/>
        <v>6420.75</v>
      </c>
      <c r="L81" s="24"/>
    </row>
    <row r="82" spans="1:12" s="22" customFormat="1" ht="42.75" customHeight="1" x14ac:dyDescent="0.5">
      <c r="A82" s="6" t="s">
        <v>253</v>
      </c>
      <c r="B82" s="13">
        <f>'Comp YTD 2020-2019 '!B93</f>
        <v>3988</v>
      </c>
      <c r="C82" s="13">
        <f>BPM!N68</f>
        <v>0</v>
      </c>
      <c r="D82" s="13">
        <f>DEP!N77</f>
        <v>225</v>
      </c>
      <c r="E82" s="13">
        <v>0</v>
      </c>
      <c r="F82" s="13">
        <f>'BSC (Dome)'!N71</f>
        <v>0</v>
      </c>
      <c r="G82" s="13">
        <v>0</v>
      </c>
      <c r="H82" s="13">
        <v>0</v>
      </c>
      <c r="I82" s="13">
        <f t="shared" si="9"/>
        <v>4213</v>
      </c>
      <c r="L82" s="24"/>
    </row>
    <row r="83" spans="1:12" s="22" customFormat="1" ht="42.75" customHeight="1" x14ac:dyDescent="0.5">
      <c r="A83" s="6" t="s">
        <v>254</v>
      </c>
      <c r="B83" s="13">
        <f>'Comp YTD 2020-2019 '!B94</f>
        <v>2927.44</v>
      </c>
      <c r="C83" s="13">
        <f>0</f>
        <v>0</v>
      </c>
      <c r="D83" s="13">
        <f>DEP!N74</f>
        <v>2205.44</v>
      </c>
      <c r="E83" s="13">
        <v>0</v>
      </c>
      <c r="F83" s="13">
        <v>0</v>
      </c>
      <c r="G83" s="13">
        <v>0</v>
      </c>
      <c r="H83" s="13">
        <v>0</v>
      </c>
      <c r="I83" s="13">
        <f t="shared" si="9"/>
        <v>5132.88</v>
      </c>
      <c r="L83" s="24"/>
    </row>
    <row r="84" spans="1:12" s="22" customFormat="1" ht="42.75" customHeight="1" x14ac:dyDescent="0.5">
      <c r="A84" s="6" t="s">
        <v>291</v>
      </c>
      <c r="B84" s="13">
        <f>'Comp YTD 2020-2019 '!B95</f>
        <v>0</v>
      </c>
      <c r="C84" s="13">
        <f>0</f>
        <v>0</v>
      </c>
      <c r="D84" s="13">
        <f>DEP!N66</f>
        <v>300</v>
      </c>
      <c r="E84" s="13">
        <v>0</v>
      </c>
      <c r="F84" s="13">
        <f>'BSC (Dome)'!N64</f>
        <v>0</v>
      </c>
      <c r="G84" s="13">
        <v>0</v>
      </c>
      <c r="H84" s="13">
        <v>0</v>
      </c>
      <c r="I84" s="13">
        <f t="shared" si="9"/>
        <v>300</v>
      </c>
      <c r="L84" s="24"/>
    </row>
    <row r="85" spans="1:12" s="22" customFormat="1" ht="42.75" customHeight="1" x14ac:dyDescent="0.5">
      <c r="A85" s="6" t="s">
        <v>370</v>
      </c>
      <c r="B85" s="13">
        <f>'Comp YTD 2020-2019 '!B96</f>
        <v>2479.3199999999997</v>
      </c>
      <c r="C85" s="13">
        <f>BPM!N67</f>
        <v>28.69</v>
      </c>
      <c r="D85" s="13">
        <v>0</v>
      </c>
      <c r="E85" s="13">
        <v>0</v>
      </c>
      <c r="F85" s="13">
        <f>'BSC (Dome)'!N66</f>
        <v>8438.91</v>
      </c>
      <c r="G85" s="13">
        <v>0</v>
      </c>
      <c r="H85" s="13">
        <v>0</v>
      </c>
      <c r="I85" s="13">
        <f t="shared" si="9"/>
        <v>10946.92</v>
      </c>
      <c r="L85" s="24"/>
    </row>
    <row r="86" spans="1:12" s="22" customFormat="1" ht="42.75" customHeight="1" x14ac:dyDescent="0.5">
      <c r="A86" s="6" t="s">
        <v>255</v>
      </c>
      <c r="B86" s="13">
        <f>'Comp YTD 2020-2019 '!B97</f>
        <v>8986.0499999999993</v>
      </c>
      <c r="C86" s="13">
        <f>BPM!N79</f>
        <v>0</v>
      </c>
      <c r="D86" s="13">
        <f>DEP!N73</f>
        <v>0</v>
      </c>
      <c r="E86" s="13">
        <v>0</v>
      </c>
      <c r="F86" s="13">
        <v>0</v>
      </c>
      <c r="G86" s="13">
        <v>0</v>
      </c>
      <c r="H86" s="13">
        <v>0</v>
      </c>
      <c r="I86" s="13">
        <f t="shared" si="9"/>
        <v>8986.0499999999993</v>
      </c>
      <c r="L86" s="24"/>
    </row>
    <row r="87" spans="1:12" s="22" customFormat="1" ht="42.75" customHeight="1" x14ac:dyDescent="0.5">
      <c r="A87" s="6" t="s">
        <v>256</v>
      </c>
      <c r="B87" s="13">
        <f>'Comp YTD 2020-2019 '!B98</f>
        <v>8351</v>
      </c>
      <c r="C87" s="13">
        <v>0</v>
      </c>
      <c r="D87" s="13">
        <f>DEP!N53</f>
        <v>365.96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8716.9599999999991</v>
      </c>
      <c r="L87" s="24"/>
    </row>
    <row r="88" spans="1:12" s="22" customFormat="1" ht="42.75" customHeight="1" x14ac:dyDescent="0.5">
      <c r="A88" s="6" t="s">
        <v>623</v>
      </c>
      <c r="B88" s="13">
        <f>'Comp YTD 2020-2019 '!B99</f>
        <v>55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55</v>
      </c>
      <c r="L88" s="24"/>
    </row>
    <row r="89" spans="1:12" s="22" customFormat="1" ht="42.75" customHeight="1" x14ac:dyDescent="0.5">
      <c r="A89" s="6" t="s">
        <v>257</v>
      </c>
      <c r="B89" s="13">
        <f>'Comp YTD 2020-2019 '!B100</f>
        <v>1117.76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1117.76</v>
      </c>
      <c r="L89" s="24"/>
    </row>
    <row r="90" spans="1:12" s="22" customFormat="1" ht="42.75" customHeight="1" x14ac:dyDescent="0.5">
      <c r="A90" s="6" t="s">
        <v>258</v>
      </c>
      <c r="B90" s="13">
        <f>'Comp YTD 2020-2019 '!B101</f>
        <v>11015.49</v>
      </c>
      <c r="C90" s="13">
        <f>BPM!N78</f>
        <v>0</v>
      </c>
      <c r="D90" s="13">
        <f>'Comp YTD 2020-2019 '!D101</f>
        <v>746.21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11761.7</v>
      </c>
      <c r="L90" s="24"/>
    </row>
    <row r="91" spans="1:12" s="22" customFormat="1" ht="42.75" customHeight="1" x14ac:dyDescent="0.5">
      <c r="A91" s="12" t="s">
        <v>260</v>
      </c>
      <c r="B91" s="15">
        <f>SUM(B70:B90)</f>
        <v>227714.16</v>
      </c>
      <c r="C91" s="15">
        <f t="shared" ref="C91:H91" si="10">SUM(C70:C90)</f>
        <v>21904.35</v>
      </c>
      <c r="D91" s="15">
        <f t="shared" si="10"/>
        <v>34151.5</v>
      </c>
      <c r="E91" s="15">
        <f t="shared" si="10"/>
        <v>1007.89</v>
      </c>
      <c r="F91" s="15">
        <f t="shared" si="10"/>
        <v>21180.699999999997</v>
      </c>
      <c r="G91" s="15">
        <f t="shared" si="10"/>
        <v>4443.7199999999993</v>
      </c>
      <c r="H91" s="15">
        <f t="shared" si="10"/>
        <v>1333.32</v>
      </c>
      <c r="I91" s="15">
        <f>SUM(B91:H91)</f>
        <v>311735.64</v>
      </c>
      <c r="L91" s="24"/>
    </row>
    <row r="92" spans="1:12" s="22" customFormat="1" ht="42.75" customHeight="1" x14ac:dyDescent="0.5">
      <c r="A92" s="6"/>
      <c r="B92" s="13"/>
      <c r="C92" s="13"/>
      <c r="D92" s="13"/>
      <c r="E92" s="13"/>
      <c r="F92" s="13"/>
      <c r="G92" s="13"/>
      <c r="H92" s="13"/>
      <c r="I92" s="13">
        <f>SUM(B92:F92)</f>
        <v>0</v>
      </c>
      <c r="L92" s="24"/>
    </row>
    <row r="93" spans="1:12" s="22" customFormat="1" ht="42.75" customHeight="1" thickBot="1" x14ac:dyDescent="0.55000000000000004">
      <c r="A93" s="12" t="s">
        <v>261</v>
      </c>
      <c r="B93" s="18">
        <f t="shared" ref="B93:H93" si="11">B42+B67+B91</f>
        <v>5556342.4600000009</v>
      </c>
      <c r="C93" s="18">
        <f t="shared" si="11"/>
        <v>136124.30000000002</v>
      </c>
      <c r="D93" s="18">
        <f t="shared" si="11"/>
        <v>925938.99000000011</v>
      </c>
      <c r="E93" s="18">
        <f t="shared" si="11"/>
        <v>1117.8899999999999</v>
      </c>
      <c r="F93" s="18">
        <f t="shared" si="11"/>
        <v>268685.63</v>
      </c>
      <c r="G93" s="18">
        <f t="shared" si="11"/>
        <v>41612.44</v>
      </c>
      <c r="H93" s="18">
        <f t="shared" si="11"/>
        <v>59519</v>
      </c>
      <c r="I93" s="18">
        <f>SUM(B93:H93)</f>
        <v>6989340.7100000009</v>
      </c>
      <c r="L93" s="24"/>
    </row>
    <row r="94" spans="1:12" s="22" customFormat="1" ht="42.75" customHeight="1" x14ac:dyDescent="0.5">
      <c r="A94" s="6"/>
      <c r="B94" s="13"/>
      <c r="C94" s="13"/>
      <c r="D94" s="13"/>
      <c r="E94" s="13"/>
      <c r="F94" s="13"/>
      <c r="G94" s="13"/>
      <c r="H94" s="13"/>
      <c r="I94" s="13"/>
      <c r="L94" s="24"/>
    </row>
    <row r="95" spans="1:12" s="22" customFormat="1" ht="42.75" customHeight="1" x14ac:dyDescent="0.5">
      <c r="A95" s="12" t="s">
        <v>453</v>
      </c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6" t="s">
        <v>264</v>
      </c>
      <c r="B96" s="13">
        <f>'Comp YTD 2020-2019 '!B107</f>
        <v>50000</v>
      </c>
      <c r="C96" s="13">
        <v>0</v>
      </c>
      <c r="D96" s="13">
        <f>DEP!N83</f>
        <v>50000</v>
      </c>
      <c r="E96" s="13">
        <v>0</v>
      </c>
      <c r="F96" s="13">
        <f>'BSC (Dome)'!N77+'BSC (Dome)'!N78</f>
        <v>21000</v>
      </c>
      <c r="G96" s="13">
        <f>'Oliari Co.'!N24+'Oliari Co.'!N25+'Oliari Co.'!N26</f>
        <v>85800</v>
      </c>
      <c r="H96" s="13">
        <f>'722 Bedford St'!N22+'722 Bedford St'!N23</f>
        <v>130000</v>
      </c>
      <c r="I96" s="13">
        <f t="shared" ref="I96:I110" si="12">SUM(B96:H96)</f>
        <v>336800</v>
      </c>
      <c r="L96" s="24"/>
    </row>
    <row r="97" spans="1:12" s="22" customFormat="1" ht="42.75" customHeight="1" x14ac:dyDescent="0.5">
      <c r="A97" s="6" t="s">
        <v>265</v>
      </c>
      <c r="B97" s="13">
        <f>'Comp YTD 2020-2019 '!B108</f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f t="shared" si="12"/>
        <v>0</v>
      </c>
      <c r="L97" s="24"/>
    </row>
    <row r="98" spans="1:12" s="22" customFormat="1" ht="42.75" customHeight="1" x14ac:dyDescent="0.5">
      <c r="A98" s="6" t="s">
        <v>323</v>
      </c>
      <c r="B98" s="13">
        <f>'Comp YTD 2020-2019 '!B109</f>
        <v>0</v>
      </c>
      <c r="C98" s="13">
        <f>-BPM!N83</f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379</v>
      </c>
      <c r="B99" s="13">
        <f>'Comp YTD 2020-2019 '!B110</f>
        <v>1408.25</v>
      </c>
      <c r="C99" s="13">
        <f>BPM!N84</f>
        <v>-1408.25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266</v>
      </c>
      <c r="B100" s="13">
        <f>'Comp YTD 2020-2019 '!B111</f>
        <v>52599</v>
      </c>
      <c r="C100" s="13">
        <v>0</v>
      </c>
      <c r="D100" s="13">
        <f>'Comp YTD 2020-2019 '!D111</f>
        <v>6587.7199999999993</v>
      </c>
      <c r="E100" s="13">
        <v>0</v>
      </c>
      <c r="F100" s="13">
        <v>0</v>
      </c>
      <c r="G100" s="13">
        <v>0</v>
      </c>
      <c r="H100" s="13">
        <f>'Comp YTD 2020-2019 '!H111</f>
        <v>0</v>
      </c>
      <c r="I100" s="13">
        <f t="shared" si="12"/>
        <v>59186.720000000001</v>
      </c>
      <c r="L100" s="24"/>
    </row>
    <row r="101" spans="1:12" s="22" customFormat="1" ht="42.75" customHeight="1" x14ac:dyDescent="0.5">
      <c r="A101" s="6" t="s">
        <v>267</v>
      </c>
      <c r="B101" s="13">
        <f>'Comp YTD 2020-2019 '!B112</f>
        <v>87335.18</v>
      </c>
      <c r="C101" s="13">
        <f>BPM!N85</f>
        <v>1190</v>
      </c>
      <c r="D101" s="13">
        <f>DEP!N85</f>
        <v>57475</v>
      </c>
      <c r="E101" s="13">
        <f>Lending!N17</f>
        <v>22848.980000000003</v>
      </c>
      <c r="F101" s="13">
        <f>'Comp YTD 2020-2019 '!F112</f>
        <v>2520.83</v>
      </c>
      <c r="G101" s="13">
        <f>'Oliari Co.'!N29</f>
        <v>17940.059999999998</v>
      </c>
      <c r="H101" s="13">
        <f>'Comp YTD 2020-2019 '!H112</f>
        <v>7562.5</v>
      </c>
      <c r="I101" s="13">
        <f t="shared" si="12"/>
        <v>196872.55</v>
      </c>
      <c r="L101" s="24"/>
    </row>
    <row r="102" spans="1:12" s="22" customFormat="1" ht="42.75" customHeight="1" x14ac:dyDescent="0.5">
      <c r="A102" s="6" t="s">
        <v>268</v>
      </c>
      <c r="B102" s="13">
        <f>'Comp YTD 2020-2019 '!B113</f>
        <v>-119592.64000000001</v>
      </c>
      <c r="C102" s="13">
        <v>0</v>
      </c>
      <c r="D102" s="13">
        <v>0</v>
      </c>
      <c r="E102" s="13">
        <f>Lending!N18</f>
        <v>-5255.35</v>
      </c>
      <c r="F102" s="13">
        <f>'BSC (Dome)'!N81+'BSC (Dome)'!N82</f>
        <v>-37133.229999999996</v>
      </c>
      <c r="G102" s="13">
        <f>'Oliari Co.'!N30</f>
        <v>0</v>
      </c>
      <c r="H102" s="13">
        <f>'722 Bedford St'!N27</f>
        <v>0</v>
      </c>
      <c r="I102" s="13">
        <f t="shared" si="12"/>
        <v>-161981.22000000003</v>
      </c>
      <c r="L102" s="24"/>
    </row>
    <row r="103" spans="1:12" s="22" customFormat="1" ht="42.75" customHeight="1" x14ac:dyDescent="0.5">
      <c r="A103" s="6" t="s">
        <v>595</v>
      </c>
      <c r="B103" s="13">
        <f>'Comp YTD 2020-2019 '!B114</f>
        <v>-363.79</v>
      </c>
      <c r="C103" s="13">
        <f>'Comp YTD 2020-2019 '!C114</f>
        <v>0</v>
      </c>
      <c r="D103" s="13">
        <f>'Comp YTD 2020-2019 '!D114</f>
        <v>0</v>
      </c>
      <c r="E103" s="13">
        <f>'Comp YTD 2020-2019 '!E114</f>
        <v>0</v>
      </c>
      <c r="F103" s="13">
        <f>'Comp YTD 2020-2019 '!F114</f>
        <v>0</v>
      </c>
      <c r="G103" s="13">
        <f>'Comp YTD 2020-2019 '!G114</f>
        <v>0</v>
      </c>
      <c r="H103" s="13">
        <f>'Comp YTD 2020-2019 '!H114</f>
        <v>0</v>
      </c>
      <c r="I103" s="13">
        <f t="shared" si="12"/>
        <v>-363.79</v>
      </c>
      <c r="L103" s="24"/>
    </row>
    <row r="104" spans="1:12" s="22" customFormat="1" ht="42.75" customHeight="1" x14ac:dyDescent="0.5">
      <c r="A104" s="6" t="s">
        <v>269</v>
      </c>
      <c r="B104" s="13">
        <f>'Comp YTD 2020-2019 '!B115</f>
        <v>0</v>
      </c>
      <c r="C104" s="13">
        <v>0</v>
      </c>
      <c r="D104" s="13">
        <v>0</v>
      </c>
      <c r="E104" s="13"/>
      <c r="F104" s="13">
        <f>'BSC (Dome)'!N80</f>
        <v>0</v>
      </c>
      <c r="G104" s="13">
        <f>'Oliari Co.'!N28</f>
        <v>0</v>
      </c>
      <c r="H104" s="13">
        <f>'Comp YTD 2020-2019 '!H115</f>
        <v>0</v>
      </c>
      <c r="I104" s="13">
        <f t="shared" si="12"/>
        <v>0</v>
      </c>
      <c r="L104" s="24"/>
    </row>
    <row r="105" spans="1:12" s="22" customFormat="1" ht="42.75" customHeight="1" x14ac:dyDescent="0.5">
      <c r="A105" s="6" t="s">
        <v>581</v>
      </c>
      <c r="B105" s="13">
        <v>0</v>
      </c>
      <c r="C105" s="13">
        <v>0</v>
      </c>
      <c r="D105" s="13">
        <v>0</v>
      </c>
      <c r="E105" s="13">
        <f>'Comp YTD 2020-2019 '!E116</f>
        <v>0</v>
      </c>
      <c r="F105" s="13">
        <v>0</v>
      </c>
      <c r="G105" s="13">
        <v>0</v>
      </c>
      <c r="H105" s="13">
        <v>0</v>
      </c>
      <c r="I105" s="13">
        <f t="shared" si="12"/>
        <v>0</v>
      </c>
      <c r="L105" s="24"/>
    </row>
    <row r="106" spans="1:12" s="22" customFormat="1" ht="42.75" customHeight="1" x14ac:dyDescent="0.5">
      <c r="A106" s="6" t="s">
        <v>394</v>
      </c>
      <c r="B106" s="13">
        <f>'Comp YTD 2020-2019 '!B117</f>
        <v>76388.679999999993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f t="shared" si="12"/>
        <v>76388.679999999993</v>
      </c>
      <c r="L106" s="24"/>
    </row>
    <row r="107" spans="1:12" s="22" customFormat="1" ht="42.75" customHeight="1" x14ac:dyDescent="0.5">
      <c r="A107" s="6" t="s">
        <v>429</v>
      </c>
      <c r="B107" s="13">
        <f>'Comp YTD 2020-2019 '!B118</f>
        <v>2783.0600000000004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2783.0600000000004</v>
      </c>
      <c r="L107" s="24"/>
    </row>
    <row r="108" spans="1:12" s="22" customFormat="1" ht="42.75" customHeight="1" x14ac:dyDescent="0.5">
      <c r="A108" s="6" t="s">
        <v>430</v>
      </c>
      <c r="B108" s="13">
        <f>'Comp YTD 2020-2019 '!B119</f>
        <v>1564.3600000000001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1564.3600000000001</v>
      </c>
      <c r="L108" s="24"/>
    </row>
    <row r="109" spans="1:12" s="22" customFormat="1" ht="42.75" customHeight="1" x14ac:dyDescent="0.5">
      <c r="A109" s="6" t="s">
        <v>395</v>
      </c>
      <c r="B109" s="13">
        <f>'Comp YTD 2020-2019 '!B120</f>
        <v>80465.759999999995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80465.759999999995</v>
      </c>
      <c r="L109" s="24"/>
    </row>
    <row r="110" spans="1:12" s="22" customFormat="1" ht="42.75" customHeight="1" x14ac:dyDescent="0.5">
      <c r="A110" s="6" t="s">
        <v>440</v>
      </c>
      <c r="B110" s="13">
        <f>'Comp YTD 2020-2019 '!B122</f>
        <v>805.72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805.72</v>
      </c>
      <c r="L110" s="24"/>
    </row>
    <row r="111" spans="1:12" s="22" customFormat="1" ht="42.75" customHeight="1" x14ac:dyDescent="0.5">
      <c r="A111" s="12" t="s">
        <v>454</v>
      </c>
      <c r="B111" s="15">
        <f t="shared" ref="B111:I111" si="13">SUM(B96:B110)</f>
        <v>233393.58</v>
      </c>
      <c r="C111" s="15">
        <f t="shared" si="13"/>
        <v>-218.25</v>
      </c>
      <c r="D111" s="15">
        <f t="shared" si="13"/>
        <v>114062.72</v>
      </c>
      <c r="E111" s="15">
        <f t="shared" si="13"/>
        <v>17593.630000000005</v>
      </c>
      <c r="F111" s="15">
        <f t="shared" si="13"/>
        <v>-13612.399999999994</v>
      </c>
      <c r="G111" s="15">
        <f t="shared" si="13"/>
        <v>103740.06</v>
      </c>
      <c r="H111" s="15">
        <f t="shared" si="13"/>
        <v>137562.5</v>
      </c>
      <c r="I111" s="15">
        <f t="shared" si="13"/>
        <v>592521.84</v>
      </c>
      <c r="L111" s="24"/>
    </row>
    <row r="112" spans="1:12" s="22" customFormat="1" ht="42.75" customHeight="1" x14ac:dyDescent="0.5">
      <c r="A112" s="12"/>
      <c r="B112" s="13"/>
      <c r="C112" s="13"/>
      <c r="D112" s="13"/>
      <c r="E112" s="13"/>
      <c r="F112" s="13"/>
      <c r="G112" s="13"/>
      <c r="H112" s="13"/>
      <c r="I112" s="13">
        <f>SUM(B112:F112)</f>
        <v>0</v>
      </c>
      <c r="L112" s="24"/>
    </row>
    <row r="113" spans="1:12" s="22" customFormat="1" ht="42.75" customHeight="1" thickBot="1" x14ac:dyDescent="0.55000000000000004">
      <c r="A113" s="12" t="s">
        <v>263</v>
      </c>
      <c r="B113" s="21">
        <f t="shared" ref="B113:H113" si="14">B27-B93+B111</f>
        <v>17076332.529998414</v>
      </c>
      <c r="C113" s="21">
        <f t="shared" si="14"/>
        <v>9330.5899999987159</v>
      </c>
      <c r="D113" s="21">
        <f t="shared" si="14"/>
        <v>1209123.51</v>
      </c>
      <c r="E113" s="21">
        <f t="shared" si="14"/>
        <v>16475.740000000005</v>
      </c>
      <c r="F113" s="21">
        <f t="shared" si="14"/>
        <v>653.60000000000582</v>
      </c>
      <c r="G113" s="21">
        <f t="shared" si="14"/>
        <v>62127.619999999995</v>
      </c>
      <c r="H113" s="21">
        <f t="shared" si="14"/>
        <v>78043.5</v>
      </c>
      <c r="I113" s="21">
        <f>SUM(B113:H113)</f>
        <v>18452087.089998417</v>
      </c>
      <c r="L113" s="24"/>
    </row>
    <row r="114" spans="1:12" ht="15.75" thickTop="1" x14ac:dyDescent="0.25">
      <c r="B114" s="4"/>
      <c r="C114" s="4"/>
      <c r="D114" s="4"/>
      <c r="E114" s="4"/>
      <c r="F114" s="4"/>
      <c r="G114" s="4"/>
      <c r="H114" s="4"/>
      <c r="I114" s="4"/>
    </row>
    <row r="116" spans="1:12" ht="31.5" x14ac:dyDescent="0.5">
      <c r="A116" t="s">
        <v>326</v>
      </c>
      <c r="B116" s="13">
        <f>CNT!N303</f>
        <v>17076332.530001219</v>
      </c>
      <c r="C116" s="13">
        <f>BPM!N90</f>
        <v>9330.5899999986868</v>
      </c>
      <c r="D116" s="13">
        <f>DEP!N88</f>
        <v>1209123.51</v>
      </c>
      <c r="E116" s="13">
        <f>Lending!N22</f>
        <v>16475.740000000005</v>
      </c>
      <c r="F116" s="13">
        <f>'BSC (Dome)'!N85</f>
        <v>653.60000000000218</v>
      </c>
      <c r="G116" s="13">
        <f>'Oliari Co.'!N33</f>
        <v>62127.619999999995</v>
      </c>
      <c r="H116" s="13">
        <f>'722 Bedford St'!N30</f>
        <v>78043.5</v>
      </c>
      <c r="I116" s="1">
        <f>SUM(B116:H116)</f>
        <v>18452087.090001222</v>
      </c>
    </row>
    <row r="117" spans="1:12" x14ac:dyDescent="0.25">
      <c r="B117" s="1">
        <f t="shared" ref="B117:H117" si="15">B113-B116</f>
        <v>-2.8051435947418213E-6</v>
      </c>
      <c r="C117" s="1">
        <f t="shared" si="15"/>
        <v>2.9103830456733704E-11</v>
      </c>
      <c r="D117" s="1">
        <f t="shared" si="15"/>
        <v>0</v>
      </c>
      <c r="E117" s="1">
        <f t="shared" si="15"/>
        <v>0</v>
      </c>
      <c r="F117" s="1">
        <f t="shared" si="15"/>
        <v>3.637978807091713E-12</v>
      </c>
      <c r="G117" s="1">
        <f t="shared" si="15"/>
        <v>0</v>
      </c>
      <c r="H117" s="1">
        <f t="shared" si="15"/>
        <v>0</v>
      </c>
      <c r="I117" s="1">
        <f>I113-I116</f>
        <v>-2.8051435947418213E-6</v>
      </c>
    </row>
    <row r="118" spans="1:12" x14ac:dyDescent="0.25">
      <c r="B118" s="1"/>
      <c r="C118" s="1"/>
      <c r="D118" s="1"/>
      <c r="E118" s="1"/>
      <c r="I118" s="4"/>
    </row>
    <row r="119" spans="1:12" x14ac:dyDescent="0.25">
      <c r="B119" s="1"/>
      <c r="C119" s="1"/>
      <c r="D119" s="1"/>
      <c r="E119" s="1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31" activePane="bottomLeft" state="frozen"/>
      <selection activeCell="A297" sqref="A297"/>
      <selection pane="bottomLeft" activeCell="K13" sqref="K13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221" t="s">
        <v>403</v>
      </c>
      <c r="B1" s="221"/>
      <c r="C1" s="221"/>
      <c r="D1" s="221"/>
      <c r="E1" s="221"/>
      <c r="F1" s="221"/>
      <c r="G1" s="221"/>
      <c r="H1" s="221"/>
      <c r="I1" s="221"/>
    </row>
    <row r="2" spans="1:31" ht="24.95" customHeight="1" x14ac:dyDescent="0.25">
      <c r="A2" s="221"/>
      <c r="B2" s="221"/>
      <c r="C2" s="221"/>
      <c r="D2" s="221"/>
      <c r="E2" s="221"/>
      <c r="F2" s="221"/>
      <c r="G2" s="221"/>
      <c r="H2" s="221"/>
      <c r="I2" s="221"/>
    </row>
    <row r="3" spans="1:31" ht="24.95" customHeight="1" x14ac:dyDescent="0.25">
      <c r="A3" s="221"/>
      <c r="B3" s="221"/>
      <c r="C3" s="221"/>
      <c r="D3" s="221"/>
      <c r="E3" s="221"/>
      <c r="F3" s="221"/>
      <c r="G3" s="221"/>
      <c r="H3" s="221"/>
      <c r="I3" s="221"/>
    </row>
    <row r="4" spans="1:31" ht="24.95" customHeight="1" x14ac:dyDescent="0.25">
      <c r="A4" s="221"/>
      <c r="B4" s="221"/>
      <c r="C4" s="221"/>
      <c r="D4" s="221"/>
      <c r="E4" s="221"/>
      <c r="F4" s="221"/>
      <c r="G4" s="221"/>
      <c r="H4" s="221"/>
      <c r="I4" s="221"/>
    </row>
    <row r="5" spans="1:31" x14ac:dyDescent="0.25">
      <c r="A5" s="221"/>
      <c r="B5" s="221"/>
      <c r="C5" s="221"/>
      <c r="D5" s="221"/>
      <c r="E5" s="221"/>
      <c r="F5" s="221"/>
      <c r="G5" s="221"/>
      <c r="H5" s="221"/>
      <c r="I5" s="221"/>
    </row>
    <row r="6" spans="1:31" ht="40.5" customHeight="1" x14ac:dyDescent="0.7">
      <c r="A6" s="222" t="s">
        <v>340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</row>
    <row r="7" spans="1:31" ht="40.5" customHeight="1" x14ac:dyDescent="0.7">
      <c r="A7" s="222" t="s">
        <v>597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</row>
    <row r="8" spans="1:31" ht="14.25" customHeight="1" thickBot="1" x14ac:dyDescent="0.3"/>
    <row r="9" spans="1:31" s="3" customFormat="1" ht="55.5" customHeight="1" x14ac:dyDescent="0.7">
      <c r="A9" s="223">
        <v>2020</v>
      </c>
      <c r="B9" s="224"/>
      <c r="C9" s="224"/>
      <c r="D9" s="224"/>
      <c r="E9" s="224"/>
      <c r="F9" s="224"/>
      <c r="G9" s="224"/>
      <c r="H9" s="224"/>
      <c r="I9" s="225"/>
      <c r="K9" s="223">
        <v>2019</v>
      </c>
      <c r="L9" s="224"/>
      <c r="M9" s="224"/>
      <c r="N9" s="224"/>
      <c r="O9" s="224"/>
      <c r="P9" s="224"/>
      <c r="Q9" s="224"/>
      <c r="R9" s="224"/>
      <c r="S9" s="225"/>
      <c r="T9" s="59"/>
      <c r="U9" s="226" t="s">
        <v>610</v>
      </c>
      <c r="V9" s="227"/>
      <c r="W9" s="227"/>
      <c r="X9" s="227"/>
      <c r="Y9" s="227"/>
      <c r="Z9" s="227"/>
      <c r="AA9" s="227"/>
      <c r="AB9" s="227"/>
      <c r="AC9" s="227"/>
      <c r="AD9" s="227"/>
      <c r="AE9" s="228"/>
    </row>
    <row r="10" spans="1:31" s="3" customFormat="1" ht="30" customHeight="1" x14ac:dyDescent="0.5">
      <c r="A10" s="215" t="s">
        <v>397</v>
      </c>
      <c r="B10" s="216"/>
      <c r="C10" s="216"/>
      <c r="D10" s="216"/>
      <c r="E10" s="216"/>
      <c r="F10" s="216"/>
      <c r="G10" s="216"/>
      <c r="H10" s="216"/>
      <c r="I10" s="217"/>
      <c r="K10" s="215" t="s">
        <v>397</v>
      </c>
      <c r="L10" s="216"/>
      <c r="M10" s="216"/>
      <c r="N10" s="216"/>
      <c r="O10" s="216"/>
      <c r="P10" s="216"/>
      <c r="Q10" s="216"/>
      <c r="R10" s="216"/>
      <c r="S10" s="217"/>
      <c r="T10" s="5"/>
      <c r="U10" s="229"/>
      <c r="V10" s="230"/>
      <c r="W10" s="230"/>
      <c r="X10" s="230"/>
      <c r="Y10" s="230"/>
      <c r="Z10" s="230"/>
      <c r="AA10" s="230"/>
      <c r="AB10" s="230"/>
      <c r="AC10" s="230"/>
      <c r="AD10" s="230"/>
      <c r="AE10" s="231"/>
    </row>
    <row r="11" spans="1:31" s="3" customFormat="1" ht="30" customHeight="1" x14ac:dyDescent="0.5">
      <c r="A11" s="215" t="s">
        <v>339</v>
      </c>
      <c r="B11" s="216"/>
      <c r="C11" s="216"/>
      <c r="D11" s="216"/>
      <c r="E11" s="216"/>
      <c r="F11" s="216"/>
      <c r="G11" s="216"/>
      <c r="H11" s="216"/>
      <c r="I11" s="217"/>
      <c r="K11" s="215" t="s">
        <v>339</v>
      </c>
      <c r="L11" s="216"/>
      <c r="M11" s="216"/>
      <c r="N11" s="216"/>
      <c r="O11" s="216"/>
      <c r="P11" s="216"/>
      <c r="Q11" s="216"/>
      <c r="R11" s="216"/>
      <c r="S11" s="217"/>
      <c r="T11" s="5"/>
      <c r="U11" s="229"/>
      <c r="V11" s="230"/>
      <c r="W11" s="230"/>
      <c r="X11" s="230"/>
      <c r="Y11" s="230"/>
      <c r="Z11" s="230"/>
      <c r="AA11" s="230"/>
      <c r="AB11" s="230"/>
      <c r="AC11" s="230"/>
      <c r="AD11" s="230"/>
      <c r="AE11" s="231"/>
    </row>
    <row r="12" spans="1:31" s="3" customFormat="1" ht="30" customHeight="1" thickBot="1" x14ac:dyDescent="0.55000000000000004">
      <c r="A12" s="218">
        <f>'Comp YTD 2020-2019 '!A4:J4</f>
        <v>43951</v>
      </c>
      <c r="B12" s="219"/>
      <c r="C12" s="219"/>
      <c r="D12" s="219"/>
      <c r="E12" s="219"/>
      <c r="F12" s="219"/>
      <c r="G12" s="219"/>
      <c r="H12" s="219"/>
      <c r="I12" s="220"/>
      <c r="K12" s="218">
        <f>A12-366</f>
        <v>43585</v>
      </c>
      <c r="L12" s="219"/>
      <c r="M12" s="219"/>
      <c r="N12" s="219"/>
      <c r="O12" s="219"/>
      <c r="P12" s="219"/>
      <c r="Q12" s="219"/>
      <c r="R12" s="219"/>
      <c r="S12" s="220"/>
      <c r="T12" s="5"/>
      <c r="U12" s="232"/>
      <c r="V12" s="233"/>
      <c r="W12" s="233"/>
      <c r="X12" s="233"/>
      <c r="Y12" s="233"/>
      <c r="Z12" s="233"/>
      <c r="AA12" s="233"/>
      <c r="AB12" s="233"/>
      <c r="AC12" s="233"/>
      <c r="AD12" s="233"/>
      <c r="AE12" s="234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535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609</v>
      </c>
      <c r="AB17" s="5"/>
      <c r="AC17" s="5" t="s">
        <v>609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2451188768.6799998</v>
      </c>
      <c r="C20" s="13">
        <f>'Comp YTD 2020-2019 '!C19</f>
        <v>7832892.9499999993</v>
      </c>
      <c r="D20" s="13">
        <f>'Comp YTD 2020-2019 '!D19</f>
        <v>2070342.7200000002</v>
      </c>
      <c r="E20" s="13">
        <f>'Comp YTD 2020-2019 '!E19</f>
        <v>0</v>
      </c>
      <c r="F20" s="13">
        <f>'Comp YTD 2020-2019 '!F19</f>
        <v>283910.69</v>
      </c>
      <c r="G20" s="13">
        <f>'Comp YTD 2020-2019 '!G19</f>
        <v>0</v>
      </c>
      <c r="H20" s="13">
        <f>'Comp YTD 2020-2019 '!H19</f>
        <v>0</v>
      </c>
      <c r="I20" s="13">
        <f>SUM(B20:H20)</f>
        <v>2461375915.0399995</v>
      </c>
      <c r="J20" s="14"/>
      <c r="K20" s="6" t="s">
        <v>401</v>
      </c>
      <c r="L20" s="13">
        <f>'Comp YTD 2020-2019 '!B202</f>
        <v>1998785928.9399998</v>
      </c>
      <c r="M20" s="13">
        <f>'Comp YTD 2020-2019 '!C202</f>
        <v>13031183.139999999</v>
      </c>
      <c r="N20" s="13">
        <f>'Comp YTD 2020-2019 '!D202</f>
        <v>947257.8600000001</v>
      </c>
      <c r="O20" s="13">
        <f>'Comp YTD 2020-2019 '!E202</f>
        <v>0</v>
      </c>
      <c r="P20" s="13">
        <f>'Comp YTD 2020-2019 '!F202</f>
        <v>347450.97000000003</v>
      </c>
      <c r="Q20" s="13">
        <f>'Comp YTD 2020-2019 '!G202</f>
        <v>0</v>
      </c>
      <c r="R20" s="13">
        <f>'Comp YTD 2020-2019 '!H202</f>
        <v>0</v>
      </c>
      <c r="S20" s="13">
        <f t="shared" ref="S20:S27" si="0">SUM(L20:R20)</f>
        <v>2013111820.9099998</v>
      </c>
      <c r="T20" s="13"/>
      <c r="U20" s="6" t="s">
        <v>401</v>
      </c>
      <c r="V20" s="14"/>
      <c r="W20" s="13">
        <f>I20</f>
        <v>2461375915.0399995</v>
      </c>
      <c r="X20" s="14"/>
      <c r="Y20" s="13">
        <f t="shared" ref="Y20:Y27" si="1">S20</f>
        <v>2013111820.9099998</v>
      </c>
      <c r="Z20" s="14"/>
      <c r="AA20" s="13">
        <f>I20-S20</f>
        <v>448264094.12999964</v>
      </c>
      <c r="AB20" s="13"/>
      <c r="AC20" s="14">
        <f>I20/S20</f>
        <v>1.2226722278782149</v>
      </c>
      <c r="AD20" s="13"/>
      <c r="AE20" s="14">
        <f>AC20-1</f>
        <v>0.22267222787821495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2451188768.6799998</v>
      </c>
      <c r="C21" s="15">
        <f t="shared" si="2"/>
        <v>7832892.9499999993</v>
      </c>
      <c r="D21" s="15">
        <f t="shared" si="2"/>
        <v>2070342.7200000002</v>
      </c>
      <c r="E21" s="15">
        <f t="shared" si="2"/>
        <v>0</v>
      </c>
      <c r="F21" s="15">
        <f t="shared" si="2"/>
        <v>283910.69</v>
      </c>
      <c r="G21" s="15">
        <f t="shared" si="2"/>
        <v>0</v>
      </c>
      <c r="H21" s="15">
        <f t="shared" si="2"/>
        <v>0</v>
      </c>
      <c r="I21" s="15">
        <f>SUM(B21:H21)</f>
        <v>2461375915.0399995</v>
      </c>
      <c r="J21" s="14"/>
      <c r="K21" s="12" t="s">
        <v>220</v>
      </c>
      <c r="L21" s="15">
        <f>SUM(L20:L20)</f>
        <v>1998785928.9399998</v>
      </c>
      <c r="M21" s="15">
        <f t="shared" ref="M21:R21" si="3">SUM(M20:M20)</f>
        <v>13031183.139999999</v>
      </c>
      <c r="N21" s="15">
        <f t="shared" si="3"/>
        <v>947257.8600000001</v>
      </c>
      <c r="O21" s="15">
        <f t="shared" si="3"/>
        <v>0</v>
      </c>
      <c r="P21" s="15">
        <f t="shared" si="3"/>
        <v>347450.97000000003</v>
      </c>
      <c r="Q21" s="15">
        <f>SUM(Q20:Q20)</f>
        <v>0</v>
      </c>
      <c r="R21" s="15">
        <f t="shared" si="3"/>
        <v>0</v>
      </c>
      <c r="S21" s="15">
        <f t="shared" si="0"/>
        <v>2013111820.9099998</v>
      </c>
      <c r="T21" s="13"/>
      <c r="U21" s="12" t="s">
        <v>220</v>
      </c>
      <c r="V21" s="14"/>
      <c r="W21" s="15">
        <f>I21</f>
        <v>2461375915.0399995</v>
      </c>
      <c r="X21" s="14"/>
      <c r="Y21" s="15">
        <f t="shared" si="1"/>
        <v>2013111820.9099998</v>
      </c>
      <c r="Z21" s="14"/>
      <c r="AA21" s="15">
        <f>I21-S21</f>
        <v>448264094.12999964</v>
      </c>
      <c r="AB21" s="13"/>
      <c r="AC21" s="16">
        <f>I21/S21</f>
        <v>1.2226722278782149</v>
      </c>
      <c r="AD21" s="15"/>
      <c r="AE21" s="16">
        <f t="shared" ref="AE21:AE27" si="4">AC21-1</f>
        <v>0.22267222787821495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2428789487.2700014</v>
      </c>
      <c r="C24" s="13">
        <f>'Comp YTD 2020-2019 '!C30</f>
        <v>7687219.8100000005</v>
      </c>
      <c r="D24" s="13">
        <f>'Comp YTD 2020-2019 '!D30</f>
        <v>49342.94</v>
      </c>
      <c r="E24" s="13">
        <f>'Comp YTD 2020-2019 '!E30</f>
        <v>0</v>
      </c>
      <c r="F24" s="13">
        <f>'Comp YTD 2020-2019 '!F30</f>
        <v>959.06000000000006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2436527009.0800014</v>
      </c>
      <c r="J24" s="14"/>
      <c r="K24" s="6" t="s">
        <v>402</v>
      </c>
      <c r="L24" s="13">
        <f>'Comp YTD 2020-2019 '!B213</f>
        <v>1997191726.1199996</v>
      </c>
      <c r="M24" s="13">
        <f>'Comp YTD 2020-2019 '!C213</f>
        <v>12845946.530000001</v>
      </c>
      <c r="N24" s="13">
        <f>'Comp YTD 2020-2019 '!D213</f>
        <v>48978</v>
      </c>
      <c r="O24" s="13">
        <f>'Comp YTD 2020-2019 '!E213</f>
        <v>0</v>
      </c>
      <c r="P24" s="13">
        <f>'Comp YTD 2020-2019 '!F213</f>
        <v>902.79</v>
      </c>
      <c r="Q24" s="13">
        <f>'Comp YTD 2020-2019 '!G213</f>
        <v>0</v>
      </c>
      <c r="R24" s="13">
        <f>'Comp YTD 2020-2019 '!H213</f>
        <v>0</v>
      </c>
      <c r="S24" s="13">
        <f t="shared" si="0"/>
        <v>2010087553.4399996</v>
      </c>
      <c r="T24" s="13"/>
      <c r="U24" s="6" t="s">
        <v>402</v>
      </c>
      <c r="V24" s="14"/>
      <c r="W24" s="13">
        <f>I24</f>
        <v>2436527009.0800014</v>
      </c>
      <c r="X24" s="14"/>
      <c r="Y24" s="13">
        <f t="shared" si="1"/>
        <v>2010087553.4399996</v>
      </c>
      <c r="Z24" s="14"/>
      <c r="AA24" s="13">
        <f>I24-S24</f>
        <v>426439455.64000177</v>
      </c>
      <c r="AB24" s="13"/>
      <c r="AC24" s="14">
        <f>I24/S24</f>
        <v>1.2121496921416219</v>
      </c>
      <c r="AD24" s="13"/>
      <c r="AE24" s="14">
        <f t="shared" si="4"/>
        <v>0.21214969214162194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2428789487.2700014</v>
      </c>
      <c r="C25" s="15">
        <f>SUM(C24:C24)</f>
        <v>7687219.8100000005</v>
      </c>
      <c r="D25" s="15">
        <f t="shared" si="5"/>
        <v>49342.94</v>
      </c>
      <c r="E25" s="15">
        <f t="shared" si="5"/>
        <v>0</v>
      </c>
      <c r="F25" s="15">
        <f t="shared" si="5"/>
        <v>959.06000000000006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2436527009.0800014</v>
      </c>
      <c r="J25" s="14"/>
      <c r="K25" s="12" t="s">
        <v>221</v>
      </c>
      <c r="L25" s="15">
        <f t="shared" ref="L25:R25" si="7">SUM(L24:L24)</f>
        <v>1997191726.1199996</v>
      </c>
      <c r="M25" s="15">
        <f t="shared" si="7"/>
        <v>12845946.530000001</v>
      </c>
      <c r="N25" s="15">
        <f t="shared" si="7"/>
        <v>48978</v>
      </c>
      <c r="O25" s="15">
        <f t="shared" si="7"/>
        <v>0</v>
      </c>
      <c r="P25" s="15">
        <f t="shared" si="7"/>
        <v>902.79</v>
      </c>
      <c r="Q25" s="15">
        <f t="shared" si="7"/>
        <v>0</v>
      </c>
      <c r="R25" s="15">
        <f t="shared" si="7"/>
        <v>0</v>
      </c>
      <c r="S25" s="15">
        <f t="shared" si="0"/>
        <v>2010087553.4399996</v>
      </c>
      <c r="T25" s="13"/>
      <c r="U25" s="12" t="s">
        <v>221</v>
      </c>
      <c r="V25" s="14"/>
      <c r="W25" s="15">
        <f>I25</f>
        <v>2436527009.0800014</v>
      </c>
      <c r="X25" s="14"/>
      <c r="Y25" s="15">
        <f t="shared" si="1"/>
        <v>2010087553.4399996</v>
      </c>
      <c r="Z25" s="14"/>
      <c r="AA25" s="15">
        <f>SUM(AA24:AA24)</f>
        <v>426439455.64000177</v>
      </c>
      <c r="AB25" s="13"/>
      <c r="AC25" s="16">
        <f>I25/S25</f>
        <v>1.2121496921416219</v>
      </c>
      <c r="AD25" s="15"/>
      <c r="AE25" s="16">
        <f t="shared" si="4"/>
        <v>0.21214969214162194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22399281.409998417</v>
      </c>
      <c r="C27" s="18">
        <f t="shared" si="8"/>
        <v>145673.13999999873</v>
      </c>
      <c r="D27" s="18">
        <f t="shared" si="8"/>
        <v>2020999.7800000003</v>
      </c>
      <c r="E27" s="18">
        <f t="shared" si="8"/>
        <v>0</v>
      </c>
      <c r="F27" s="18">
        <f t="shared" si="8"/>
        <v>282951.63</v>
      </c>
      <c r="G27" s="18">
        <f>G21-G25</f>
        <v>0</v>
      </c>
      <c r="H27" s="18">
        <f t="shared" si="8"/>
        <v>0</v>
      </c>
      <c r="I27" s="18">
        <f t="shared" si="6"/>
        <v>24848905.959998418</v>
      </c>
      <c r="K27" s="12" t="s">
        <v>208</v>
      </c>
      <c r="L27" s="18">
        <f t="shared" ref="L27:R27" si="9">L21-L25</f>
        <v>1594202.8200001717</v>
      </c>
      <c r="M27" s="18">
        <f t="shared" si="9"/>
        <v>185236.60999999754</v>
      </c>
      <c r="N27" s="18">
        <f t="shared" si="9"/>
        <v>898279.8600000001</v>
      </c>
      <c r="O27" s="18">
        <f t="shared" si="9"/>
        <v>0</v>
      </c>
      <c r="P27" s="18">
        <f t="shared" si="9"/>
        <v>346548.18000000005</v>
      </c>
      <c r="Q27" s="18">
        <f>Q21-Q25</f>
        <v>0</v>
      </c>
      <c r="R27" s="18">
        <f t="shared" si="9"/>
        <v>0</v>
      </c>
      <c r="S27" s="18">
        <f t="shared" si="0"/>
        <v>3024267.4700001697</v>
      </c>
      <c r="T27" s="13"/>
      <c r="U27" s="12" t="s">
        <v>208</v>
      </c>
      <c r="W27" s="18">
        <f>I27</f>
        <v>24848905.959998418</v>
      </c>
      <c r="Y27" s="18">
        <f t="shared" si="1"/>
        <v>3024267.4700001697</v>
      </c>
      <c r="AA27" s="18">
        <f>I27-S27</f>
        <v>21824638.489998247</v>
      </c>
      <c r="AB27" s="13"/>
      <c r="AC27" s="19">
        <f>I27/S27</f>
        <v>8.2165040647006737</v>
      </c>
      <c r="AD27" s="18"/>
      <c r="AE27" s="19">
        <f t="shared" si="4"/>
        <v>7.2165040647006737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4475169.5200000005</v>
      </c>
      <c r="C30" s="13">
        <f>'Comp YTD 2020-2019 '!C47</f>
        <v>90669.190000000031</v>
      </c>
      <c r="D30" s="13">
        <f>'Comp YTD 2020-2019 '!D47</f>
        <v>510106.34000000008</v>
      </c>
      <c r="E30" s="13">
        <f>'Comp YTD 2020-2019 '!E47</f>
        <v>0</v>
      </c>
      <c r="F30" s="13">
        <f>'Comp YTD 2020-2019 '!F47</f>
        <v>138745.62</v>
      </c>
      <c r="G30" s="13">
        <f>'Comp YTD 2020-2019 '!G47</f>
        <v>0</v>
      </c>
      <c r="H30" s="13">
        <f>'Comp YTD 2020-2019 '!H47</f>
        <v>0</v>
      </c>
      <c r="I30" s="13">
        <f t="shared" si="6"/>
        <v>5214690.6700000009</v>
      </c>
      <c r="K30" s="12" t="s">
        <v>222</v>
      </c>
      <c r="L30" s="13">
        <f>'Comp YTD 2020-2019 '!B230</f>
        <v>811786.5</v>
      </c>
      <c r="M30" s="13">
        <f>'Comp YTD 2020-2019 '!C230</f>
        <v>196234.10000000003</v>
      </c>
      <c r="N30" s="13">
        <f>'Comp YTD 2020-2019 '!D230</f>
        <v>277621.65000000002</v>
      </c>
      <c r="O30" s="13">
        <f>'Comp YTD 2020-2019 '!E230</f>
        <v>0</v>
      </c>
      <c r="P30" s="13">
        <f>'Comp YTD 2020-2019 '!F230</f>
        <v>133501.6</v>
      </c>
      <c r="Q30" s="13">
        <f>'Comp YTD 2020-2019 '!G230</f>
        <v>0</v>
      </c>
      <c r="R30" s="13">
        <f>'Comp YTD 2020-2019 '!H230</f>
        <v>0</v>
      </c>
      <c r="S30" s="13">
        <f>SUM(L30:R30)</f>
        <v>1419143.85</v>
      </c>
      <c r="T30" s="13"/>
      <c r="U30" s="12" t="s">
        <v>222</v>
      </c>
      <c r="W30" s="13">
        <f>I30</f>
        <v>5214690.6700000009</v>
      </c>
      <c r="Y30" s="13">
        <f t="shared" ref="Y30:Y37" si="10">S30</f>
        <v>1419143.85</v>
      </c>
      <c r="AA30" s="13">
        <f>I30-S30</f>
        <v>3795546.8200000008</v>
      </c>
      <c r="AB30" s="13"/>
      <c r="AC30" s="17">
        <f>I30/S30</f>
        <v>3.6745328318901573</v>
      </c>
      <c r="AD30" s="13"/>
      <c r="AE30" s="17">
        <f>AC30-1</f>
        <v>2.6745328318901573</v>
      </c>
    </row>
    <row r="31" spans="1:31" s="6" customFormat="1" ht="30" customHeight="1" x14ac:dyDescent="0.5">
      <c r="A31" s="12" t="s">
        <v>476</v>
      </c>
      <c r="B31" s="13">
        <f>'Comp YTD 2020-2019 '!B72</f>
        <v>853458.78</v>
      </c>
      <c r="C31" s="13">
        <f>'Comp YTD 2020-2019 '!C72</f>
        <v>23550.76</v>
      </c>
      <c r="D31" s="13">
        <f>'Comp YTD 2020-2019 '!D72</f>
        <v>381681.15</v>
      </c>
      <c r="E31" s="13">
        <f>'Comp YTD 2020-2019 '!E72</f>
        <v>110</v>
      </c>
      <c r="F31" s="13">
        <f>'Comp YTD 2020-2019 '!F72</f>
        <v>108759.31</v>
      </c>
      <c r="G31" s="13">
        <f>'Comp YTD 2020-2019 '!G72</f>
        <v>37168.720000000001</v>
      </c>
      <c r="H31" s="13">
        <f>'Comp YTD 2020-2019 '!H72</f>
        <v>58185.68</v>
      </c>
      <c r="I31" s="13">
        <f t="shared" si="6"/>
        <v>1462914.4</v>
      </c>
      <c r="K31" s="12" t="s">
        <v>476</v>
      </c>
      <c r="L31" s="13">
        <f>'Comp YTD 2020-2019 '!B260</f>
        <v>648312.56000000017</v>
      </c>
      <c r="M31" s="13">
        <f>'Comp YTD 2020-2019 '!C260</f>
        <v>24930.12</v>
      </c>
      <c r="N31" s="13">
        <f>'Comp YTD 2020-2019 '!D260</f>
        <v>322448.13</v>
      </c>
      <c r="O31" s="13">
        <f>'Comp YTD 2020-2019 '!E260</f>
        <v>109</v>
      </c>
      <c r="P31" s="13">
        <f>'Comp YTD 2020-2019 '!F260</f>
        <v>84130.72</v>
      </c>
      <c r="Q31" s="13">
        <f>'Comp YTD 2020-2019 '!G260</f>
        <v>27876.300000000003</v>
      </c>
      <c r="R31" s="13">
        <f>'Comp YTD 2020-2019 '!H260</f>
        <v>51145.039999999994</v>
      </c>
      <c r="S31" s="13">
        <f>SUM(L31:R31)</f>
        <v>1158951.8700000003</v>
      </c>
      <c r="T31" s="13"/>
      <c r="U31" s="12" t="s">
        <v>476</v>
      </c>
      <c r="W31" s="13">
        <f>I31</f>
        <v>1462914.4</v>
      </c>
      <c r="Y31" s="13">
        <f t="shared" si="10"/>
        <v>1158951.8700000003</v>
      </c>
      <c r="AA31" s="13">
        <f>I31-S31</f>
        <v>303962.52999999956</v>
      </c>
      <c r="AB31" s="13"/>
      <c r="AC31" s="17">
        <f>I31/S31</f>
        <v>1.2622736438571858</v>
      </c>
      <c r="AD31" s="13"/>
      <c r="AE31" s="17">
        <f>AC31-1</f>
        <v>0.26227364385718577</v>
      </c>
    </row>
    <row r="32" spans="1:31" s="6" customFormat="1" ht="30" customHeight="1" x14ac:dyDescent="0.5">
      <c r="A32" s="12" t="s">
        <v>247</v>
      </c>
      <c r="B32" s="13">
        <f>'Comp YTD 2020-2019 '!B102</f>
        <v>227714.16</v>
      </c>
      <c r="C32" s="13">
        <f>'Comp YTD 2020-2019 '!C102</f>
        <v>21904.35</v>
      </c>
      <c r="D32" s="13">
        <f>'Comp YTD 2020-2019 '!D102</f>
        <v>34151.5</v>
      </c>
      <c r="E32" s="13">
        <f>'Comp YTD 2020-2019 '!E102</f>
        <v>1007.89</v>
      </c>
      <c r="F32" s="13">
        <f>'Comp YTD 2020-2019 '!F102</f>
        <v>21180.699999999997</v>
      </c>
      <c r="G32" s="13">
        <f>'Comp YTD 2020-2019 '!G102</f>
        <v>4443.7199999999993</v>
      </c>
      <c r="H32" s="13">
        <f>'Comp YTD 2020-2019 '!H102</f>
        <v>1333.32</v>
      </c>
      <c r="I32" s="13">
        <f>'Comp YTD 2020-2019 '!I102</f>
        <v>311735.64</v>
      </c>
      <c r="K32" s="12" t="s">
        <v>247</v>
      </c>
      <c r="L32" s="13">
        <f>'Comp YTD 2020-2019 '!B284</f>
        <v>155185.76999999999</v>
      </c>
      <c r="M32" s="13">
        <f>'Comp YTD 2020-2019 '!C284</f>
        <v>15950.68</v>
      </c>
      <c r="N32" s="13">
        <f>'Comp YTD 2020-2019 '!D284</f>
        <v>27562.09</v>
      </c>
      <c r="O32" s="13">
        <f>'Comp YTD 2020-2019 '!E284</f>
        <v>838.8</v>
      </c>
      <c r="P32" s="13">
        <f>'Comp YTD 2020-2019 '!F284</f>
        <v>18218.739999999998</v>
      </c>
      <c r="Q32" s="13">
        <f>'Comp YTD 2020-2019 '!G284</f>
        <v>1550.9299999999998</v>
      </c>
      <c r="R32" s="13">
        <f>'Comp YTD 2020-2019 '!H284</f>
        <v>675</v>
      </c>
      <c r="S32" s="13">
        <f>SUM(L32:R32)</f>
        <v>219982.00999999995</v>
      </c>
      <c r="T32" s="13"/>
      <c r="U32" s="12" t="s">
        <v>247</v>
      </c>
      <c r="W32" s="13">
        <f>I32</f>
        <v>311735.64</v>
      </c>
      <c r="Y32" s="13">
        <f t="shared" si="10"/>
        <v>219982.00999999995</v>
      </c>
      <c r="AA32" s="13">
        <f>I32-S32</f>
        <v>91753.630000000063</v>
      </c>
      <c r="AB32" s="13"/>
      <c r="AC32" s="17">
        <f>I32/S32</f>
        <v>1.4170960616279489</v>
      </c>
      <c r="AD32" s="13"/>
      <c r="AE32" s="17">
        <f>AC32-1</f>
        <v>0.41709606162794888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5556342.4600000009</v>
      </c>
      <c r="C33" s="18">
        <f>SUM(C30:C32)</f>
        <v>136124.30000000002</v>
      </c>
      <c r="D33" s="18">
        <f t="shared" ref="D33:I33" si="11">SUM(D30:D32)</f>
        <v>925938.99000000011</v>
      </c>
      <c r="E33" s="18">
        <f t="shared" si="11"/>
        <v>1117.8899999999999</v>
      </c>
      <c r="F33" s="18">
        <f t="shared" si="11"/>
        <v>268685.63</v>
      </c>
      <c r="G33" s="18">
        <f>SUM(G30:G32)</f>
        <v>41612.44</v>
      </c>
      <c r="H33" s="18">
        <f t="shared" si="11"/>
        <v>59519</v>
      </c>
      <c r="I33" s="18">
        <f t="shared" si="11"/>
        <v>6989340.71</v>
      </c>
      <c r="K33" s="12" t="s">
        <v>261</v>
      </c>
      <c r="L33" s="18">
        <f>SUM(L30:L32)</f>
        <v>1615284.83</v>
      </c>
      <c r="M33" s="18">
        <f t="shared" ref="M33:R33" si="12">SUM(M30:M32)</f>
        <v>237114.90000000002</v>
      </c>
      <c r="N33" s="18">
        <f t="shared" si="12"/>
        <v>627631.87</v>
      </c>
      <c r="O33" s="18">
        <f t="shared" si="12"/>
        <v>947.8</v>
      </c>
      <c r="P33" s="18">
        <f t="shared" si="12"/>
        <v>235851.06</v>
      </c>
      <c r="Q33" s="18">
        <f>SUM(Q30:Q32)</f>
        <v>29427.230000000003</v>
      </c>
      <c r="R33" s="18">
        <f t="shared" si="12"/>
        <v>51820.039999999994</v>
      </c>
      <c r="S33" s="18">
        <f>SUM(S30:S32)</f>
        <v>2798077.7300000004</v>
      </c>
      <c r="T33" s="13"/>
      <c r="U33" s="12" t="s">
        <v>261</v>
      </c>
      <c r="W33" s="18">
        <f>I33</f>
        <v>6989340.71</v>
      </c>
      <c r="Y33" s="18">
        <f t="shared" si="10"/>
        <v>2798077.7300000004</v>
      </c>
      <c r="AA33" s="18">
        <f>I33-S33</f>
        <v>4191262.9799999995</v>
      </c>
      <c r="AB33" s="13"/>
      <c r="AC33" s="20">
        <f>I33/S33</f>
        <v>2.4979079869950569</v>
      </c>
      <c r="AD33" s="18"/>
      <c r="AE33" s="20">
        <f>AC33-1</f>
        <v>1.4979079869950569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'!B123</f>
        <v>233393.58</v>
      </c>
      <c r="C35" s="13">
        <f>'Comp YTD 2020-2019 '!C123</f>
        <v>-218.25</v>
      </c>
      <c r="D35" s="13">
        <f>'Comp YTD 2020-2019 '!D123</f>
        <v>114062.72</v>
      </c>
      <c r="E35" s="13">
        <f>'Comp YTD 2020-2019 '!E123</f>
        <v>17593.630000000005</v>
      </c>
      <c r="F35" s="13">
        <f>'Comp YTD 2020-2019 '!F123</f>
        <v>-13612.399999999994</v>
      </c>
      <c r="G35" s="13">
        <f>'Comp YTD 2020-2019 '!G123</f>
        <v>103740.06</v>
      </c>
      <c r="H35" s="13">
        <f>'Comp YTD 2020-2019 '!H123</f>
        <v>137562.5</v>
      </c>
      <c r="I35" s="13">
        <f>SUM(B35:H35)</f>
        <v>592521.84000000008</v>
      </c>
      <c r="K35" s="12" t="s">
        <v>453</v>
      </c>
      <c r="L35" s="13">
        <f>'Comp YTD 2020-2019 '!B310</f>
        <v>142077.68</v>
      </c>
      <c r="M35" s="13">
        <f>'Comp YTD 2020-2019 '!C310</f>
        <v>4916.0500000000011</v>
      </c>
      <c r="N35" s="13">
        <f>'Comp YTD 2020-2019 '!D310</f>
        <v>48965.19</v>
      </c>
      <c r="O35" s="13">
        <f>'Comp YTD 2020-2019 '!E310</f>
        <v>9008.35</v>
      </c>
      <c r="P35" s="13">
        <f>'Comp YTD 2020-2019 '!F310</f>
        <v>-10548.25</v>
      </c>
      <c r="Q35" s="13">
        <f>'Comp YTD 2020-2019 '!G310</f>
        <v>78432.759999999995</v>
      </c>
      <c r="R35" s="13">
        <f>'Comp YTD 2020-2019 '!H310</f>
        <v>55590.81</v>
      </c>
      <c r="S35" s="13">
        <f>SUM(L35:R35)</f>
        <v>328442.58999999997</v>
      </c>
      <c r="T35" s="13"/>
      <c r="U35" s="12" t="s">
        <v>453</v>
      </c>
      <c r="W35" s="9">
        <f>I35</f>
        <v>592521.84000000008</v>
      </c>
      <c r="Y35" s="9">
        <f t="shared" si="10"/>
        <v>328442.58999999997</v>
      </c>
      <c r="AA35" s="9">
        <f>I35-S35</f>
        <v>264079.25000000012</v>
      </c>
      <c r="AB35" s="9"/>
      <c r="AC35" s="17">
        <f>I35/S35</f>
        <v>1.8040347325235748</v>
      </c>
      <c r="AD35" s="10"/>
      <c r="AE35" s="17">
        <f>AC35-1</f>
        <v>0.80403473252357482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17076332.529998414</v>
      </c>
      <c r="C37" s="21">
        <f t="shared" si="13"/>
        <v>9330.5899999987159</v>
      </c>
      <c r="D37" s="21">
        <f t="shared" si="13"/>
        <v>1209123.51</v>
      </c>
      <c r="E37" s="21">
        <f t="shared" si="13"/>
        <v>16475.740000000005</v>
      </c>
      <c r="F37" s="21">
        <f t="shared" si="13"/>
        <v>653.60000000000582</v>
      </c>
      <c r="G37" s="21">
        <f>G27-G33+G35</f>
        <v>62127.619999999995</v>
      </c>
      <c r="H37" s="21">
        <f t="shared" si="13"/>
        <v>78043.5</v>
      </c>
      <c r="I37" s="21">
        <f t="shared" si="13"/>
        <v>18452087.089998417</v>
      </c>
      <c r="K37" s="12" t="s">
        <v>263</v>
      </c>
      <c r="L37" s="21">
        <f t="shared" ref="L37:R37" si="14">L27-L33+L35</f>
        <v>120995.67000017158</v>
      </c>
      <c r="M37" s="21">
        <f t="shared" si="14"/>
        <v>-46962.240000002479</v>
      </c>
      <c r="N37" s="21">
        <f t="shared" si="14"/>
        <v>319613.18000000011</v>
      </c>
      <c r="O37" s="21">
        <f t="shared" si="14"/>
        <v>8060.55</v>
      </c>
      <c r="P37" s="21">
        <f t="shared" si="14"/>
        <v>100148.87000000005</v>
      </c>
      <c r="Q37" s="21">
        <f>Q27-Q33+Q35</f>
        <v>49005.529999999992</v>
      </c>
      <c r="R37" s="21">
        <f t="shared" si="14"/>
        <v>3770.7700000000041</v>
      </c>
      <c r="S37" s="21">
        <f>SUM(L37:R37)</f>
        <v>554632.33000016923</v>
      </c>
      <c r="T37" s="30"/>
      <c r="U37" s="12" t="s">
        <v>263</v>
      </c>
      <c r="W37" s="21">
        <f>W27-W33+W35</f>
        <v>18452087.089998417</v>
      </c>
      <c r="Y37" s="21">
        <f t="shared" si="10"/>
        <v>554632.33000016923</v>
      </c>
      <c r="AA37" s="21">
        <f>I37-S37</f>
        <v>17897454.759998247</v>
      </c>
      <c r="AB37" s="30"/>
      <c r="AC37" s="19">
        <f>I37/S37</f>
        <v>33.269043458019816</v>
      </c>
      <c r="AD37" s="18"/>
      <c r="AE37" s="19">
        <f>AC37-1</f>
        <v>32.269043458019816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B37-CNT!N303</f>
        <v>-2.8051435947418213E-6</v>
      </c>
      <c r="C40" s="13">
        <f>C37-BPM!N90</f>
        <v>2.9103830456733704E-11</v>
      </c>
      <c r="D40" s="13">
        <f>D37-DEP!N88</f>
        <v>0</v>
      </c>
      <c r="E40" s="13">
        <f>E37-Lending!N22</f>
        <v>0</v>
      </c>
      <c r="F40" s="13">
        <f>F37-'BSC (Dome)'!N85</f>
        <v>3.637978807091713E-12</v>
      </c>
      <c r="G40" s="13">
        <f>G37-'Oliari Co.'!N33</f>
        <v>0</v>
      </c>
      <c r="H40" s="13">
        <f>H37-'722 Bedford St'!N30</f>
        <v>0</v>
      </c>
      <c r="I40" s="13">
        <f>SUM(B40:H40)</f>
        <v>-2.8051108529325575E-6</v>
      </c>
      <c r="J40" s="14"/>
      <c r="L40" s="13">
        <f>'Comp YTD 2020-2019 '!B312</f>
        <v>120995.67000017158</v>
      </c>
      <c r="M40" s="13">
        <f>'Comp YTD 2020-2019 '!C312</f>
        <v>-46962.240000002479</v>
      </c>
      <c r="N40" s="13">
        <f>'Comp YTD 2020-2019 '!D312</f>
        <v>319613.18000000011</v>
      </c>
      <c r="O40" s="13">
        <f>'Comp YTD 2020-2019 '!E312</f>
        <v>8060.55</v>
      </c>
      <c r="P40" s="13">
        <f>'Comp YTD 2020-2019 '!F312</f>
        <v>100148.87000000005</v>
      </c>
      <c r="Q40" s="13">
        <f>'Comp YTD 2020-2019 '!G312</f>
        <v>49005.529999999992</v>
      </c>
      <c r="R40" s="13">
        <f>'Comp YTD 2020-2019 '!H312</f>
        <v>3770.7700000000041</v>
      </c>
      <c r="S40" s="13">
        <f>'Comp YTD 2020-2019 '!I312</f>
        <v>554632.33000016923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-3.8370490074157715E-7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48"/>
  <sheetViews>
    <sheetView view="pageBreakPreview" zoomScale="20" zoomScaleNormal="20" zoomScaleSheetLayoutView="20" workbookViewId="0">
      <pane ySplit="10" topLeftCell="A11" activePane="bottomLeft" state="frozen"/>
      <selection activeCell="A297" sqref="A297"/>
      <selection pane="bottomLeft" activeCell="A74" sqref="A74:J74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11.5703125" style="60" bestFit="1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238">
        <v>2020</v>
      </c>
      <c r="B1" s="239"/>
      <c r="C1" s="239"/>
      <c r="D1" s="239"/>
      <c r="E1" s="239"/>
      <c r="F1" s="239"/>
      <c r="G1" s="239"/>
      <c r="H1" s="239"/>
      <c r="I1" s="239"/>
      <c r="J1" s="240"/>
      <c r="K1" s="31"/>
    </row>
    <row r="2" spans="1:11" s="3" customFormat="1" ht="92.25" x14ac:dyDescent="1.35">
      <c r="A2" s="241" t="s">
        <v>397</v>
      </c>
      <c r="B2" s="242"/>
      <c r="C2" s="242"/>
      <c r="D2" s="242"/>
      <c r="E2" s="242"/>
      <c r="F2" s="242"/>
      <c r="G2" s="242"/>
      <c r="H2" s="242"/>
      <c r="I2" s="242"/>
      <c r="J2" s="243"/>
      <c r="K2" s="31"/>
    </row>
    <row r="3" spans="1:11" s="3" customFormat="1" ht="92.25" x14ac:dyDescent="1.35">
      <c r="A3" s="241" t="s">
        <v>339</v>
      </c>
      <c r="B3" s="242"/>
      <c r="C3" s="242"/>
      <c r="D3" s="242"/>
      <c r="E3" s="242"/>
      <c r="F3" s="242"/>
      <c r="G3" s="242"/>
      <c r="H3" s="242"/>
      <c r="I3" s="242"/>
      <c r="J3" s="243"/>
      <c r="K3" s="31"/>
    </row>
    <row r="4" spans="1:11" s="3" customFormat="1" ht="92.25" x14ac:dyDescent="1.35">
      <c r="A4" s="235">
        <v>43951</v>
      </c>
      <c r="B4" s="236"/>
      <c r="C4" s="236"/>
      <c r="D4" s="236"/>
      <c r="E4" s="236"/>
      <c r="F4" s="236"/>
      <c r="G4" s="236"/>
      <c r="H4" s="236"/>
      <c r="I4" s="236"/>
      <c r="J4" s="237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CNT!N110+CNT!N122</f>
        <v>1097290359.1500001</v>
      </c>
      <c r="C12" s="36">
        <f>BPM!N8+BPM!N15</f>
        <v>6630858.9000000004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1103921218.0500002</v>
      </c>
      <c r="J12" s="37">
        <f>I12/$I$19</f>
        <v>0.44849761115504394</v>
      </c>
      <c r="K12" s="37"/>
    </row>
    <row r="13" spans="1:11" s="6" customFormat="1" ht="54.95" customHeight="1" x14ac:dyDescent="0.85">
      <c r="A13" s="31" t="s">
        <v>215</v>
      </c>
      <c r="B13" s="36">
        <f>CNT!N111+CNT!N123</f>
        <v>1228239585.6900001</v>
      </c>
      <c r="C13" s="36">
        <f>BPM!N9+BPM!N16</f>
        <v>951446.44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1229191032.1300001</v>
      </c>
      <c r="J13" s="37">
        <f t="shared" ref="J13:J18" si="1">I13/$I$19</f>
        <v>0.49939183390035924</v>
      </c>
      <c r="K13" s="37"/>
    </row>
    <row r="14" spans="1:11" s="6" customFormat="1" ht="54.95" customHeight="1" x14ac:dyDescent="0.85">
      <c r="A14" s="31" t="s">
        <v>216</v>
      </c>
      <c r="B14" s="36">
        <f>CNT!N112+CNT!N124</f>
        <v>15112181.949999999</v>
      </c>
      <c r="C14" s="36">
        <f>BPM!N10</f>
        <v>15229.84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15127411.789999999</v>
      </c>
      <c r="J14" s="37">
        <f t="shared" si="1"/>
        <v>6.1459168823280556E-3</v>
      </c>
      <c r="K14" s="37"/>
    </row>
    <row r="15" spans="1:11" s="6" customFormat="1" ht="54.95" customHeight="1" x14ac:dyDescent="0.85">
      <c r="A15" s="31" t="s">
        <v>413</v>
      </c>
      <c r="B15" s="36">
        <f>CNT!N113+CNT!N125</f>
        <v>52653902.969999999</v>
      </c>
      <c r="C15" s="36">
        <f>BPM!N11</f>
        <v>43279.8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52697182.769999996</v>
      </c>
      <c r="J15" s="37">
        <f t="shared" si="1"/>
        <v>2.1409644275788578E-2</v>
      </c>
      <c r="K15" s="37"/>
    </row>
    <row r="16" spans="1:11" s="6" customFormat="1" ht="54.95" customHeight="1" x14ac:dyDescent="0.85">
      <c r="A16" s="31" t="s">
        <v>217</v>
      </c>
      <c r="B16" s="36">
        <f>CNT!N117+CNT!N128</f>
        <v>20715619.399999999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20715619.399999999</v>
      </c>
      <c r="J16" s="37">
        <f t="shared" si="1"/>
        <v>8.4162761459634066E-3</v>
      </c>
      <c r="K16" s="37"/>
    </row>
    <row r="17" spans="1:11" s="6" customFormat="1" ht="54.95" customHeight="1" x14ac:dyDescent="0.85">
      <c r="A17" s="31" t="s">
        <v>218</v>
      </c>
      <c r="B17" s="36">
        <f>CNT!N130+CNT!N132+CNT!N131+CNT!N129+CNT!N133</f>
        <v>36662970.149999999</v>
      </c>
      <c r="C17" s="36">
        <f>BPM!N12</f>
        <v>75.97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36663046.119999997</v>
      </c>
      <c r="J17" s="37">
        <f t="shared" si="1"/>
        <v>1.4895346093205024E-2</v>
      </c>
      <c r="K17" s="37"/>
    </row>
    <row r="18" spans="1:11" s="6" customFormat="1" ht="54.95" customHeight="1" x14ac:dyDescent="0.85">
      <c r="A18" s="31" t="s">
        <v>219</v>
      </c>
      <c r="B18" s="36">
        <f>CNT!N115+CNT!N116+CNT!N118+CNT!N119+CNT!N120+CNT!N114+CNT!N127+CNT!N121</f>
        <v>514149.37</v>
      </c>
      <c r="C18" s="36">
        <f>BPM!N14+BPM!N13</f>
        <v>192002.00000000003</v>
      </c>
      <c r="D18" s="36">
        <f>DEP!N17</f>
        <v>2070342.7200000002</v>
      </c>
      <c r="E18" s="36">
        <v>0</v>
      </c>
      <c r="F18" s="36">
        <f>'BSC (Dome)'!N15</f>
        <v>283910.69</v>
      </c>
      <c r="G18" s="36">
        <v>0</v>
      </c>
      <c r="H18" s="36">
        <v>0</v>
      </c>
      <c r="I18" s="36">
        <f t="shared" si="0"/>
        <v>3060404.7800000003</v>
      </c>
      <c r="J18" s="37">
        <f t="shared" si="1"/>
        <v>1.243371547312092E-3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2451188768.6799998</v>
      </c>
      <c r="C19" s="38">
        <f>SUM(C12:C18)</f>
        <v>7832892.9499999993</v>
      </c>
      <c r="D19" s="38">
        <f t="shared" ref="D19:H19" si="2">SUM(D12:D18)</f>
        <v>2070342.7200000002</v>
      </c>
      <c r="E19" s="38">
        <f t="shared" si="2"/>
        <v>0</v>
      </c>
      <c r="F19" s="38">
        <f>SUM(F12:F18)</f>
        <v>283910.69</v>
      </c>
      <c r="G19" s="38">
        <f>SUM(G12:G18)</f>
        <v>0</v>
      </c>
      <c r="H19" s="38">
        <f t="shared" si="2"/>
        <v>0</v>
      </c>
      <c r="I19" s="38">
        <f t="shared" si="0"/>
        <v>2461375915.0399995</v>
      </c>
      <c r="J19" s="39">
        <f>SUM(J12:J18)</f>
        <v>1.0000000000000002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CNT!N138+CNT!N143+CNT!N155+CNT!N159+CNT!N160+CNT!N164+CNT!N168+CNT!N175</f>
        <v>1088751762.02</v>
      </c>
      <c r="C22" s="36">
        <f>BPM!N20+BPM!N31</f>
        <v>6468387.3300000001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1095220149.3499999</v>
      </c>
      <c r="J22" s="37">
        <f t="shared" ref="J22:J29" si="3">I22/$I$30</f>
        <v>0.44950051662408608</v>
      </c>
      <c r="K22" s="37"/>
    </row>
    <row r="23" spans="1:11" s="6" customFormat="1" ht="54.95" customHeight="1" x14ac:dyDescent="0.85">
      <c r="A23" s="31" t="s">
        <v>215</v>
      </c>
      <c r="B23" s="36">
        <f>CNT!N139+CNT!N144+CNT!N156+CNT!N161+CNT!N165+CNT!N169+CNT!N172+CNT!N176</f>
        <v>1217045904.2600012</v>
      </c>
      <c r="C23" s="36">
        <f>BPM!N21+BPM!N32</f>
        <v>878069.50000000012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1217923973.7600012</v>
      </c>
      <c r="J23" s="37">
        <f t="shared" si="3"/>
        <v>0.49986064969576194</v>
      </c>
      <c r="K23" s="37"/>
    </row>
    <row r="24" spans="1:11" s="6" customFormat="1" ht="54.95" customHeight="1" x14ac:dyDescent="0.85">
      <c r="A24" s="31" t="s">
        <v>216</v>
      </c>
      <c r="B24" s="36">
        <f>CNT!N140+CNT!N145+CNT!N157+CNT!N162+CNT!N166+CNT!N170+CNT!N174+CNT!N177</f>
        <v>14753635.110000003</v>
      </c>
      <c r="C24" s="36">
        <f>BPM!N22+BPM!N33</f>
        <v>13768.460000000001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14767403.570000004</v>
      </c>
      <c r="J24" s="37">
        <f t="shared" si="3"/>
        <v>6.0608413183878352E-3</v>
      </c>
      <c r="K24" s="37"/>
    </row>
    <row r="25" spans="1:11" s="6" customFormat="1" ht="54.95" customHeight="1" x14ac:dyDescent="0.85">
      <c r="A25" s="31" t="s">
        <v>413</v>
      </c>
      <c r="B25" s="36">
        <f>CNT!N141+CNT!N146+CNT!N158+CNT!N163+CNT!N167+CNT!N171+CNT!N178+CNT!N179</f>
        <v>51896815.360000007</v>
      </c>
      <c r="C25" s="36">
        <f>BPM!N23</f>
        <v>40652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51937467.360000007</v>
      </c>
      <c r="J25" s="37">
        <f t="shared" si="3"/>
        <v>2.1316187822441119E-2</v>
      </c>
      <c r="K25" s="37"/>
    </row>
    <row r="26" spans="1:11" s="6" customFormat="1" ht="54.95" customHeight="1" x14ac:dyDescent="0.85">
      <c r="A26" s="31" t="s">
        <v>217</v>
      </c>
      <c r="B26" s="36">
        <f>CNT!N142+CNT!N149+CNT!N173+CNT!N184</f>
        <v>19906002.350000001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19906002.350000001</v>
      </c>
      <c r="J26" s="37">
        <f t="shared" si="3"/>
        <v>8.1698262632911387E-3</v>
      </c>
      <c r="K26" s="37"/>
    </row>
    <row r="27" spans="1:11" s="6" customFormat="1" ht="54.95" customHeight="1" x14ac:dyDescent="0.85">
      <c r="A27" s="31" t="s">
        <v>218</v>
      </c>
      <c r="B27" s="36">
        <f>CNT!N195+CNT!N196+CNT!N197+CNT!N200+CNT!N202+CNT!N203+CNT!N204+CNT!N205+CNT!N206+CNT!N201+CNT!N199+CNT!N198</f>
        <v>34996576.359999999</v>
      </c>
      <c r="C27" s="36">
        <f>BPM!N25+BPM!N34</f>
        <v>66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34996642.359999999</v>
      </c>
      <c r="J27" s="37">
        <f t="shared" si="3"/>
        <v>1.4363330358982658E-2</v>
      </c>
      <c r="K27" s="37"/>
    </row>
    <row r="28" spans="1:11" s="6" customFormat="1" ht="54.95" customHeight="1" x14ac:dyDescent="0.85">
      <c r="A28" s="31" t="s">
        <v>219</v>
      </c>
      <c r="B28" s="36">
        <f>CNT!N136+CNT!N147+CNT!N148+CNT!N150+CNT!N153+CNT!N154+CNT!N183+CNT!N181+CNT!N182+CNT!N185+CNT!N186+CNT!N187+CNT!N188+CNT!N189+CNT!N190+CNT!N191+CNT!N192+CNT!N193+CNT!N194+CNT!N180+CNT!B137</f>
        <v>1438791.8099999998</v>
      </c>
      <c r="C28" s="36">
        <f>BPM!N26+BPM!N27+BPM!N28+BPM!N29+BPM!N30+BPM!N35+BPM!N36+BPM!N24</f>
        <v>286276.52</v>
      </c>
      <c r="D28" s="36">
        <f>DEP!N23</f>
        <v>49342.94</v>
      </c>
      <c r="E28" s="36">
        <v>0</v>
      </c>
      <c r="F28" s="36">
        <f>'BSC (Dome)'!N18</f>
        <v>959.06000000000006</v>
      </c>
      <c r="G28" s="36">
        <v>0</v>
      </c>
      <c r="H28" s="36">
        <v>0</v>
      </c>
      <c r="I28" s="36">
        <f t="shared" ref="I28" si="4">SUM(B28:H28)</f>
        <v>1775370.3299999998</v>
      </c>
      <c r="J28" s="37">
        <f t="shared" si="3"/>
        <v>7.2864791704909315E-4</v>
      </c>
      <c r="K28" s="37"/>
    </row>
    <row r="29" spans="1:11" s="6" customFormat="1" ht="54.95" customHeight="1" x14ac:dyDescent="0.85">
      <c r="A29" s="31" t="s">
        <v>526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2428789487.2700014</v>
      </c>
      <c r="C30" s="38">
        <f t="shared" ref="C30:H30" si="5">SUM(C22:C29)</f>
        <v>7687219.8100000005</v>
      </c>
      <c r="D30" s="38">
        <f t="shared" si="5"/>
        <v>49342.94</v>
      </c>
      <c r="E30" s="38">
        <f t="shared" si="5"/>
        <v>0</v>
      </c>
      <c r="F30" s="38">
        <f>SUM(F22:F29)</f>
        <v>959.06000000000006</v>
      </c>
      <c r="G30" s="38">
        <f>SUM(G22:G29)</f>
        <v>0</v>
      </c>
      <c r="H30" s="38">
        <f t="shared" si="5"/>
        <v>0</v>
      </c>
      <c r="I30" s="38">
        <f t="shared" si="0"/>
        <v>2436527009.0800014</v>
      </c>
      <c r="J30" s="39">
        <f>SUM(J22:J29)</f>
        <v>0.99999999999999978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22399281.409998417</v>
      </c>
      <c r="C32" s="40">
        <f t="shared" ref="C32:H32" si="6">C19-C30</f>
        <v>145673.13999999873</v>
      </c>
      <c r="D32" s="40">
        <f t="shared" si="6"/>
        <v>2020999.7800000003</v>
      </c>
      <c r="E32" s="40">
        <f t="shared" si="6"/>
        <v>0</v>
      </c>
      <c r="F32" s="40">
        <f>F19-F30</f>
        <v>282951.63</v>
      </c>
      <c r="G32" s="40">
        <f>G19-G30</f>
        <v>0</v>
      </c>
      <c r="H32" s="40">
        <f t="shared" si="6"/>
        <v>0</v>
      </c>
      <c r="I32" s="40">
        <f t="shared" si="0"/>
        <v>24848905.959998418</v>
      </c>
      <c r="J32" s="31"/>
      <c r="K32" s="31"/>
    </row>
    <row r="33" spans="1:11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1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1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1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1" s="6" customFormat="1" ht="54.95" customHeight="1" x14ac:dyDescent="0.85">
      <c r="A37" s="31" t="s">
        <v>223</v>
      </c>
      <c r="B37" s="36">
        <f>CNT!N210+CNT!N220</f>
        <v>1048131.2599999999</v>
      </c>
      <c r="C37" s="36">
        <f>BPM!N44</f>
        <v>59873.320000000007</v>
      </c>
      <c r="D37" s="36">
        <f>DEP!N29</f>
        <v>363940.02</v>
      </c>
      <c r="E37" s="36">
        <v>0</v>
      </c>
      <c r="F37" s="36">
        <f>'BSC (Dome)'!N25+'BSC (Dome)'!N33</f>
        <v>110428.29000000001</v>
      </c>
      <c r="G37" s="36">
        <v>0</v>
      </c>
      <c r="H37" s="36">
        <v>0</v>
      </c>
      <c r="I37" s="36">
        <f t="shared" si="0"/>
        <v>1582372.89</v>
      </c>
      <c r="J37" s="37">
        <f>I37/$I$47</f>
        <v>0.30344520703852212</v>
      </c>
      <c r="K37" s="37"/>
    </row>
    <row r="38" spans="1:11" s="6" customFormat="1" ht="54.95" customHeight="1" x14ac:dyDescent="0.85">
      <c r="A38" s="31" t="s">
        <v>530</v>
      </c>
      <c r="B38" s="36">
        <f>CNT!N211+CNT!N222</f>
        <v>3077797.6100000003</v>
      </c>
      <c r="C38" s="36">
        <f>BPM!N45</f>
        <v>7339.8899999999994</v>
      </c>
      <c r="D38" s="36">
        <f>DEP!N30</f>
        <v>29220.82</v>
      </c>
      <c r="E38" s="36"/>
      <c r="F38" s="36">
        <f>'BSC (Dome)'!N26</f>
        <v>2250</v>
      </c>
      <c r="G38" s="36"/>
      <c r="H38" s="36"/>
      <c r="I38" s="36">
        <f t="shared" si="0"/>
        <v>3116608.3200000003</v>
      </c>
      <c r="J38" s="37">
        <f>I38/$I$47</f>
        <v>0.59765928934764601</v>
      </c>
      <c r="K38" s="37"/>
    </row>
    <row r="39" spans="1:11" s="6" customFormat="1" ht="54.95" customHeight="1" x14ac:dyDescent="0.85">
      <c r="A39" s="31" t="s">
        <v>224</v>
      </c>
      <c r="B39" s="36">
        <f>CNT!N212</f>
        <v>6472.47</v>
      </c>
      <c r="C39" s="36">
        <f>BPM!N46</f>
        <v>510.21</v>
      </c>
      <c r="D39" s="36">
        <f>DEP!N31</f>
        <v>1430.3199999999997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8413</v>
      </c>
      <c r="J39" s="37">
        <f t="shared" ref="J39:J46" si="7">I39/$I$47</f>
        <v>1.6133267594183106E-3</v>
      </c>
      <c r="K39" s="37"/>
    </row>
    <row r="40" spans="1:11" s="6" customFormat="1" ht="54.95" customHeight="1" x14ac:dyDescent="0.85">
      <c r="A40" s="31" t="s">
        <v>225</v>
      </c>
      <c r="B40" s="36">
        <f>CNT!N213</f>
        <v>83709.73</v>
      </c>
      <c r="C40" s="36">
        <f>BPM!N47</f>
        <v>6067.9600000000009</v>
      </c>
      <c r="D40" s="36">
        <f>DEP!N32</f>
        <v>34727.46</v>
      </c>
      <c r="E40" s="36">
        <v>0</v>
      </c>
      <c r="F40" s="36">
        <f>'BSC (Dome)'!N27</f>
        <v>8223.2099999999991</v>
      </c>
      <c r="G40" s="36">
        <v>0</v>
      </c>
      <c r="H40" s="36">
        <v>0</v>
      </c>
      <c r="I40" s="36">
        <f t="shared" si="0"/>
        <v>132728.35999999999</v>
      </c>
      <c r="J40" s="37">
        <f t="shared" si="7"/>
        <v>2.5452777240188622E-2</v>
      </c>
      <c r="K40" s="37"/>
    </row>
    <row r="41" spans="1:11" s="6" customFormat="1" ht="54.95" customHeight="1" x14ac:dyDescent="0.85">
      <c r="A41" s="31" t="s">
        <v>226</v>
      </c>
      <c r="B41" s="36">
        <f>CNT!N214</f>
        <v>99444.159999999989</v>
      </c>
      <c r="C41" s="36">
        <f>BPM!N48</f>
        <v>11442.710000000001</v>
      </c>
      <c r="D41" s="36">
        <f>DEP!N33</f>
        <v>52500.259999999995</v>
      </c>
      <c r="E41" s="36">
        <v>0</v>
      </c>
      <c r="F41" s="36">
        <f>'BSC (Dome)'!N28</f>
        <v>14795.34</v>
      </c>
      <c r="G41" s="36">
        <v>0</v>
      </c>
      <c r="H41" s="36">
        <v>0</v>
      </c>
      <c r="I41" s="36">
        <f t="shared" si="0"/>
        <v>178182.47</v>
      </c>
      <c r="J41" s="37">
        <f t="shared" si="7"/>
        <v>3.4169326864406317E-2</v>
      </c>
      <c r="K41" s="37"/>
    </row>
    <row r="42" spans="1:11" s="6" customFormat="1" ht="54.95" customHeight="1" x14ac:dyDescent="0.85">
      <c r="A42" s="31" t="s">
        <v>227</v>
      </c>
      <c r="B42" s="36">
        <f>CNT!N215</f>
        <v>18069.059999999998</v>
      </c>
      <c r="C42" s="36">
        <f>BPM!N49</f>
        <v>1736.52</v>
      </c>
      <c r="D42" s="36">
        <f>DEP!N34</f>
        <v>6673.9800000000005</v>
      </c>
      <c r="E42" s="36">
        <v>0</v>
      </c>
      <c r="F42" s="36">
        <f>'BSC (Dome)'!N29</f>
        <v>1025.82</v>
      </c>
      <c r="G42" s="36">
        <v>0</v>
      </c>
      <c r="H42" s="36">
        <v>0</v>
      </c>
      <c r="I42" s="36">
        <f t="shared" si="0"/>
        <v>27505.379999999997</v>
      </c>
      <c r="J42" s="37">
        <f t="shared" si="7"/>
        <v>5.2745947440828722E-3</v>
      </c>
      <c r="K42" s="37"/>
    </row>
    <row r="43" spans="1:11" s="6" customFormat="1" ht="54.95" customHeight="1" x14ac:dyDescent="0.85">
      <c r="A43" s="31" t="s">
        <v>228</v>
      </c>
      <c r="B43" s="36">
        <f>CNT!N216</f>
        <v>82332.899999999994</v>
      </c>
      <c r="C43" s="36">
        <f>BPM!N50</f>
        <v>2948.5800000000004</v>
      </c>
      <c r="D43" s="36">
        <f>DEP!N35</f>
        <v>11820.53</v>
      </c>
      <c r="E43" s="36">
        <v>0</v>
      </c>
      <c r="F43" s="36">
        <f>'BSC (Dome)'!N31</f>
        <v>1500</v>
      </c>
      <c r="G43" s="36">
        <v>0</v>
      </c>
      <c r="H43" s="36">
        <v>0</v>
      </c>
      <c r="I43" s="36">
        <f t="shared" si="0"/>
        <v>98602.01</v>
      </c>
      <c r="J43" s="37">
        <f t="shared" si="7"/>
        <v>1.89085060341652E-2</v>
      </c>
      <c r="K43" s="37"/>
    </row>
    <row r="44" spans="1:11" s="6" customFormat="1" ht="54.95" customHeight="1" x14ac:dyDescent="0.85">
      <c r="A44" s="31" t="s">
        <v>304</v>
      </c>
      <c r="B44" s="36">
        <f>CNT!N218+CNT!N217+CNT!N223</f>
        <v>32963.53</v>
      </c>
      <c r="C44" s="36">
        <f>BPM!N53+BPM!N51</f>
        <v>0</v>
      </c>
      <c r="D44" s="36">
        <f>DEP!N36</f>
        <v>980.75</v>
      </c>
      <c r="E44" s="36">
        <v>0</v>
      </c>
      <c r="F44" s="36">
        <f>'BSC (Dome)'!N30+'BSC (Dome)'!N32</f>
        <v>522.96</v>
      </c>
      <c r="G44" s="36">
        <v>0</v>
      </c>
      <c r="H44" s="36">
        <v>0</v>
      </c>
      <c r="I44" s="36">
        <f t="shared" si="0"/>
        <v>34467.24</v>
      </c>
      <c r="J44" s="37">
        <f t="shared" si="7"/>
        <v>6.6096422935092315E-3</v>
      </c>
      <c r="K44" s="37"/>
    </row>
    <row r="45" spans="1:11" s="6" customFormat="1" ht="54.95" customHeight="1" x14ac:dyDescent="0.85">
      <c r="A45" s="31" t="s">
        <v>229</v>
      </c>
      <c r="B45" s="36">
        <f>CNT!N219+CNT!N221</f>
        <v>365</v>
      </c>
      <c r="C45" s="36">
        <v>0</v>
      </c>
      <c r="D45" s="36">
        <f>DEP!N38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365</v>
      </c>
      <c r="J45" s="37">
        <f t="shared" si="7"/>
        <v>6.9994564030391465E-5</v>
      </c>
      <c r="K45" s="37"/>
    </row>
    <row r="46" spans="1:11" s="6" customFormat="1" ht="54.95" customHeight="1" x14ac:dyDescent="0.85">
      <c r="A46" s="31" t="s">
        <v>243</v>
      </c>
      <c r="B46" s="36">
        <f>CNT!N252</f>
        <v>25883.8</v>
      </c>
      <c r="C46" s="36">
        <f>BPM!N52</f>
        <v>750</v>
      </c>
      <c r="D46" s="36">
        <f>DEP!N37</f>
        <v>8812.2000000000007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35446</v>
      </c>
      <c r="J46" s="37">
        <f t="shared" si="7"/>
        <v>6.7973351140308376E-3</v>
      </c>
      <c r="K46" s="37"/>
    </row>
    <row r="47" spans="1:11" s="6" customFormat="1" ht="54.95" customHeight="1" x14ac:dyDescent="0.85">
      <c r="A47" s="35" t="s">
        <v>230</v>
      </c>
      <c r="B47" s="38">
        <f t="shared" ref="B47:H47" si="8">SUM(B37:B46)</f>
        <v>4475169.5200000005</v>
      </c>
      <c r="C47" s="38">
        <f t="shared" si="8"/>
        <v>90669.190000000031</v>
      </c>
      <c r="D47" s="38">
        <f t="shared" si="8"/>
        <v>510106.34000000008</v>
      </c>
      <c r="E47" s="38">
        <f t="shared" si="8"/>
        <v>0</v>
      </c>
      <c r="F47" s="38">
        <f>SUM(F37:F46)</f>
        <v>138745.62</v>
      </c>
      <c r="G47" s="38">
        <f t="shared" si="8"/>
        <v>0</v>
      </c>
      <c r="H47" s="38">
        <f t="shared" si="8"/>
        <v>0</v>
      </c>
      <c r="I47" s="38">
        <f t="shared" si="0"/>
        <v>5214690.6700000009</v>
      </c>
      <c r="J47" s="39">
        <f>SUM(J37:J46)</f>
        <v>0.99999999999999967</v>
      </c>
      <c r="K47" s="37"/>
    </row>
    <row r="48" spans="1:11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CNT!N226+CNT!N227+CNT!N247</f>
        <v>166800</v>
      </c>
      <c r="C50" s="36">
        <f>BPM!N57</f>
        <v>15000</v>
      </c>
      <c r="D50" s="36">
        <f>DEP!N42</f>
        <v>150000</v>
      </c>
      <c r="E50" s="36">
        <v>0</v>
      </c>
      <c r="F50" s="36">
        <f>'BSC (Dome)'!N37</f>
        <v>4000</v>
      </c>
      <c r="G50" s="36">
        <v>0</v>
      </c>
      <c r="H50" s="36">
        <v>0</v>
      </c>
      <c r="I50" s="36">
        <f t="shared" ref="I50:I72" si="9">SUM(B50:H50)</f>
        <v>335800</v>
      </c>
      <c r="J50" s="37">
        <f t="shared" ref="J50:J71" si="10">I50/$I$72</f>
        <v>0.22954179684060805</v>
      </c>
      <c r="K50" s="37"/>
    </row>
    <row r="51" spans="1:11" s="6" customFormat="1" ht="54.95" customHeight="1" x14ac:dyDescent="0.85">
      <c r="A51" s="31" t="s">
        <v>232</v>
      </c>
      <c r="B51" s="36">
        <f>CNT!N228+CNT!N248</f>
        <v>12501.609999999999</v>
      </c>
      <c r="C51" s="36">
        <v>0</v>
      </c>
      <c r="D51" s="36">
        <f>DEP!N43</f>
        <v>-3572.62</v>
      </c>
      <c r="E51" s="36">
        <v>0</v>
      </c>
      <c r="F51" s="36">
        <f>'BSC (Dome)'!N39</f>
        <v>3287.5</v>
      </c>
      <c r="G51" s="36">
        <f>'Oliari Co.'!N11</f>
        <v>161.63</v>
      </c>
      <c r="H51" s="36">
        <v>0</v>
      </c>
      <c r="I51" s="36">
        <f t="shared" si="9"/>
        <v>12378.119999999997</v>
      </c>
      <c r="J51" s="37">
        <f t="shared" si="10"/>
        <v>8.4612742891860236E-3</v>
      </c>
      <c r="K51" s="37"/>
    </row>
    <row r="52" spans="1:11" s="6" customFormat="1" ht="54.95" customHeight="1" x14ac:dyDescent="0.85">
      <c r="A52" s="31" t="s">
        <v>233</v>
      </c>
      <c r="B52" s="36">
        <f>CNT!N229</f>
        <v>5257.74</v>
      </c>
      <c r="C52" s="36">
        <v>0</v>
      </c>
      <c r="D52" s="36">
        <f>DEP!N49</f>
        <v>5892.38</v>
      </c>
      <c r="E52" s="36">
        <v>0</v>
      </c>
      <c r="F52" s="36">
        <f>'BSC (Dome)'!N38</f>
        <v>35941.71</v>
      </c>
      <c r="G52" s="36">
        <v>0</v>
      </c>
      <c r="H52" s="36">
        <v>0</v>
      </c>
      <c r="I52" s="36">
        <f t="shared" si="9"/>
        <v>47091.83</v>
      </c>
      <c r="J52" s="37">
        <f t="shared" si="10"/>
        <v>3.2190420710876869E-2</v>
      </c>
      <c r="K52" s="37"/>
    </row>
    <row r="53" spans="1:11" s="6" customFormat="1" ht="54.95" customHeight="1" x14ac:dyDescent="0.85">
      <c r="A53" s="31" t="s">
        <v>332</v>
      </c>
      <c r="B53" s="36">
        <f>CNT!N230</f>
        <v>664.62</v>
      </c>
      <c r="C53" s="36">
        <v>0</v>
      </c>
      <c r="D53" s="36">
        <f>DEP!N44</f>
        <v>215.28</v>
      </c>
      <c r="E53" s="36">
        <v>0</v>
      </c>
      <c r="F53" s="36">
        <f>'BSC (Dome)'!N40</f>
        <v>1092.7</v>
      </c>
      <c r="G53" s="36">
        <v>0</v>
      </c>
      <c r="H53" s="36">
        <v>0</v>
      </c>
      <c r="I53" s="36">
        <f t="shared" si="9"/>
        <v>1972.6</v>
      </c>
      <c r="J53" s="37">
        <f t="shared" si="10"/>
        <v>1.3484042538647511E-3</v>
      </c>
      <c r="K53" s="37"/>
    </row>
    <row r="54" spans="1:11" s="6" customFormat="1" ht="54.95" customHeight="1" x14ac:dyDescent="0.85">
      <c r="A54" s="31" t="s">
        <v>287</v>
      </c>
      <c r="B54" s="36">
        <f>CNT!N231</f>
        <v>890.12</v>
      </c>
      <c r="C54" s="36">
        <v>0</v>
      </c>
      <c r="D54" s="36">
        <f>DEP!N45</f>
        <v>1100</v>
      </c>
      <c r="E54" s="36">
        <v>0</v>
      </c>
      <c r="F54" s="36">
        <f>'BSC (Dome)'!N41</f>
        <v>2912.1800000000003</v>
      </c>
      <c r="G54" s="36">
        <v>0</v>
      </c>
      <c r="H54" s="36">
        <v>0</v>
      </c>
      <c r="I54" s="36">
        <f t="shared" si="9"/>
        <v>4902.3</v>
      </c>
      <c r="J54" s="37">
        <f t="shared" si="10"/>
        <v>3.3510504784148684E-3</v>
      </c>
      <c r="K54" s="37"/>
    </row>
    <row r="55" spans="1:11" s="6" customFormat="1" ht="54.95" customHeight="1" x14ac:dyDescent="0.85">
      <c r="A55" s="31" t="s">
        <v>436</v>
      </c>
      <c r="B55" s="55">
        <f>CNT!N232</f>
        <v>10000</v>
      </c>
      <c r="C55" s="36">
        <v>0</v>
      </c>
      <c r="D55" s="36">
        <f>DEP!N46</f>
        <v>8400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18400</v>
      </c>
      <c r="J55" s="37">
        <f t="shared" si="10"/>
        <v>1.2577632703594962E-2</v>
      </c>
      <c r="K55" s="37"/>
    </row>
    <row r="56" spans="1:11" s="6" customFormat="1" ht="54.95" customHeight="1" x14ac:dyDescent="0.85">
      <c r="A56" s="31" t="s">
        <v>366</v>
      </c>
      <c r="B56" s="36">
        <f>CNT!N233+CNT!N244</f>
        <v>44097.82</v>
      </c>
      <c r="C56" s="36">
        <v>0</v>
      </c>
      <c r="D56" s="36">
        <f>DEP!N47</f>
        <v>11027.880000000001</v>
      </c>
      <c r="E56" s="36">
        <v>0</v>
      </c>
      <c r="F56" s="36">
        <f>'BSC (Dome)'!N43</f>
        <v>1347.65</v>
      </c>
      <c r="G56" s="36">
        <v>0</v>
      </c>
      <c r="H56" s="36">
        <v>0</v>
      </c>
      <c r="I56" s="36">
        <f t="shared" si="9"/>
        <v>56473.35</v>
      </c>
      <c r="J56" s="37">
        <f t="shared" si="10"/>
        <v>3.8603318143563291E-2</v>
      </c>
      <c r="K56" s="37"/>
    </row>
    <row r="57" spans="1:11" s="6" customFormat="1" ht="54.95" customHeight="1" x14ac:dyDescent="0.85">
      <c r="A57" s="31" t="s">
        <v>367</v>
      </c>
      <c r="B57" s="36"/>
      <c r="C57" s="36">
        <f>BPM!N58</f>
        <v>0</v>
      </c>
      <c r="D57" s="36">
        <v>0</v>
      </c>
      <c r="E57" s="36">
        <v>0</v>
      </c>
      <c r="F57" s="36">
        <f>'BSC (Dome)'!N44+'BSC (Dome)'!N50</f>
        <v>2576.14</v>
      </c>
      <c r="G57" s="36">
        <v>0</v>
      </c>
      <c r="H57" s="36">
        <v>0</v>
      </c>
      <c r="I57" s="36">
        <f t="shared" si="9"/>
        <v>2576.14</v>
      </c>
      <c r="J57" s="37">
        <f t="shared" si="10"/>
        <v>1.760964277882561E-3</v>
      </c>
      <c r="K57" s="37"/>
    </row>
    <row r="58" spans="1:11" s="6" customFormat="1" ht="54.95" customHeight="1" x14ac:dyDescent="0.85">
      <c r="A58" s="31" t="s">
        <v>236</v>
      </c>
      <c r="B58" s="36">
        <f>CNT!N234</f>
        <v>37072.199999999997</v>
      </c>
      <c r="C58" s="36">
        <v>0</v>
      </c>
      <c r="D58" s="36">
        <f>DEP!N48</f>
        <v>24051.72</v>
      </c>
      <c r="E58" s="36">
        <v>0</v>
      </c>
      <c r="F58" s="36">
        <f>'BSC (Dome)'!N46</f>
        <v>919.43000000000006</v>
      </c>
      <c r="G58" s="36">
        <v>0</v>
      </c>
      <c r="H58" s="36">
        <v>0</v>
      </c>
      <c r="I58" s="36">
        <f t="shared" si="9"/>
        <v>62043.35</v>
      </c>
      <c r="J58" s="37">
        <f t="shared" si="10"/>
        <v>4.2410786304379805E-2</v>
      </c>
      <c r="K58" s="37"/>
    </row>
    <row r="59" spans="1:11" s="6" customFormat="1" ht="54.95" customHeight="1" x14ac:dyDescent="0.85">
      <c r="A59" s="31" t="s">
        <v>237</v>
      </c>
      <c r="B59" s="36">
        <f>CNT!N235</f>
        <v>11429.77</v>
      </c>
      <c r="C59" s="36">
        <v>0</v>
      </c>
      <c r="D59" s="36">
        <f>DEP!N50</f>
        <v>1673.7399999999998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13103.51</v>
      </c>
      <c r="J59" s="37">
        <f t="shared" si="10"/>
        <v>8.9571269515154144E-3</v>
      </c>
      <c r="K59" s="37"/>
    </row>
    <row r="60" spans="1:11" s="6" customFormat="1" ht="54.95" customHeight="1" x14ac:dyDescent="0.85">
      <c r="A60" s="31" t="s">
        <v>235</v>
      </c>
      <c r="B60" s="36">
        <f>CNT!N236</f>
        <v>22353.66</v>
      </c>
      <c r="C60" s="36">
        <f>BPM!N59</f>
        <v>300</v>
      </c>
      <c r="D60" s="36">
        <f>DEP!N51</f>
        <v>90625.04</v>
      </c>
      <c r="E60" s="36">
        <v>0</v>
      </c>
      <c r="F60" s="36">
        <f>'BSC (Dome)'!N48</f>
        <v>10594.33</v>
      </c>
      <c r="G60" s="36">
        <v>0</v>
      </c>
      <c r="H60" s="36">
        <v>0</v>
      </c>
      <c r="I60" s="36">
        <f t="shared" si="9"/>
        <v>123873.03</v>
      </c>
      <c r="J60" s="37">
        <f t="shared" si="10"/>
        <v>8.4675514848989122E-2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9098.15</v>
      </c>
      <c r="G61" s="36">
        <v>0</v>
      </c>
      <c r="H61" s="36">
        <v>0</v>
      </c>
      <c r="I61" s="36">
        <f t="shared" si="9"/>
        <v>9098.15</v>
      </c>
      <c r="J61" s="37">
        <f t="shared" si="10"/>
        <v>6.219195053381114E-3</v>
      </c>
      <c r="K61" s="37"/>
    </row>
    <row r="62" spans="1:11" s="6" customFormat="1" ht="54.95" customHeight="1" x14ac:dyDescent="0.85">
      <c r="A62" s="31" t="s">
        <v>238</v>
      </c>
      <c r="B62" s="36">
        <f>CNT!N282+CNT!N237+CNT!N263</f>
        <v>44119.18</v>
      </c>
      <c r="C62" s="36">
        <v>0</v>
      </c>
      <c r="D62" s="36">
        <f>DEP!N52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44119.18</v>
      </c>
      <c r="J62" s="37">
        <f t="shared" si="10"/>
        <v>3.0158415283901781E-2</v>
      </c>
      <c r="K62" s="37"/>
    </row>
    <row r="63" spans="1:11" s="6" customFormat="1" ht="54.95" customHeight="1" x14ac:dyDescent="0.85">
      <c r="A63" s="31" t="s">
        <v>239</v>
      </c>
      <c r="B63" s="36">
        <f>CNT!N238</f>
        <v>6576.24</v>
      </c>
      <c r="C63" s="36">
        <v>0</v>
      </c>
      <c r="D63" s="36">
        <f>DEP!N55</f>
        <v>1602.28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8178.5199999999995</v>
      </c>
      <c r="J63" s="37">
        <f t="shared" si="10"/>
        <v>5.5905663379894272E-3</v>
      </c>
      <c r="K63" s="37"/>
    </row>
    <row r="64" spans="1:11" s="6" customFormat="1" ht="54.95" customHeight="1" x14ac:dyDescent="0.85">
      <c r="A64" s="31" t="s">
        <v>240</v>
      </c>
      <c r="B64" s="36">
        <f>CNT!N240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241</v>
      </c>
      <c r="B65" s="36">
        <f>CNT!N241+CNT!N246</f>
        <v>427204.03</v>
      </c>
      <c r="C65" s="36">
        <f>BPM!N60</f>
        <v>1673.16</v>
      </c>
      <c r="D65" s="36">
        <f>DEP!N56</f>
        <v>53828.75</v>
      </c>
      <c r="E65" s="36">
        <v>0</v>
      </c>
      <c r="F65" s="36">
        <f>'BSC (Dome)'!N54</f>
        <v>33649.08</v>
      </c>
      <c r="G65" s="36">
        <f>'Oliari Co.'!N14</f>
        <v>37007.090000000004</v>
      </c>
      <c r="H65" s="36">
        <f>'722 Bedford St'!N11</f>
        <v>58185.68</v>
      </c>
      <c r="I65" s="36">
        <f t="shared" si="9"/>
        <v>611547.79</v>
      </c>
      <c r="J65" s="37">
        <f t="shared" si="10"/>
        <v>0.41803388496278393</v>
      </c>
      <c r="K65" s="37"/>
    </row>
    <row r="66" spans="1:11" s="6" customFormat="1" ht="54.95" customHeight="1" x14ac:dyDescent="0.85">
      <c r="A66" s="31" t="s">
        <v>251</v>
      </c>
      <c r="B66" s="36">
        <f>CNT!N264</f>
        <v>4304.5599999999995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4304.5599999999995</v>
      </c>
      <c r="J66" s="37">
        <f t="shared" si="10"/>
        <v>2.9424551429666698E-3</v>
      </c>
      <c r="K66" s="37"/>
    </row>
    <row r="67" spans="1:11" s="6" customFormat="1" ht="54.95" customHeight="1" x14ac:dyDescent="0.85">
      <c r="A67" s="31" t="s">
        <v>349</v>
      </c>
      <c r="B67" s="36">
        <f>CNT!N278</f>
        <v>110</v>
      </c>
      <c r="C67" s="36">
        <f>BPM!N76</f>
        <v>0</v>
      </c>
      <c r="D67" s="36">
        <f>DEP!N76</f>
        <v>110</v>
      </c>
      <c r="E67" s="36">
        <f>Lending!N11</f>
        <v>110</v>
      </c>
      <c r="F67" s="36">
        <f>'BSC (Dome)'!N49</f>
        <v>110</v>
      </c>
      <c r="G67" s="36">
        <f>'Oliari Co.'!N13+'Oliari Co.'!N10</f>
        <v>0</v>
      </c>
      <c r="H67" s="36">
        <f>'722 Bedford St'!N10</f>
        <v>0</v>
      </c>
      <c r="I67" s="36">
        <f t="shared" si="9"/>
        <v>440</v>
      </c>
      <c r="J67" s="37">
        <f t="shared" si="10"/>
        <v>3.0076947769466214E-4</v>
      </c>
      <c r="K67" s="37"/>
    </row>
    <row r="68" spans="1:11" s="6" customFormat="1" ht="54.95" customHeight="1" x14ac:dyDescent="0.85">
      <c r="A68" s="31" t="s">
        <v>244</v>
      </c>
      <c r="B68" s="36">
        <f>CNT!N262</f>
        <v>6646.21</v>
      </c>
      <c r="C68" s="36">
        <f>BPM!N77</f>
        <v>477</v>
      </c>
      <c r="D68" s="36">
        <f>DEP!N58</f>
        <v>5448.72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12571.93</v>
      </c>
      <c r="J68" s="37">
        <f t="shared" si="10"/>
        <v>8.5937564084405758E-3</v>
      </c>
      <c r="K68" s="37"/>
    </row>
    <row r="69" spans="1:11" s="6" customFormat="1" ht="54.95" customHeight="1" x14ac:dyDescent="0.85">
      <c r="A69" s="31" t="s">
        <v>245</v>
      </c>
      <c r="B69" s="36">
        <f>CNT!N267+CNT!N245+CNT!N239</f>
        <v>34309.08</v>
      </c>
      <c r="C69" s="36">
        <f>BPM!N71</f>
        <v>1350</v>
      </c>
      <c r="D69" s="36">
        <f>DEP!N54</f>
        <v>29810.33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65469.41</v>
      </c>
      <c r="J69" s="37">
        <f t="shared" si="10"/>
        <v>4.4752727842449297E-2</v>
      </c>
      <c r="K69" s="37"/>
    </row>
    <row r="70" spans="1:11" s="6" customFormat="1" ht="54.95" customHeight="1" x14ac:dyDescent="0.85">
      <c r="A70" s="31" t="s">
        <v>361</v>
      </c>
      <c r="B70" s="36">
        <f>CNT!N242</f>
        <v>8913.15</v>
      </c>
      <c r="C70" s="36">
        <v>0</v>
      </c>
      <c r="D70" s="36">
        <f>DEP!N59</f>
        <v>116.71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9029.8599999999988</v>
      </c>
      <c r="J70" s="37">
        <f t="shared" si="10"/>
        <v>6.1725142633089125E-3</v>
      </c>
      <c r="K70" s="37"/>
    </row>
    <row r="71" spans="1:11" s="6" customFormat="1" ht="54.95" customHeight="1" x14ac:dyDescent="0.85">
      <c r="A71" s="31" t="s">
        <v>362</v>
      </c>
      <c r="B71" s="36">
        <f>CNT!N243+CNT!N284</f>
        <v>10208.789999999999</v>
      </c>
      <c r="C71" s="36">
        <f>BPM!N69+BPM!N70</f>
        <v>4750.5999999999995</v>
      </c>
      <c r="D71" s="36">
        <f>DEP!N60</f>
        <v>1350.94</v>
      </c>
      <c r="E71" s="36">
        <v>0</v>
      </c>
      <c r="F71" s="36">
        <f>'BSC (Dome)'!N57</f>
        <v>3230.44</v>
      </c>
      <c r="G71" s="36">
        <v>0</v>
      </c>
      <c r="H71" s="36">
        <v>0</v>
      </c>
      <c r="I71" s="36">
        <f t="shared" si="9"/>
        <v>19540.77</v>
      </c>
      <c r="J71" s="37">
        <f t="shared" si="10"/>
        <v>1.3357425424208006E-2</v>
      </c>
      <c r="K71" s="37"/>
    </row>
    <row r="72" spans="1:11" s="6" customFormat="1" ht="54.95" customHeight="1" x14ac:dyDescent="0.85">
      <c r="A72" s="35" t="s">
        <v>246</v>
      </c>
      <c r="B72" s="38">
        <f t="shared" ref="B72:H72" si="11">SUM(B50:B71)</f>
        <v>853458.78</v>
      </c>
      <c r="C72" s="38">
        <f t="shared" si="11"/>
        <v>23550.76</v>
      </c>
      <c r="D72" s="38">
        <f t="shared" si="11"/>
        <v>381681.15</v>
      </c>
      <c r="E72" s="38">
        <f t="shared" si="11"/>
        <v>110</v>
      </c>
      <c r="F72" s="38">
        <f t="shared" si="11"/>
        <v>108759.31</v>
      </c>
      <c r="G72" s="38">
        <f t="shared" si="11"/>
        <v>37168.720000000001</v>
      </c>
      <c r="H72" s="38">
        <f t="shared" si="11"/>
        <v>58185.68</v>
      </c>
      <c r="I72" s="38">
        <f t="shared" si="9"/>
        <v>1462914.4</v>
      </c>
      <c r="J72" s="39">
        <f>SUM(J50:J71)</f>
        <v>1</v>
      </c>
      <c r="K72" s="37"/>
    </row>
    <row r="73" spans="1:11" s="6" customFormat="1" ht="92.25" x14ac:dyDescent="1.35">
      <c r="A73" s="238">
        <v>2020</v>
      </c>
      <c r="B73" s="239"/>
      <c r="C73" s="239"/>
      <c r="D73" s="239"/>
      <c r="E73" s="239"/>
      <c r="F73" s="239"/>
      <c r="G73" s="239"/>
      <c r="H73" s="239"/>
      <c r="I73" s="239"/>
      <c r="J73" s="240"/>
      <c r="K73" s="31"/>
    </row>
    <row r="74" spans="1:11" s="6" customFormat="1" ht="92.25" x14ac:dyDescent="1.35">
      <c r="A74" s="241" t="s">
        <v>397</v>
      </c>
      <c r="B74" s="242"/>
      <c r="C74" s="242"/>
      <c r="D74" s="242"/>
      <c r="E74" s="242"/>
      <c r="F74" s="242"/>
      <c r="G74" s="242"/>
      <c r="H74" s="242"/>
      <c r="I74" s="242"/>
      <c r="J74" s="243"/>
      <c r="K74" s="32"/>
    </row>
    <row r="75" spans="1:11" s="6" customFormat="1" ht="92.25" x14ac:dyDescent="1.35">
      <c r="A75" s="241" t="s">
        <v>339</v>
      </c>
      <c r="B75" s="242"/>
      <c r="C75" s="242"/>
      <c r="D75" s="242"/>
      <c r="E75" s="242"/>
      <c r="F75" s="242"/>
      <c r="G75" s="242"/>
      <c r="H75" s="242"/>
      <c r="I75" s="242"/>
      <c r="J75" s="243"/>
      <c r="K75" s="32"/>
    </row>
    <row r="76" spans="1:11" s="6" customFormat="1" ht="92.25" x14ac:dyDescent="1.35">
      <c r="A76" s="235">
        <f>A4</f>
        <v>43951</v>
      </c>
      <c r="B76" s="236"/>
      <c r="C76" s="236"/>
      <c r="D76" s="236"/>
      <c r="E76" s="236"/>
      <c r="F76" s="236"/>
      <c r="G76" s="236"/>
      <c r="H76" s="236"/>
      <c r="I76" s="236"/>
      <c r="J76" s="237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204</v>
      </c>
      <c r="J77" s="32" t="s">
        <v>204</v>
      </c>
      <c r="K77" s="32"/>
    </row>
    <row r="78" spans="1:11" s="6" customFormat="1" ht="54.95" customHeight="1" x14ac:dyDescent="0.85">
      <c r="A78" s="31"/>
      <c r="B78" s="34" t="s">
        <v>209</v>
      </c>
      <c r="C78" s="34" t="s">
        <v>211</v>
      </c>
      <c r="D78" s="34" t="s">
        <v>210</v>
      </c>
      <c r="E78" s="34" t="s">
        <v>212</v>
      </c>
      <c r="F78" s="34" t="s">
        <v>213</v>
      </c>
      <c r="G78" s="34" t="s">
        <v>398</v>
      </c>
      <c r="H78" s="34" t="s">
        <v>410</v>
      </c>
      <c r="I78" s="34">
        <v>2019</v>
      </c>
      <c r="J78" s="32" t="s">
        <v>334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247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248</v>
      </c>
      <c r="B81" s="36">
        <f>CNT!N253</f>
        <v>6102.99</v>
      </c>
      <c r="C81" s="36">
        <v>0</v>
      </c>
      <c r="D81" s="36">
        <f>DEP!N64</f>
        <v>711.54000000000008</v>
      </c>
      <c r="E81" s="36">
        <v>0</v>
      </c>
      <c r="F81" s="36">
        <f>'BSC (Dome)'!N61</f>
        <v>1551.92</v>
      </c>
      <c r="G81" s="36">
        <v>0</v>
      </c>
      <c r="H81" s="36">
        <v>0</v>
      </c>
      <c r="I81" s="36">
        <f t="shared" ref="I81:I104" si="12">SUM(B81:H81)</f>
        <v>8366.4500000000007</v>
      </c>
      <c r="J81" s="37">
        <f t="shared" ref="J81:J101" si="13">I81/$I$102</f>
        <v>2.6838285157256964E-2</v>
      </c>
      <c r="K81" s="37"/>
    </row>
    <row r="82" spans="1:11" s="6" customFormat="1" ht="54.95" customHeight="1" x14ac:dyDescent="0.85">
      <c r="A82" s="31" t="s">
        <v>384</v>
      </c>
      <c r="B82" s="36">
        <f>CNT!N251</f>
        <v>738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738</v>
      </c>
      <c r="J82" s="37">
        <f t="shared" si="13"/>
        <v>2.3673905235859459E-3</v>
      </c>
      <c r="K82" s="37"/>
    </row>
    <row r="83" spans="1:11" s="6" customFormat="1" ht="54.95" customHeight="1" x14ac:dyDescent="0.85">
      <c r="A83" s="31" t="s">
        <v>532</v>
      </c>
      <c r="B83" s="36">
        <v>0</v>
      </c>
      <c r="C83" s="36">
        <v>0</v>
      </c>
      <c r="D83" s="36">
        <v>0</v>
      </c>
      <c r="E83" s="36">
        <f>Lending!N9</f>
        <v>0</v>
      </c>
      <c r="F83" s="36">
        <v>0</v>
      </c>
      <c r="G83" s="36">
        <v>0</v>
      </c>
      <c r="H83" s="36">
        <v>0</v>
      </c>
      <c r="I83" s="36">
        <f t="shared" si="12"/>
        <v>0</v>
      </c>
      <c r="J83" s="37">
        <f t="shared" si="13"/>
        <v>0</v>
      </c>
      <c r="K83" s="37"/>
    </row>
    <row r="84" spans="1:11" s="6" customFormat="1" ht="54.95" customHeight="1" x14ac:dyDescent="0.85">
      <c r="A84" s="31" t="s">
        <v>249</v>
      </c>
      <c r="B84" s="36">
        <f>CNT!N254</f>
        <v>29321.519999999997</v>
      </c>
      <c r="C84" s="36">
        <f>BPM!N65</f>
        <v>391.37</v>
      </c>
      <c r="D84" s="36">
        <f>DEP!N65</f>
        <v>1097.3600000000001</v>
      </c>
      <c r="E84" s="36">
        <f>Lending!N10</f>
        <v>7.8900000000000006</v>
      </c>
      <c r="F84" s="36">
        <f>'BSC (Dome)'!N62</f>
        <v>0</v>
      </c>
      <c r="G84" s="36">
        <f>-'Oliari Co.'!N27</f>
        <v>0</v>
      </c>
      <c r="H84" s="36">
        <f>'722 Bedford St'!N16</f>
        <v>0</v>
      </c>
      <c r="I84" s="36">
        <f t="shared" si="12"/>
        <v>30818.139999999996</v>
      </c>
      <c r="J84" s="37">
        <f t="shared" si="13"/>
        <v>9.8859854458733035E-2</v>
      </c>
      <c r="K84" s="37"/>
    </row>
    <row r="85" spans="1:11" s="6" customFormat="1" ht="54.95" customHeight="1" x14ac:dyDescent="0.85">
      <c r="A85" s="31" t="s">
        <v>356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3386.15</v>
      </c>
      <c r="G85" s="36">
        <v>0</v>
      </c>
      <c r="H85" s="36">
        <v>0</v>
      </c>
      <c r="I85" s="36">
        <f t="shared" si="12"/>
        <v>3386.15</v>
      </c>
      <c r="J85" s="37">
        <f t="shared" si="13"/>
        <v>1.0862248538537332E-2</v>
      </c>
      <c r="K85" s="37"/>
    </row>
    <row r="86" spans="1:11" s="6" customFormat="1" ht="54.95" customHeight="1" x14ac:dyDescent="0.85">
      <c r="A86" s="31" t="s">
        <v>250</v>
      </c>
      <c r="B86" s="36">
        <f>CNT!N256</f>
        <v>7094.8099999999995</v>
      </c>
      <c r="C86" s="36">
        <v>0</v>
      </c>
      <c r="D86" s="36">
        <f>DEP!N75</f>
        <v>0</v>
      </c>
      <c r="E86" s="36">
        <v>0</v>
      </c>
      <c r="F86" s="36">
        <f>'BSC (Dome)'!N67</f>
        <v>179.83</v>
      </c>
      <c r="G86" s="36">
        <f>'Oliari Co.'!N12</f>
        <v>3443.72</v>
      </c>
      <c r="H86" s="36">
        <v>0</v>
      </c>
      <c r="I86" s="36">
        <f t="shared" si="12"/>
        <v>10718.359999999999</v>
      </c>
      <c r="J86" s="37">
        <f t="shared" si="13"/>
        <v>3.4382850802686528E-2</v>
      </c>
      <c r="K86" s="37"/>
    </row>
    <row r="87" spans="1:11" s="6" customFormat="1" ht="54.95" customHeight="1" x14ac:dyDescent="0.85">
      <c r="A87" s="31" t="s">
        <v>353</v>
      </c>
      <c r="B87" s="36">
        <f>CNT!N275</f>
        <v>78333.320000000007</v>
      </c>
      <c r="C87" s="36">
        <f>BPM!N73</f>
        <v>1540</v>
      </c>
      <c r="D87" s="36">
        <f>DEP!N69</f>
        <v>13000</v>
      </c>
      <c r="E87" s="36">
        <f>Lending!N13</f>
        <v>1000</v>
      </c>
      <c r="F87" s="36">
        <f>'BSC (Dome)'!N68</f>
        <v>1000</v>
      </c>
      <c r="G87" s="36">
        <f>'Oliari Co.'!N18</f>
        <v>1000</v>
      </c>
      <c r="H87" s="36">
        <f>'722 Bedford St'!N15</f>
        <v>1333.32</v>
      </c>
      <c r="I87" s="36">
        <f t="shared" si="12"/>
        <v>97206.640000000014</v>
      </c>
      <c r="J87" s="37">
        <f t="shared" si="13"/>
        <v>0.31182395442497368</v>
      </c>
      <c r="K87" s="37"/>
    </row>
    <row r="88" spans="1:11" s="6" customFormat="1" ht="54.95" customHeight="1" x14ac:dyDescent="0.85">
      <c r="A88" s="31" t="s">
        <v>354</v>
      </c>
      <c r="B88" s="36">
        <f>CNT!N276</f>
        <v>33750</v>
      </c>
      <c r="C88" s="36">
        <f>BPM!N74</f>
        <v>11434.29</v>
      </c>
      <c r="D88" s="36">
        <f>DEP!N70</f>
        <v>10500</v>
      </c>
      <c r="E88" s="36">
        <v>0</v>
      </c>
      <c r="F88" s="36">
        <f>'BSC (Dome)'!N69</f>
        <v>4500</v>
      </c>
      <c r="G88" s="36">
        <v>0</v>
      </c>
      <c r="H88" s="36">
        <v>0</v>
      </c>
      <c r="I88" s="36">
        <f t="shared" si="12"/>
        <v>60184.29</v>
      </c>
      <c r="J88" s="37">
        <f t="shared" si="13"/>
        <v>0.19306194825846668</v>
      </c>
      <c r="K88" s="37"/>
    </row>
    <row r="89" spans="1:11" s="6" customFormat="1" ht="54.95" customHeight="1" x14ac:dyDescent="0.85">
      <c r="A89" s="31" t="s">
        <v>355</v>
      </c>
      <c r="B89" s="36">
        <f>CNT!N274</f>
        <v>29156.6</v>
      </c>
      <c r="C89" s="36">
        <f>BPM!N72</f>
        <v>8510</v>
      </c>
      <c r="D89" s="36">
        <f>DEP!N68</f>
        <v>1333.32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38999.919999999998</v>
      </c>
      <c r="J89" s="37">
        <f t="shared" si="13"/>
        <v>0.12510574665123306</v>
      </c>
      <c r="K89" s="37"/>
    </row>
    <row r="90" spans="1:11" s="6" customFormat="1" ht="54.95" customHeight="1" x14ac:dyDescent="0.85">
      <c r="A90" s="31" t="s">
        <v>393</v>
      </c>
      <c r="B90" s="36">
        <f>CNT!N277</f>
        <v>0</v>
      </c>
      <c r="C90" s="36">
        <f>BPM!N75</f>
        <v>0</v>
      </c>
      <c r="D90" s="36">
        <f>DEP!N72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0</v>
      </c>
      <c r="J90" s="37">
        <f t="shared" si="13"/>
        <v>0</v>
      </c>
      <c r="K90" s="37"/>
    </row>
    <row r="91" spans="1:11" s="6" customFormat="1" ht="54.95" customHeight="1" x14ac:dyDescent="0.85">
      <c r="A91" s="31" t="s">
        <v>382</v>
      </c>
      <c r="B91" s="36">
        <v>0</v>
      </c>
      <c r="C91" s="36">
        <v>0</v>
      </c>
      <c r="D91" s="36">
        <f>DEP!N71</f>
        <v>3666.67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3666.67</v>
      </c>
      <c r="J91" s="37">
        <f t="shared" si="13"/>
        <v>1.1762113565199026E-2</v>
      </c>
      <c r="K91" s="37"/>
    </row>
    <row r="92" spans="1:11" s="6" customFormat="1" ht="54.95" customHeight="1" x14ac:dyDescent="0.85">
      <c r="A92" s="31" t="s">
        <v>252</v>
      </c>
      <c r="B92" s="36">
        <f>CNT!N260+CNT!N279</f>
        <v>4296.8599999999997</v>
      </c>
      <c r="C92" s="36">
        <f>BPM!N66</f>
        <v>0</v>
      </c>
      <c r="D92" s="36">
        <f>DEP!N67</f>
        <v>0</v>
      </c>
      <c r="E92" s="36">
        <v>0</v>
      </c>
      <c r="F92" s="36">
        <f>'BSC (Dome)'!N65:N65</f>
        <v>2123.89</v>
      </c>
      <c r="G92" s="36">
        <v>0</v>
      </c>
      <c r="H92" s="36">
        <v>0</v>
      </c>
      <c r="I92" s="36">
        <f t="shared" si="12"/>
        <v>6420.75</v>
      </c>
      <c r="J92" s="37">
        <f t="shared" si="13"/>
        <v>2.0596778732133419E-2</v>
      </c>
      <c r="K92" s="37"/>
    </row>
    <row r="93" spans="1:11" s="6" customFormat="1" ht="54.95" customHeight="1" x14ac:dyDescent="0.85">
      <c r="A93" s="31" t="s">
        <v>253</v>
      </c>
      <c r="B93" s="36">
        <f>CNT!N265</f>
        <v>3988</v>
      </c>
      <c r="C93" s="36">
        <f>BPM!N68</f>
        <v>0</v>
      </c>
      <c r="D93" s="36">
        <f>DEP!N77</f>
        <v>225</v>
      </c>
      <c r="E93" s="36">
        <v>0</v>
      </c>
      <c r="F93" s="36">
        <f>'BSC (Dome)'!N71</f>
        <v>0</v>
      </c>
      <c r="G93" s="36">
        <v>0</v>
      </c>
      <c r="H93" s="36">
        <v>0</v>
      </c>
      <c r="I93" s="36">
        <f t="shared" si="12"/>
        <v>4213</v>
      </c>
      <c r="J93" s="37">
        <f t="shared" si="13"/>
        <v>1.3514656200362589E-2</v>
      </c>
      <c r="K93" s="37"/>
    </row>
    <row r="94" spans="1:11" s="6" customFormat="1" ht="54.95" customHeight="1" x14ac:dyDescent="0.85">
      <c r="A94" s="31" t="s">
        <v>254</v>
      </c>
      <c r="B94" s="36">
        <f>CNT!N266</f>
        <v>2927.44</v>
      </c>
      <c r="C94" s="36">
        <f>0</f>
        <v>0</v>
      </c>
      <c r="D94" s="36">
        <f>DEP!N74</f>
        <v>2205.44</v>
      </c>
      <c r="E94" s="36">
        <v>0</v>
      </c>
      <c r="F94" s="36">
        <v>0</v>
      </c>
      <c r="G94" s="36">
        <v>0</v>
      </c>
      <c r="H94" s="36">
        <v>0</v>
      </c>
      <c r="I94" s="36">
        <f t="shared" si="12"/>
        <v>5132.88</v>
      </c>
      <c r="J94" s="37">
        <f t="shared" si="13"/>
        <v>1.6465489797701668E-2</v>
      </c>
      <c r="K94" s="37"/>
    </row>
    <row r="95" spans="1:11" s="6" customFormat="1" ht="54.95" customHeight="1" x14ac:dyDescent="0.85">
      <c r="A95" s="31" t="s">
        <v>291</v>
      </c>
      <c r="B95" s="36">
        <f>CNT!N255</f>
        <v>0</v>
      </c>
      <c r="C95" s="36">
        <f>0</f>
        <v>0</v>
      </c>
      <c r="D95" s="36">
        <f>DEP!N66</f>
        <v>300</v>
      </c>
      <c r="E95" s="36">
        <v>0</v>
      </c>
      <c r="F95" s="36">
        <f>'BSC (Dome)'!N64</f>
        <v>0</v>
      </c>
      <c r="G95" s="36">
        <v>0</v>
      </c>
      <c r="H95" s="36">
        <v>0</v>
      </c>
      <c r="I95" s="36">
        <f t="shared" si="12"/>
        <v>300</v>
      </c>
      <c r="J95" s="37">
        <f t="shared" si="13"/>
        <v>9.6235387137640082E-4</v>
      </c>
      <c r="K95" s="37"/>
    </row>
    <row r="96" spans="1:11" s="6" customFormat="1" ht="54.95" customHeight="1" x14ac:dyDescent="0.85">
      <c r="A96" s="31" t="s">
        <v>368</v>
      </c>
      <c r="B96" s="36">
        <f>CNT!N261</f>
        <v>2479.3199999999997</v>
      </c>
      <c r="C96" s="36">
        <f>BPM!N67</f>
        <v>28.69</v>
      </c>
      <c r="D96" s="36">
        <v>0</v>
      </c>
      <c r="E96" s="36">
        <v>0</v>
      </c>
      <c r="F96" s="36">
        <f>'BSC (Dome)'!N66</f>
        <v>8438.91</v>
      </c>
      <c r="G96" s="36">
        <v>0</v>
      </c>
      <c r="H96" s="36">
        <v>0</v>
      </c>
      <c r="I96" s="36">
        <f t="shared" si="12"/>
        <v>10946.92</v>
      </c>
      <c r="J96" s="37">
        <f t="shared" si="13"/>
        <v>3.5116036138825829E-2</v>
      </c>
      <c r="K96" s="37"/>
    </row>
    <row r="97" spans="1:33" s="6" customFormat="1" ht="54.95" customHeight="1" x14ac:dyDescent="0.85">
      <c r="A97" s="31" t="s">
        <v>255</v>
      </c>
      <c r="B97" s="36">
        <f>CNT!N268</f>
        <v>8986.0499999999993</v>
      </c>
      <c r="C97" s="36">
        <f>BPM!N79</f>
        <v>0</v>
      </c>
      <c r="D97" s="36">
        <f>DEP!N73</f>
        <v>0</v>
      </c>
      <c r="E97" s="36">
        <v>0</v>
      </c>
      <c r="F97" s="36">
        <v>0</v>
      </c>
      <c r="G97" s="36">
        <v>0</v>
      </c>
      <c r="H97" s="36">
        <v>0</v>
      </c>
      <c r="I97" s="36">
        <f t="shared" si="12"/>
        <v>8986.0499999999993</v>
      </c>
      <c r="J97" s="37">
        <f t="shared" si="13"/>
        <v>2.882586668627302E-2</v>
      </c>
      <c r="K97" s="37"/>
    </row>
    <row r="98" spans="1:33" s="6" customFormat="1" ht="54.95" customHeight="1" x14ac:dyDescent="0.85">
      <c r="A98" s="31" t="s">
        <v>256</v>
      </c>
      <c r="B98" s="36">
        <f>CNT!N269+CNT!N281</f>
        <v>8351</v>
      </c>
      <c r="C98" s="36">
        <v>0</v>
      </c>
      <c r="D98" s="36">
        <f>DEP!N53</f>
        <v>365.96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8716.9599999999991</v>
      </c>
      <c r="J98" s="37">
        <f t="shared" si="13"/>
        <v>2.7962667342110767E-2</v>
      </c>
      <c r="K98" s="37"/>
    </row>
    <row r="99" spans="1:33" s="6" customFormat="1" ht="54.95" customHeight="1" x14ac:dyDescent="0.85">
      <c r="A99" s="31" t="s">
        <v>623</v>
      </c>
      <c r="B99" s="36">
        <f>CNT!N280</f>
        <v>55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55</v>
      </c>
      <c r="J99" s="37">
        <f t="shared" si="13"/>
        <v>1.7643154308567347E-4</v>
      </c>
      <c r="K99" s="37"/>
    </row>
    <row r="100" spans="1:33" s="6" customFormat="1" ht="54.95" customHeight="1" x14ac:dyDescent="0.85">
      <c r="A100" s="31" t="s">
        <v>257</v>
      </c>
      <c r="B100" s="36">
        <f>CNT!N270</f>
        <v>1117.76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1117.76</v>
      </c>
      <c r="J100" s="37">
        <f t="shared" si="13"/>
        <v>3.5856022108989526E-3</v>
      </c>
      <c r="K100" s="37"/>
    </row>
    <row r="101" spans="1:33" s="6" customFormat="1" ht="54.95" customHeight="1" x14ac:dyDescent="0.85">
      <c r="A101" s="31" t="s">
        <v>258</v>
      </c>
      <c r="B101" s="36">
        <f>CNT!N271+CNT!N283</f>
        <v>11015.49</v>
      </c>
      <c r="C101" s="36">
        <f>BPM!N78</f>
        <v>0</v>
      </c>
      <c r="D101" s="36">
        <f>DEP!N57</f>
        <v>746.21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11761.7</v>
      </c>
      <c r="J101" s="37">
        <f t="shared" si="13"/>
        <v>3.7729725096559377E-2</v>
      </c>
      <c r="K101" s="37"/>
      <c r="AG101" s="10"/>
    </row>
    <row r="102" spans="1:33" s="6" customFormat="1" ht="54.95" customHeight="1" x14ac:dyDescent="0.85">
      <c r="A102" s="35" t="s">
        <v>260</v>
      </c>
      <c r="B102" s="38">
        <f>SUM(B81:B101)</f>
        <v>227714.16</v>
      </c>
      <c r="C102" s="38">
        <f t="shared" ref="C102:H102" si="14">SUM(C81:C101)</f>
        <v>21904.35</v>
      </c>
      <c r="D102" s="38">
        <f t="shared" si="14"/>
        <v>34151.5</v>
      </c>
      <c r="E102" s="38">
        <f t="shared" si="14"/>
        <v>1007.89</v>
      </c>
      <c r="F102" s="38">
        <f>SUM(F81:F101)</f>
        <v>21180.699999999997</v>
      </c>
      <c r="G102" s="38">
        <f t="shared" si="14"/>
        <v>4443.7199999999993</v>
      </c>
      <c r="H102" s="38">
        <f t="shared" si="14"/>
        <v>1333.32</v>
      </c>
      <c r="I102" s="38">
        <f t="shared" si="12"/>
        <v>311735.64</v>
      </c>
      <c r="J102" s="39">
        <f>SUM(J81:J101)</f>
        <v>1.0000000000000002</v>
      </c>
      <c r="K102" s="37"/>
      <c r="AG102" s="10"/>
    </row>
    <row r="103" spans="1:33" s="6" customFormat="1" ht="54.95" customHeight="1" x14ac:dyDescent="0.85">
      <c r="A103" s="31"/>
      <c r="B103" s="36"/>
      <c r="C103" s="36"/>
      <c r="D103" s="36"/>
      <c r="E103" s="36"/>
      <c r="F103" s="36"/>
      <c r="G103" s="36"/>
      <c r="H103" s="36"/>
      <c r="I103" s="36">
        <f t="shared" si="12"/>
        <v>0</v>
      </c>
      <c r="J103" s="31"/>
      <c r="K103" s="31"/>
      <c r="AG103" s="10"/>
    </row>
    <row r="104" spans="1:33" s="6" customFormat="1" ht="54.95" customHeight="1" thickBot="1" x14ac:dyDescent="0.9">
      <c r="A104" s="35" t="s">
        <v>261</v>
      </c>
      <c r="B104" s="203">
        <f t="shared" ref="B104:H104" si="15">B47+B72+B102</f>
        <v>5556342.4600000009</v>
      </c>
      <c r="C104" s="40">
        <f t="shared" si="15"/>
        <v>136124.30000000002</v>
      </c>
      <c r="D104" s="40">
        <f t="shared" si="15"/>
        <v>925938.99000000011</v>
      </c>
      <c r="E104" s="40">
        <f t="shared" si="15"/>
        <v>1117.8899999999999</v>
      </c>
      <c r="F104" s="40">
        <f t="shared" si="15"/>
        <v>268685.63</v>
      </c>
      <c r="G104" s="40">
        <f t="shared" si="15"/>
        <v>41612.44</v>
      </c>
      <c r="H104" s="40">
        <f t="shared" si="15"/>
        <v>59519</v>
      </c>
      <c r="I104" s="40">
        <f t="shared" si="12"/>
        <v>6989340.7100000009</v>
      </c>
      <c r="J104" s="36">
        <f>SUM(I37:I46)+SUM(I50:I71)+SUM(I81:I101)-I104</f>
        <v>0</v>
      </c>
      <c r="K104" s="31"/>
      <c r="AG104" s="10"/>
    </row>
    <row r="105" spans="1:33" s="6" customFormat="1" ht="54.95" customHeight="1" x14ac:dyDescent="0.85">
      <c r="A105" s="31"/>
      <c r="B105" s="36"/>
      <c r="C105" s="36"/>
      <c r="D105" s="36"/>
      <c r="E105" s="36"/>
      <c r="F105" s="36"/>
      <c r="G105" s="36"/>
      <c r="H105" s="36"/>
      <c r="I105" s="36"/>
      <c r="J105" s="31"/>
      <c r="K105" s="31"/>
      <c r="AG105" s="10"/>
    </row>
    <row r="106" spans="1:33" s="6" customFormat="1" ht="54.95" customHeight="1" x14ac:dyDescent="0.85">
      <c r="A106" s="35" t="s">
        <v>453</v>
      </c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1" t="s">
        <v>264</v>
      </c>
      <c r="B107" s="36">
        <f>CNT!N288</f>
        <v>50000</v>
      </c>
      <c r="C107" s="36">
        <v>0</v>
      </c>
      <c r="D107" s="36">
        <f>DEP!N83</f>
        <v>50000</v>
      </c>
      <c r="E107" s="36">
        <v>0</v>
      </c>
      <c r="F107" s="36">
        <f>'BSC (Dome)'!N77+'BSC (Dome)'!N78</f>
        <v>21000</v>
      </c>
      <c r="G107" s="36">
        <f>'Oliari Co.'!N24+'Oliari Co.'!N25+'Oliari Co.'!N26</f>
        <v>85800</v>
      </c>
      <c r="H107" s="36">
        <f>'722 Bedford St'!N22+'722 Bedford St'!N23</f>
        <v>130000</v>
      </c>
      <c r="I107" s="36">
        <f t="shared" ref="I107:I125" si="16">SUM(B107:H107)</f>
        <v>336800</v>
      </c>
      <c r="J107" s="37"/>
      <c r="K107" s="37"/>
      <c r="AG107" s="10"/>
    </row>
    <row r="108" spans="1:33" s="6" customFormat="1" ht="54.95" customHeight="1" x14ac:dyDescent="0.85">
      <c r="A108" s="31" t="s">
        <v>265</v>
      </c>
      <c r="B108" s="36">
        <f>CNT!N289</f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f t="shared" si="16"/>
        <v>0</v>
      </c>
      <c r="J108" s="37"/>
      <c r="K108" s="37"/>
      <c r="AG108" s="10"/>
    </row>
    <row r="109" spans="1:33" s="6" customFormat="1" ht="54.95" customHeight="1" x14ac:dyDescent="0.85">
      <c r="A109" s="31" t="s">
        <v>323</v>
      </c>
      <c r="B109" s="36">
        <v>0</v>
      </c>
      <c r="C109" s="36">
        <f>-BPM!N83</f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379</v>
      </c>
      <c r="B110" s="36">
        <f>CNT!N290</f>
        <v>1408.25</v>
      </c>
      <c r="C110" s="36">
        <f>BPM!N84</f>
        <v>-1408.25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266</v>
      </c>
      <c r="B111" s="36">
        <f>CNT!N291</f>
        <v>52599</v>
      </c>
      <c r="C111" s="36">
        <v>0</v>
      </c>
      <c r="D111" s="36">
        <f>DEP!N84</f>
        <v>6587.7199999999993</v>
      </c>
      <c r="E111" s="36">
        <v>0</v>
      </c>
      <c r="F111" s="36">
        <v>0</v>
      </c>
      <c r="G111" s="36">
        <v>0</v>
      </c>
      <c r="H111" s="36">
        <f>'722 Bedford St'!N25</f>
        <v>0</v>
      </c>
      <c r="I111" s="36">
        <f t="shared" si="16"/>
        <v>59186.720000000001</v>
      </c>
      <c r="J111" s="37"/>
      <c r="K111" s="37"/>
      <c r="AG111" s="10"/>
    </row>
    <row r="112" spans="1:33" s="6" customFormat="1" ht="54.95" customHeight="1" x14ac:dyDescent="0.85">
      <c r="A112" s="31" t="s">
        <v>267</v>
      </c>
      <c r="B112" s="36">
        <f>CNT!N292</f>
        <v>87335.18</v>
      </c>
      <c r="C112" s="36">
        <f>BPM!N85</f>
        <v>1190</v>
      </c>
      <c r="D112" s="36">
        <f>DEP!N85</f>
        <v>57475</v>
      </c>
      <c r="E112" s="36">
        <f>Lending!N17</f>
        <v>22848.980000000003</v>
      </c>
      <c r="F112" s="36">
        <f>'BSC (Dome)'!N79</f>
        <v>2520.83</v>
      </c>
      <c r="G112" s="36">
        <f>'Oliari Co.'!N29</f>
        <v>17940.059999999998</v>
      </c>
      <c r="H112" s="36">
        <f>'722 Bedford St'!N26</f>
        <v>7562.5</v>
      </c>
      <c r="I112" s="36">
        <f t="shared" si="16"/>
        <v>196872.55</v>
      </c>
      <c r="J112" s="37"/>
      <c r="K112" s="37"/>
      <c r="AG112" s="10"/>
    </row>
    <row r="113" spans="1:33" s="6" customFormat="1" ht="54.95" customHeight="1" x14ac:dyDescent="0.85">
      <c r="A113" s="31" t="s">
        <v>268</v>
      </c>
      <c r="B113" s="36">
        <f>CNT!N293</f>
        <v>-119592.64000000001</v>
      </c>
      <c r="C113" s="36">
        <v>0</v>
      </c>
      <c r="D113" s="36">
        <v>0</v>
      </c>
      <c r="E113" s="36">
        <f>Lending!N18</f>
        <v>-5255.35</v>
      </c>
      <c r="F113" s="36">
        <f>'BSC (Dome)'!N81+'BSC (Dome)'!N82</f>
        <v>-37133.229999999996</v>
      </c>
      <c r="G113" s="36">
        <f>'Oliari Co.'!N30</f>
        <v>0</v>
      </c>
      <c r="H113" s="36">
        <f>'722 Bedford St'!N27</f>
        <v>0</v>
      </c>
      <c r="I113" s="36">
        <f t="shared" si="16"/>
        <v>-161981.22000000003</v>
      </c>
      <c r="J113" s="37"/>
      <c r="K113" s="37"/>
      <c r="AG113" s="10"/>
    </row>
    <row r="114" spans="1:33" s="6" customFormat="1" ht="54.95" customHeight="1" x14ac:dyDescent="0.85">
      <c r="A114" s="31" t="s">
        <v>595</v>
      </c>
      <c r="B114" s="36">
        <f>CNT!N294</f>
        <v>-363.79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f t="shared" si="16"/>
        <v>-363.79</v>
      </c>
      <c r="J114" s="37"/>
      <c r="K114" s="37"/>
      <c r="AG114" s="10"/>
    </row>
    <row r="115" spans="1:33" s="6" customFormat="1" ht="54.95" customHeight="1" x14ac:dyDescent="0.85">
      <c r="A115" s="31" t="s">
        <v>269</v>
      </c>
      <c r="B115" s="36">
        <f>CNT!N295</f>
        <v>0</v>
      </c>
      <c r="C115" s="36">
        <v>0</v>
      </c>
      <c r="D115" s="36">
        <v>0</v>
      </c>
      <c r="E115" s="36">
        <v>0</v>
      </c>
      <c r="F115" s="36">
        <f>'BSC (Dome)'!N80</f>
        <v>0</v>
      </c>
      <c r="G115" s="36">
        <f>'Oliari Co.'!N28</f>
        <v>0</v>
      </c>
      <c r="H115" s="36">
        <f>'722 Bedford St'!N24</f>
        <v>0</v>
      </c>
      <c r="I115" s="36">
        <f t="shared" si="16"/>
        <v>0</v>
      </c>
      <c r="J115" s="37"/>
      <c r="K115" s="37"/>
      <c r="AG115" s="10"/>
    </row>
    <row r="116" spans="1:33" s="6" customFormat="1" ht="54.95" customHeight="1" x14ac:dyDescent="0.85">
      <c r="A116" s="31" t="s">
        <v>581</v>
      </c>
      <c r="B116" s="36">
        <v>0</v>
      </c>
      <c r="C116" s="36">
        <v>0</v>
      </c>
      <c r="D116" s="36">
        <v>0</v>
      </c>
      <c r="E116" s="36">
        <f>Lending!N19</f>
        <v>0</v>
      </c>
      <c r="F116" s="36">
        <v>0</v>
      </c>
      <c r="G116" s="36">
        <v>0</v>
      </c>
      <c r="H116" s="36"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394</v>
      </c>
      <c r="B117" s="36">
        <f>CNT!N296</f>
        <v>76388.679999999993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f t="shared" si="16"/>
        <v>76388.679999999993</v>
      </c>
      <c r="J117" s="37"/>
      <c r="K117" s="37"/>
      <c r="AG117" s="10"/>
    </row>
    <row r="118" spans="1:33" s="6" customFormat="1" ht="54.95" customHeight="1" x14ac:dyDescent="0.85">
      <c r="A118" s="31" t="s">
        <v>429</v>
      </c>
      <c r="B118" s="36">
        <f>CNT!N297</f>
        <v>2783.0600000000004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2783.0600000000004</v>
      </c>
      <c r="J118" s="37"/>
      <c r="K118" s="37"/>
      <c r="AG118" s="10"/>
    </row>
    <row r="119" spans="1:33" s="6" customFormat="1" ht="54.95" customHeight="1" x14ac:dyDescent="0.85">
      <c r="A119" s="31" t="s">
        <v>430</v>
      </c>
      <c r="B119" s="36">
        <f>CNT!N298</f>
        <v>1564.3600000000001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1564.3600000000001</v>
      </c>
      <c r="J119" s="37"/>
      <c r="K119" s="37"/>
      <c r="AG119" s="10"/>
    </row>
    <row r="120" spans="1:33" s="42" customFormat="1" ht="69.95" customHeight="1" x14ac:dyDescent="1.05">
      <c r="A120" s="31" t="s">
        <v>396</v>
      </c>
      <c r="B120" s="36">
        <f>CNT!N299</f>
        <v>80465.759999999995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80465.759999999995</v>
      </c>
      <c r="J120" s="37"/>
      <c r="K120" s="37"/>
      <c r="L120" s="6"/>
      <c r="AG120" s="43"/>
    </row>
    <row r="121" spans="1:33" x14ac:dyDescent="0.85">
      <c r="A121" s="31" t="s">
        <v>525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0</v>
      </c>
      <c r="J121" s="37"/>
      <c r="K121" s="37"/>
      <c r="L121" s="6"/>
    </row>
    <row r="122" spans="1:33" s="46" customFormat="1" x14ac:dyDescent="0.85">
      <c r="A122" s="31" t="s">
        <v>440</v>
      </c>
      <c r="B122" s="36">
        <f>CNT!N300</f>
        <v>805.72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805.72</v>
      </c>
      <c r="J122" s="37"/>
      <c r="K122" s="37"/>
      <c r="L122" s="6"/>
    </row>
    <row r="123" spans="1:33" s="46" customFormat="1" x14ac:dyDescent="0.85">
      <c r="A123" s="35" t="s">
        <v>454</v>
      </c>
      <c r="B123" s="204">
        <f>SUM(B107:B122)</f>
        <v>233393.58</v>
      </c>
      <c r="C123" s="38">
        <f>SUM(C107:C122)</f>
        <v>-218.25</v>
      </c>
      <c r="D123" s="38">
        <f t="shared" ref="D123:H123" si="17">SUM(D107:D122)</f>
        <v>114062.72</v>
      </c>
      <c r="E123" s="38">
        <f t="shared" si="17"/>
        <v>17593.630000000005</v>
      </c>
      <c r="F123" s="38">
        <f t="shared" si="17"/>
        <v>-13612.399999999994</v>
      </c>
      <c r="G123" s="38">
        <f t="shared" si="17"/>
        <v>103740.06</v>
      </c>
      <c r="H123" s="38">
        <f t="shared" si="17"/>
        <v>137562.5</v>
      </c>
      <c r="I123" s="38">
        <f>SUM(I107:I122)</f>
        <v>592521.84</v>
      </c>
      <c r="J123" s="41">
        <f>SUM(I107:I122)-I123</f>
        <v>0</v>
      </c>
      <c r="K123" s="37"/>
      <c r="L123" s="6"/>
    </row>
    <row r="124" spans="1:33" s="6" customFormat="1" ht="54.95" hidden="1" customHeight="1" x14ac:dyDescent="0.85">
      <c r="A124" s="35"/>
      <c r="B124" s="36"/>
      <c r="C124" s="36"/>
      <c r="D124" s="36"/>
      <c r="E124" s="36"/>
      <c r="F124" s="36"/>
      <c r="G124" s="36"/>
      <c r="H124" s="36"/>
      <c r="I124" s="36">
        <f t="shared" si="16"/>
        <v>0</v>
      </c>
      <c r="J124" s="37"/>
      <c r="K124" s="37"/>
      <c r="M124" s="64"/>
      <c r="N124" s="64"/>
      <c r="O124" s="64"/>
      <c r="P124" s="64"/>
      <c r="Q124" s="64"/>
      <c r="R124" s="64" t="s">
        <v>499</v>
      </c>
      <c r="S124" s="64"/>
      <c r="T124" s="36"/>
      <c r="U124" s="37"/>
      <c r="V124" s="31"/>
      <c r="W124" s="37"/>
      <c r="X124" s="36"/>
      <c r="Y124" s="37"/>
      <c r="Z124" s="36"/>
      <c r="AA124" s="37"/>
      <c r="AB124" s="36"/>
      <c r="AC124" s="36"/>
      <c r="AD124" s="52"/>
      <c r="AE124" s="52"/>
      <c r="AF124" s="52"/>
      <c r="AG124" s="10"/>
    </row>
    <row r="125" spans="1:33" s="6" customFormat="1" ht="54.95" hidden="1" customHeight="1" x14ac:dyDescent="1.05">
      <c r="A125" s="45" t="s">
        <v>263</v>
      </c>
      <c r="B125" s="44">
        <f t="shared" ref="B125:H125" si="18">B32-B104+B123</f>
        <v>17076332.529998414</v>
      </c>
      <c r="C125" s="44">
        <f t="shared" si="18"/>
        <v>9330.5899999987159</v>
      </c>
      <c r="D125" s="44">
        <f t="shared" si="18"/>
        <v>1209123.51</v>
      </c>
      <c r="E125" s="44">
        <f t="shared" si="18"/>
        <v>16475.740000000005</v>
      </c>
      <c r="F125" s="44">
        <f t="shared" si="18"/>
        <v>653.60000000000582</v>
      </c>
      <c r="G125" s="44">
        <f t="shared" si="18"/>
        <v>62127.619999999995</v>
      </c>
      <c r="H125" s="44">
        <f t="shared" si="18"/>
        <v>78043.5</v>
      </c>
      <c r="I125" s="44">
        <f t="shared" si="16"/>
        <v>18452087.089998417</v>
      </c>
      <c r="J125" s="42"/>
      <c r="K125" s="42"/>
      <c r="L125" s="42"/>
      <c r="M125" s="64"/>
      <c r="N125" s="64"/>
      <c r="O125" s="64"/>
      <c r="P125" s="64"/>
      <c r="Q125" s="64"/>
      <c r="R125" s="64" t="s">
        <v>501</v>
      </c>
      <c r="S125" s="64"/>
      <c r="T125" s="36"/>
      <c r="U125" s="37"/>
      <c r="V125" s="31"/>
      <c r="W125" s="37"/>
      <c r="X125" s="36"/>
      <c r="Y125" s="37"/>
      <c r="Z125" s="36"/>
      <c r="AA125" s="37"/>
      <c r="AB125" s="36"/>
      <c r="AC125" s="36"/>
      <c r="AD125" s="52"/>
      <c r="AE125" s="52"/>
      <c r="AF125" s="52"/>
      <c r="AG125" s="10"/>
    </row>
    <row r="126" spans="1:33" s="6" customFormat="1" ht="54.95" hidden="1" customHeight="1" x14ac:dyDescent="1.05">
      <c r="A126" s="35" t="s">
        <v>527</v>
      </c>
      <c r="B126" s="68">
        <f>B29</f>
        <v>0</v>
      </c>
      <c r="C126" s="50">
        <v>0</v>
      </c>
      <c r="D126" s="68">
        <v>0</v>
      </c>
      <c r="E126" s="68">
        <v>0</v>
      </c>
      <c r="F126" s="68">
        <v>0</v>
      </c>
      <c r="G126" s="68">
        <v>0</v>
      </c>
      <c r="H126" s="68">
        <v>0</v>
      </c>
      <c r="I126" s="44">
        <f>SUM(B126:H126)</f>
        <v>0</v>
      </c>
      <c r="J126" s="31"/>
      <c r="K126" s="31"/>
      <c r="L126" s="31"/>
      <c r="M126" s="64"/>
      <c r="N126" s="64"/>
      <c r="O126" s="64"/>
      <c r="P126" s="64"/>
      <c r="Q126" s="64"/>
      <c r="R126" s="64">
        <v>11000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0.85">
      <c r="A127" s="35" t="s">
        <v>528</v>
      </c>
      <c r="B127" s="70">
        <f>B125+B126</f>
        <v>17076332.529998414</v>
      </c>
      <c r="C127" s="51">
        <f t="shared" ref="C127" si="19">C125+C126</f>
        <v>9330.5899999987159</v>
      </c>
      <c r="D127" s="70">
        <f t="shared" ref="D127" si="20">D125+D126</f>
        <v>1209123.51</v>
      </c>
      <c r="E127" s="70">
        <f t="shared" ref="E127" si="21">E125+E126</f>
        <v>16475.740000000005</v>
      </c>
      <c r="F127" s="70">
        <f t="shared" ref="F127" si="22">F125+F126</f>
        <v>653.60000000000582</v>
      </c>
      <c r="G127" s="70">
        <f t="shared" ref="G127" si="23">G125+G126</f>
        <v>62127.619999999995</v>
      </c>
      <c r="H127" s="70">
        <f t="shared" ref="H127" si="24">H125+H126</f>
        <v>78043.5</v>
      </c>
      <c r="I127" s="70">
        <f>I125+I126</f>
        <v>18452087.089998417</v>
      </c>
      <c r="J127" s="50"/>
      <c r="K127" s="50"/>
      <c r="L127" s="46"/>
      <c r="M127" s="64"/>
      <c r="N127" s="64"/>
      <c r="O127" s="64"/>
      <c r="P127" s="64"/>
      <c r="Q127" s="64"/>
      <c r="R127" s="64" t="s">
        <v>504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0.85">
      <c r="A128" s="50"/>
      <c r="B128" s="68"/>
      <c r="C128" s="46"/>
      <c r="D128" s="69"/>
      <c r="E128" s="69"/>
      <c r="F128" s="69"/>
      <c r="G128" s="69"/>
      <c r="H128" s="69"/>
      <c r="I128" s="50"/>
      <c r="J128" s="50"/>
      <c r="K128" s="50"/>
      <c r="L128" s="46"/>
      <c r="M128" s="64"/>
      <c r="N128" s="64"/>
      <c r="O128" s="64"/>
      <c r="P128" s="64"/>
      <c r="Q128" s="64"/>
      <c r="R128" s="64" t="s">
        <v>504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5" t="s">
        <v>498</v>
      </c>
      <c r="B129" s="36"/>
      <c r="C129" s="36"/>
      <c r="D129" s="36"/>
      <c r="E129" s="36"/>
      <c r="F129" s="36"/>
      <c r="G129" s="36"/>
      <c r="H129" s="36"/>
      <c r="I129" s="36"/>
      <c r="J129" s="37"/>
      <c r="K129" s="37"/>
      <c r="L129" s="31"/>
      <c r="M129" s="64"/>
      <c r="N129" s="64"/>
      <c r="O129" s="64"/>
      <c r="P129" s="64"/>
      <c r="Q129" s="64"/>
      <c r="R129" s="64"/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31" t="s">
        <v>500</v>
      </c>
      <c r="B130" s="36">
        <f>-54614.42-50474.14</f>
        <v>-105088.56</v>
      </c>
      <c r="C130" s="36">
        <v>50474.14</v>
      </c>
      <c r="D130" s="36">
        <v>54614.42</v>
      </c>
      <c r="E130" s="36">
        <v>0</v>
      </c>
      <c r="F130" s="36">
        <v>0</v>
      </c>
      <c r="G130" s="36">
        <v>0</v>
      </c>
      <c r="H130" s="36">
        <v>0</v>
      </c>
      <c r="I130" s="36">
        <f t="shared" ref="I130:I141" si="25">SUM(B130:H130)</f>
        <v>0</v>
      </c>
      <c r="J130" s="37"/>
      <c r="K130" s="37"/>
      <c r="L130" s="31"/>
      <c r="M130" s="64"/>
      <c r="N130" s="64"/>
      <c r="O130" s="64"/>
      <c r="P130" s="64"/>
      <c r="Q130" s="64"/>
      <c r="R130" s="64"/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1" t="s">
        <v>502</v>
      </c>
      <c r="B131" s="36">
        <f>-2995.24-3272.2</f>
        <v>-6267.44</v>
      </c>
      <c r="C131" s="36">
        <v>3272.2</v>
      </c>
      <c r="D131" s="36">
        <v>2995.24</v>
      </c>
      <c r="E131" s="36">
        <v>0</v>
      </c>
      <c r="F131" s="36">
        <v>0</v>
      </c>
      <c r="G131" s="36">
        <v>0</v>
      </c>
      <c r="H131" s="36">
        <v>0</v>
      </c>
      <c r="I131" s="36">
        <f t="shared" si="25"/>
        <v>0</v>
      </c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503</v>
      </c>
      <c r="B132" s="36">
        <f>-5532.16-3179.07</f>
        <v>-8711.23</v>
      </c>
      <c r="C132" s="36">
        <v>3179.07</v>
      </c>
      <c r="D132" s="36">
        <v>5532.16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si="25"/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505</v>
      </c>
      <c r="B133" s="36">
        <f>-776.68-776.63</f>
        <v>-1553.31</v>
      </c>
      <c r="C133" s="36">
        <v>776.63</v>
      </c>
      <c r="D133" s="36">
        <v>776.68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ref="I133" si="26">SUM(B133:H133)</f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506</v>
      </c>
      <c r="B134" s="36">
        <f>-1631.57-1469.63</f>
        <v>-3101.2</v>
      </c>
      <c r="C134" s="36">
        <v>1469.63</v>
      </c>
      <c r="D134" s="36">
        <v>1631.57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2.2737367544323206E-13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507</v>
      </c>
      <c r="B135" s="36">
        <f>-500+-1250</f>
        <v>-1750</v>
      </c>
      <c r="C135" s="36">
        <v>500</v>
      </c>
      <c r="D135" s="36">
        <v>1250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si="25"/>
        <v>0</v>
      </c>
      <c r="J135" s="4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508</v>
      </c>
      <c r="B136" s="36">
        <f>-10402.9*0.15</f>
        <v>-1560.4349999999999</v>
      </c>
      <c r="C136" s="36">
        <f>10402.9*0.15</f>
        <v>1560.4349999999999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0</v>
      </c>
      <c r="J136" s="48">
        <f>[1]CNT!K250</f>
        <v>1991.67</v>
      </c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509</v>
      </c>
      <c r="B137" s="36">
        <f>-4404.67*0.1</f>
        <v>-440.46700000000004</v>
      </c>
      <c r="C137" s="36">
        <f>4404.67*0.1</f>
        <v>440.46700000000004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8">
        <f>[1]CNT!K224</f>
        <v>1547.72</v>
      </c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510</v>
      </c>
      <c r="B138" s="36">
        <f>-1351.56*0.15</f>
        <v>-202.73399999999998</v>
      </c>
      <c r="C138" s="36">
        <f>1351.56*0.15</f>
        <v>202.73399999999998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[1]CNT!K246</f>
        <v>1749.68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511</v>
      </c>
      <c r="B139" s="36">
        <f>-11873.59*0.2</f>
        <v>-2374.7180000000003</v>
      </c>
      <c r="C139" s="36">
        <f>11873.59*0.1</f>
        <v>1187.3590000000002</v>
      </c>
      <c r="D139" s="36">
        <f>11873.59*0.1</f>
        <v>1187.3590000000002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[1]CNT!K257</f>
        <v>7500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512</v>
      </c>
      <c r="B140" s="36">
        <f>-652.5*0.35</f>
        <v>-228.37499999999997</v>
      </c>
      <c r="C140" s="36">
        <f>652.5*0.1</f>
        <v>65.25</v>
      </c>
      <c r="D140" s="36">
        <f>652.5*0.25</f>
        <v>163.125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2.8421709430404007E-14</v>
      </c>
      <c r="J140" s="48">
        <f>[1]CNT!K260</f>
        <v>0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513</v>
      </c>
      <c r="B141" s="36">
        <v>-11370.73</v>
      </c>
      <c r="C141" s="36">
        <v>0</v>
      </c>
      <c r="D141" s="36">
        <v>11370.73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0</v>
      </c>
      <c r="J141" s="48" t="s">
        <v>514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5" t="s">
        <v>515</v>
      </c>
      <c r="B142" s="38">
        <f t="shared" ref="B142:I142" si="27">SUM(B130:B141)</f>
        <v>-142649.19899999999</v>
      </c>
      <c r="C142" s="38">
        <f t="shared" si="27"/>
        <v>63127.914999999979</v>
      </c>
      <c r="D142" s="38">
        <f t="shared" si="27"/>
        <v>79521.283999999985</v>
      </c>
      <c r="E142" s="36">
        <f t="shared" si="27"/>
        <v>0</v>
      </c>
      <c r="F142" s="36">
        <f t="shared" si="27"/>
        <v>0</v>
      </c>
      <c r="G142" s="36">
        <f t="shared" si="27"/>
        <v>0</v>
      </c>
      <c r="H142" s="36">
        <f t="shared" si="27"/>
        <v>0</v>
      </c>
      <c r="I142" s="36">
        <f t="shared" si="27"/>
        <v>2.5579538487363607E-13</v>
      </c>
      <c r="J142" s="37"/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1"/>
      <c r="B143" s="36"/>
      <c r="C143" s="36"/>
      <c r="D143" s="36"/>
      <c r="E143" s="36"/>
      <c r="F143" s="36"/>
      <c r="G143" s="36"/>
      <c r="H143" s="36"/>
      <c r="I143" s="36"/>
      <c r="J143" s="37"/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5" t="s">
        <v>516</v>
      </c>
      <c r="B144" s="36"/>
      <c r="C144" s="36"/>
      <c r="D144" s="36"/>
      <c r="E144" s="36"/>
      <c r="F144" s="36"/>
      <c r="G144" s="36"/>
      <c r="H144" s="36"/>
      <c r="I144" s="36"/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11" hidden="1" x14ac:dyDescent="0.85">
      <c r="A145" s="31" t="s">
        <v>517</v>
      </c>
      <c r="B145" s="36">
        <f>-25495.05-26333.26</f>
        <v>-51828.31</v>
      </c>
      <c r="C145" s="36">
        <v>26333.26</v>
      </c>
      <c r="D145" s="36">
        <v>25495.05</v>
      </c>
      <c r="E145" s="36"/>
      <c r="F145" s="36"/>
      <c r="G145" s="36"/>
      <c r="H145" s="36"/>
      <c r="I145" s="36"/>
      <c r="J145" s="37"/>
      <c r="K145" s="37"/>
    </row>
    <row r="146" spans="1:11" hidden="1" x14ac:dyDescent="0.85">
      <c r="A146" s="31" t="s">
        <v>518</v>
      </c>
      <c r="B146" s="36">
        <f>-1490.06-1702.61</f>
        <v>-3192.67</v>
      </c>
      <c r="C146" s="36">
        <v>1702.61</v>
      </c>
      <c r="D146" s="36">
        <v>1490.06</v>
      </c>
      <c r="E146" s="36"/>
      <c r="F146" s="36"/>
      <c r="G146" s="36"/>
      <c r="H146" s="36"/>
      <c r="I146" s="36"/>
      <c r="J146" s="37"/>
      <c r="K146" s="37"/>
    </row>
    <row r="147" spans="1:11" hidden="1" x14ac:dyDescent="0.85">
      <c r="A147" s="35" t="s">
        <v>519</v>
      </c>
      <c r="B147" s="38">
        <f>SUM(B145:B146)</f>
        <v>-55020.979999999996</v>
      </c>
      <c r="C147" s="38">
        <f t="shared" ref="C147:D147" si="28">SUM(C145:C146)</f>
        <v>28035.87</v>
      </c>
      <c r="D147" s="38">
        <f t="shared" si="28"/>
        <v>26985.11</v>
      </c>
      <c r="E147" s="36"/>
      <c r="F147" s="36"/>
      <c r="G147" s="36"/>
      <c r="H147" s="36"/>
      <c r="I147" s="36"/>
      <c r="J147" s="37"/>
      <c r="K147" s="37"/>
    </row>
    <row r="148" spans="1:11" ht="69.75" hidden="1" customHeight="1" x14ac:dyDescent="0.85">
      <c r="B148" s="36"/>
      <c r="C148" s="36"/>
      <c r="D148" s="36"/>
      <c r="E148" s="36"/>
      <c r="F148" s="36"/>
      <c r="G148" s="36"/>
      <c r="H148" s="36"/>
      <c r="I148" s="36">
        <f>SUM(B148:H148)</f>
        <v>0</v>
      </c>
      <c r="J148" s="37"/>
      <c r="K148" s="37"/>
    </row>
    <row r="149" spans="1:11" ht="69.75" hidden="1" customHeight="1" x14ac:dyDescent="0.85">
      <c r="B149" s="36"/>
      <c r="C149" s="36"/>
      <c r="D149" s="36"/>
      <c r="E149" s="36"/>
      <c r="F149" s="36"/>
      <c r="G149" s="36"/>
      <c r="H149" s="36"/>
      <c r="I149" s="36"/>
      <c r="J149" s="37"/>
      <c r="K149" s="37"/>
    </row>
    <row r="150" spans="1:11" ht="69.75" hidden="1" customHeight="1" x14ac:dyDescent="0.85"/>
    <row r="151" spans="1:11" ht="69.75" hidden="1" customHeight="1" x14ac:dyDescent="0.85"/>
    <row r="152" spans="1:11" ht="69.75" hidden="1" customHeight="1" x14ac:dyDescent="0.85">
      <c r="A152" s="49" t="s">
        <v>521</v>
      </c>
    </row>
    <row r="153" spans="1:11" ht="69.75" hidden="1" customHeight="1" x14ac:dyDescent="0.85">
      <c r="A153" s="31" t="s">
        <v>480</v>
      </c>
      <c r="B153" s="50">
        <f t="shared" ref="B153:D164" si="29">B130</f>
        <v>-105088.56</v>
      </c>
      <c r="C153" s="50">
        <f t="shared" si="29"/>
        <v>50474.14</v>
      </c>
      <c r="D153" s="50">
        <f t="shared" si="29"/>
        <v>54614.42</v>
      </c>
      <c r="E153" s="50">
        <v>0</v>
      </c>
      <c r="F153" s="50">
        <v>0</v>
      </c>
      <c r="G153" s="50">
        <v>0</v>
      </c>
      <c r="H153" s="50">
        <v>0</v>
      </c>
      <c r="I153" s="36">
        <f>SUM(B153:H153)</f>
        <v>0</v>
      </c>
    </row>
    <row r="154" spans="1:11" ht="69.75" hidden="1" customHeight="1" x14ac:dyDescent="0.85">
      <c r="A154" s="31" t="s">
        <v>481</v>
      </c>
      <c r="B154" s="50">
        <f t="shared" si="29"/>
        <v>-6267.44</v>
      </c>
      <c r="C154" s="50">
        <f t="shared" si="29"/>
        <v>3272.2</v>
      </c>
      <c r="D154" s="50">
        <f t="shared" si="29"/>
        <v>2995.24</v>
      </c>
      <c r="E154" s="50">
        <v>0</v>
      </c>
      <c r="F154" s="50">
        <v>0</v>
      </c>
      <c r="G154" s="50">
        <v>0</v>
      </c>
      <c r="H154" s="50">
        <v>0</v>
      </c>
      <c r="I154" s="36">
        <f t="shared" ref="I154:I165" si="30">SUM(B154:H154)</f>
        <v>0</v>
      </c>
    </row>
    <row r="155" spans="1:11" ht="69.75" hidden="1" customHeight="1" x14ac:dyDescent="0.85">
      <c r="A155" s="31" t="s">
        <v>482</v>
      </c>
      <c r="B155" s="50">
        <f t="shared" si="29"/>
        <v>-8711.23</v>
      </c>
      <c r="C155" s="50">
        <f t="shared" si="29"/>
        <v>3179.07</v>
      </c>
      <c r="D155" s="50">
        <f t="shared" si="29"/>
        <v>5532.16</v>
      </c>
      <c r="E155" s="50">
        <v>0</v>
      </c>
      <c r="F155" s="50">
        <v>0</v>
      </c>
      <c r="G155" s="50">
        <v>0</v>
      </c>
      <c r="H155" s="50">
        <v>0</v>
      </c>
      <c r="I155" s="36">
        <f t="shared" si="30"/>
        <v>0</v>
      </c>
    </row>
    <row r="156" spans="1:11" ht="69.75" hidden="1" customHeight="1" x14ac:dyDescent="0.85">
      <c r="A156" s="31" t="s">
        <v>483</v>
      </c>
      <c r="B156" s="50">
        <f t="shared" si="29"/>
        <v>-1553.31</v>
      </c>
      <c r="C156" s="50">
        <f t="shared" si="29"/>
        <v>776.63</v>
      </c>
      <c r="D156" s="50">
        <f t="shared" si="29"/>
        <v>776.68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si="30"/>
        <v>0</v>
      </c>
    </row>
    <row r="157" spans="1:11" ht="69.75" hidden="1" customHeight="1" x14ac:dyDescent="0.85">
      <c r="A157" s="31" t="s">
        <v>484</v>
      </c>
      <c r="B157" s="50">
        <f t="shared" si="29"/>
        <v>-3101.2</v>
      </c>
      <c r="C157" s="50">
        <f t="shared" si="29"/>
        <v>1469.63</v>
      </c>
      <c r="D157" s="50">
        <f t="shared" si="29"/>
        <v>1631.57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2.2737367544323206E-13</v>
      </c>
    </row>
    <row r="158" spans="1:11" ht="69.75" hidden="1" customHeight="1" x14ac:dyDescent="0.85">
      <c r="A158" s="31" t="s">
        <v>485</v>
      </c>
      <c r="B158" s="50">
        <f t="shared" si="29"/>
        <v>-1750</v>
      </c>
      <c r="C158" s="50">
        <f t="shared" si="29"/>
        <v>500</v>
      </c>
      <c r="D158" s="50">
        <f t="shared" si="29"/>
        <v>1250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11" ht="69.75" hidden="1" customHeight="1" x14ac:dyDescent="0.85">
      <c r="A159" s="31" t="s">
        <v>486</v>
      </c>
      <c r="B159" s="50">
        <f t="shared" si="29"/>
        <v>-1560.4349999999999</v>
      </c>
      <c r="C159" s="50">
        <f t="shared" si="29"/>
        <v>1560.4349999999999</v>
      </c>
      <c r="D159" s="50">
        <f t="shared" si="29"/>
        <v>0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0</v>
      </c>
    </row>
    <row r="160" spans="1:11" ht="69.75" hidden="1" customHeight="1" thickBot="1" x14ac:dyDescent="0.9">
      <c r="A160" s="31" t="s">
        <v>487</v>
      </c>
      <c r="B160" s="50">
        <f t="shared" si="29"/>
        <v>-440.46700000000004</v>
      </c>
      <c r="C160" s="50">
        <f t="shared" si="29"/>
        <v>440.46700000000004</v>
      </c>
      <c r="D160" s="50">
        <f t="shared" si="29"/>
        <v>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32" ht="69.75" hidden="1" customHeight="1" thickTop="1" x14ac:dyDescent="0.85">
      <c r="A161" s="31" t="s">
        <v>488</v>
      </c>
      <c r="B161" s="50">
        <f t="shared" si="29"/>
        <v>-202.73399999999998</v>
      </c>
      <c r="C161" s="50">
        <f t="shared" si="29"/>
        <v>202.73399999999998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32" ht="69.75" hidden="1" customHeight="1" x14ac:dyDescent="0.85">
      <c r="A162" s="31" t="s">
        <v>489</v>
      </c>
      <c r="B162" s="50">
        <f t="shared" si="29"/>
        <v>-2374.7180000000003</v>
      </c>
      <c r="C162" s="50">
        <f t="shared" si="29"/>
        <v>1187.3590000000002</v>
      </c>
      <c r="D162" s="50">
        <f t="shared" si="29"/>
        <v>1187.3590000000002</v>
      </c>
      <c r="E162" s="50">
        <f>E139</f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32" ht="69.75" hidden="1" customHeight="1" thickBot="1" x14ac:dyDescent="0.9">
      <c r="A163" s="31" t="s">
        <v>490</v>
      </c>
      <c r="B163" s="50">
        <f t="shared" si="29"/>
        <v>-228.37499999999997</v>
      </c>
      <c r="C163" s="50">
        <f t="shared" si="29"/>
        <v>65.25</v>
      </c>
      <c r="D163" s="50">
        <f t="shared" si="29"/>
        <v>163.125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2.8421709430404007E-14</v>
      </c>
    </row>
    <row r="164" spans="1:32" ht="69.75" hidden="1" customHeight="1" thickTop="1" x14ac:dyDescent="0.85">
      <c r="A164" s="31" t="s">
        <v>491</v>
      </c>
      <c r="B164" s="50">
        <f t="shared" si="29"/>
        <v>-11370.73</v>
      </c>
      <c r="C164" s="50">
        <f t="shared" si="29"/>
        <v>0</v>
      </c>
      <c r="D164" s="50">
        <f t="shared" si="29"/>
        <v>11370.73</v>
      </c>
      <c r="E164" s="50">
        <v>0</v>
      </c>
      <c r="F164" s="50">
        <v>0</v>
      </c>
      <c r="G164" s="50">
        <v>0</v>
      </c>
      <c r="H164" s="50">
        <v>0</v>
      </c>
      <c r="I164" s="36">
        <f t="shared" si="30"/>
        <v>0</v>
      </c>
    </row>
    <row r="165" spans="1:32" ht="69.75" hidden="1" customHeight="1" x14ac:dyDescent="0.85">
      <c r="B165" s="51">
        <f>SUM(B153:B164)</f>
        <v>-142649.19899999999</v>
      </c>
      <c r="C165" s="51">
        <f t="shared" ref="C165:D165" si="31">SUM(C153:C164)</f>
        <v>63127.914999999979</v>
      </c>
      <c r="D165" s="51">
        <f t="shared" si="31"/>
        <v>79521.283999999985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-2.9103830456733704E-11</v>
      </c>
    </row>
    <row r="166" spans="1:32" ht="69.75" hidden="1" customHeight="1" x14ac:dyDescent="0.85">
      <c r="A166" s="31" t="s">
        <v>492</v>
      </c>
      <c r="B166" s="50">
        <f>D165</f>
        <v>79521.283999999985</v>
      </c>
      <c r="C166" s="50"/>
      <c r="D166" s="50"/>
      <c r="E166" s="50">
        <v>0</v>
      </c>
      <c r="F166" s="50">
        <v>0</v>
      </c>
      <c r="G166" s="50">
        <v>0</v>
      </c>
      <c r="H166" s="50">
        <v>0</v>
      </c>
      <c r="I166" s="36"/>
    </row>
    <row r="167" spans="1:32" ht="69.75" hidden="1" customHeight="1" x14ac:dyDescent="0.85">
      <c r="A167" s="31" t="s">
        <v>493</v>
      </c>
      <c r="B167" s="50">
        <f>C165</f>
        <v>63127.914999999979</v>
      </c>
      <c r="C167" s="50"/>
      <c r="D167" s="50"/>
      <c r="E167" s="50">
        <v>0</v>
      </c>
      <c r="F167" s="50">
        <v>0</v>
      </c>
      <c r="G167" s="50">
        <v>0</v>
      </c>
      <c r="H167" s="50">
        <v>0</v>
      </c>
      <c r="I167" s="36"/>
    </row>
    <row r="168" spans="1:32" ht="69.75" hidden="1" customHeight="1" x14ac:dyDescent="0.85">
      <c r="B168" s="51">
        <f>SUM(B166:B167)</f>
        <v>142649.19899999996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32" ht="69.75" hidden="1" customHeight="1" x14ac:dyDescent="0.85">
      <c r="A169" s="31" t="s">
        <v>494</v>
      </c>
      <c r="B169" s="50"/>
      <c r="C169" s="50">
        <f>-C165</f>
        <v>-63127.914999999979</v>
      </c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32" ht="69.75" hidden="1" customHeight="1" thickBot="1" x14ac:dyDescent="0.9">
      <c r="A170" s="31" t="s">
        <v>495</v>
      </c>
      <c r="B170" s="50"/>
      <c r="C170" s="50"/>
      <c r="D170" s="50">
        <f>-D165</f>
        <v>-79521.283999999985</v>
      </c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32" ht="69.75" hidden="1" customHeight="1" thickTop="1" x14ac:dyDescent="0.85">
      <c r="B171" s="50"/>
      <c r="C171" s="50"/>
      <c r="D171" s="50"/>
      <c r="E171" s="50"/>
      <c r="F171" s="50"/>
      <c r="G171" s="50"/>
      <c r="H171" s="50"/>
      <c r="I171" s="36"/>
    </row>
    <row r="172" spans="1:32" hidden="1" x14ac:dyDescent="0.85">
      <c r="A172" s="49" t="s">
        <v>520</v>
      </c>
      <c r="B172" s="50"/>
      <c r="C172" s="50"/>
      <c r="D172" s="50"/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32" hidden="1" x14ac:dyDescent="0.85">
      <c r="A173" s="31" t="s">
        <v>496</v>
      </c>
      <c r="B173" s="50">
        <v>-51828.31</v>
      </c>
      <c r="C173" s="50">
        <v>26333.26</v>
      </c>
      <c r="D173" s="50">
        <v>25495.05</v>
      </c>
      <c r="E173" s="50">
        <v>0</v>
      </c>
      <c r="F173" s="50">
        <v>0</v>
      </c>
      <c r="G173" s="50">
        <v>0</v>
      </c>
      <c r="H173" s="50">
        <v>0</v>
      </c>
      <c r="I173" s="36"/>
    </row>
    <row r="174" spans="1:32" hidden="1" x14ac:dyDescent="0.85">
      <c r="A174" s="31" t="s">
        <v>497</v>
      </c>
      <c r="B174" s="50">
        <v>-3192.67</v>
      </c>
      <c r="C174" s="50">
        <v>1702.61</v>
      </c>
      <c r="D174" s="50">
        <v>1490.06</v>
      </c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32" s="74" customFormat="1" x14ac:dyDescent="0.85">
      <c r="A175" s="35"/>
      <c r="B175" s="36"/>
      <c r="C175" s="36"/>
      <c r="D175" s="36"/>
      <c r="E175" s="36"/>
      <c r="F175" s="36"/>
      <c r="G175" s="36"/>
      <c r="H175" s="36"/>
      <c r="I175" s="36">
        <f t="shared" ref="I175" si="32">SUM(B175:H175)</f>
        <v>0</v>
      </c>
      <c r="J175" s="37"/>
      <c r="K175" s="37"/>
      <c r="L175" s="3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2"/>
      <c r="AC175" s="72"/>
      <c r="AD175" s="73"/>
      <c r="AE175" s="72"/>
      <c r="AF175" s="73"/>
    </row>
    <row r="176" spans="1:32" ht="71.25" thickBot="1" x14ac:dyDescent="1.1000000000000001">
      <c r="A176" s="45" t="s">
        <v>263</v>
      </c>
      <c r="B176" s="44">
        <f t="shared" ref="B176:H176" si="33">B32-B104+B123</f>
        <v>17076332.529998414</v>
      </c>
      <c r="C176" s="44">
        <f t="shared" si="33"/>
        <v>9330.5899999987159</v>
      </c>
      <c r="D176" s="44">
        <f t="shared" si="33"/>
        <v>1209123.51</v>
      </c>
      <c r="E176" s="44">
        <f t="shared" si="33"/>
        <v>16475.740000000005</v>
      </c>
      <c r="F176" s="44">
        <f t="shared" si="33"/>
        <v>653.60000000000582</v>
      </c>
      <c r="G176" s="44">
        <f t="shared" si="33"/>
        <v>62127.619999999995</v>
      </c>
      <c r="H176" s="44">
        <f t="shared" si="33"/>
        <v>78043.5</v>
      </c>
      <c r="I176" s="44">
        <f>SUM(B176:H176)</f>
        <v>18452087.089998417</v>
      </c>
      <c r="J176" s="42"/>
      <c r="K176" s="42"/>
      <c r="Q176" s="64"/>
    </row>
    <row r="177" spans="1:19" ht="72" thickTop="1" thickBot="1" x14ac:dyDescent="1.1000000000000001">
      <c r="A177" s="45"/>
      <c r="B177" s="75">
        <f>B176-CNT!N303</f>
        <v>-2.8051435947418213E-6</v>
      </c>
      <c r="C177" s="75">
        <f>C176-BPM!N90</f>
        <v>2.9103830456733704E-11</v>
      </c>
      <c r="D177" s="75">
        <f>D176-DEP!N88</f>
        <v>0</v>
      </c>
      <c r="E177" s="75">
        <f>E176-Lending!N22</f>
        <v>0</v>
      </c>
      <c r="F177" s="75">
        <f>F176-'BSC (Dome)'!N85</f>
        <v>3.637978807091713E-12</v>
      </c>
      <c r="G177" s="75">
        <f>G176-'Oliari Co.'!N33</f>
        <v>0</v>
      </c>
      <c r="H177" s="75">
        <f>H176-'722 Bedford St'!N30</f>
        <v>0</v>
      </c>
      <c r="I177" s="44"/>
      <c r="J177" s="42"/>
      <c r="K177" s="42"/>
      <c r="Q177" s="64"/>
    </row>
    <row r="178" spans="1:19" ht="72" thickTop="1" thickBot="1" x14ac:dyDescent="1.1000000000000001">
      <c r="A178" s="35" t="s">
        <v>527</v>
      </c>
      <c r="B178" s="68">
        <v>0</v>
      </c>
      <c r="C178" s="68">
        <v>0</v>
      </c>
      <c r="D178" s="68">
        <v>0</v>
      </c>
      <c r="E178" s="68">
        <v>0</v>
      </c>
      <c r="F178" s="68">
        <v>0</v>
      </c>
      <c r="G178" s="68">
        <v>0</v>
      </c>
      <c r="H178" s="68">
        <v>0</v>
      </c>
      <c r="I178" s="44">
        <f>SUM(B178:H178)</f>
        <v>0</v>
      </c>
      <c r="M178" s="68"/>
      <c r="N178" s="68"/>
      <c r="O178" s="68"/>
      <c r="P178" s="68"/>
      <c r="Q178" s="68"/>
      <c r="R178" s="68"/>
      <c r="S178" s="68"/>
    </row>
    <row r="179" spans="1:19" ht="59.25" thickTop="1" thickBot="1" x14ac:dyDescent="0.9">
      <c r="A179" s="35" t="s">
        <v>528</v>
      </c>
      <c r="B179" s="70">
        <f>B176+B178</f>
        <v>17076332.529998414</v>
      </c>
      <c r="C179" s="70">
        <f t="shared" ref="C179:H179" si="34">C176+C178</f>
        <v>9330.5899999987159</v>
      </c>
      <c r="D179" s="70">
        <f t="shared" si="34"/>
        <v>1209123.51</v>
      </c>
      <c r="E179" s="70">
        <f t="shared" si="34"/>
        <v>16475.740000000005</v>
      </c>
      <c r="F179" s="70">
        <f t="shared" si="34"/>
        <v>653.60000000000582</v>
      </c>
      <c r="G179" s="70">
        <f t="shared" si="34"/>
        <v>62127.619999999995</v>
      </c>
      <c r="H179" s="70">
        <f t="shared" si="34"/>
        <v>78043.5</v>
      </c>
      <c r="I179" s="70">
        <f>I176+I178</f>
        <v>18452087.089998417</v>
      </c>
      <c r="J179" s="50"/>
      <c r="K179" s="50"/>
      <c r="M179" s="68"/>
      <c r="N179" s="68"/>
      <c r="O179" s="68"/>
      <c r="P179" s="68"/>
      <c r="Q179" s="68"/>
      <c r="R179" s="68"/>
      <c r="S179" s="68"/>
    </row>
    <row r="180" spans="1:19" ht="58.5" thickTop="1" x14ac:dyDescent="0.85">
      <c r="M180" s="68"/>
      <c r="N180" s="68"/>
      <c r="O180" s="68"/>
      <c r="P180" s="68"/>
      <c r="Q180" s="68"/>
      <c r="R180" s="68"/>
      <c r="S180" s="68"/>
    </row>
    <row r="181" spans="1:19" x14ac:dyDescent="0.85">
      <c r="M181" s="68"/>
      <c r="N181" s="68"/>
      <c r="O181" s="68"/>
      <c r="P181" s="68"/>
      <c r="Q181" s="68"/>
      <c r="R181" s="68"/>
      <c r="S181" s="68"/>
    </row>
    <row r="182" spans="1:19" x14ac:dyDescent="0.85">
      <c r="M182" s="68"/>
      <c r="N182" s="68"/>
      <c r="O182" s="68"/>
      <c r="P182" s="68"/>
      <c r="Q182" s="68"/>
      <c r="R182" s="68"/>
      <c r="S182" s="68"/>
    </row>
    <row r="183" spans="1:19" x14ac:dyDescent="0.85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M183" s="68"/>
      <c r="N183" s="68"/>
      <c r="O183" s="68"/>
      <c r="P183" s="68"/>
      <c r="Q183" s="68"/>
      <c r="R183" s="68"/>
      <c r="S183" s="68"/>
    </row>
    <row r="184" spans="1:19" ht="92.25" x14ac:dyDescent="1.35">
      <c r="A184" s="238">
        <v>2019</v>
      </c>
      <c r="B184" s="239"/>
      <c r="C184" s="239"/>
      <c r="D184" s="239"/>
      <c r="E184" s="239"/>
      <c r="F184" s="239"/>
      <c r="G184" s="239"/>
      <c r="H184" s="239"/>
      <c r="I184" s="239"/>
      <c r="J184" s="240"/>
    </row>
    <row r="185" spans="1:19" ht="92.25" x14ac:dyDescent="1.35">
      <c r="A185" s="241" t="s">
        <v>397</v>
      </c>
      <c r="B185" s="242"/>
      <c r="C185" s="242"/>
      <c r="D185" s="242"/>
      <c r="E185" s="242"/>
      <c r="F185" s="242"/>
      <c r="G185" s="242"/>
      <c r="H185" s="242"/>
      <c r="I185" s="242"/>
      <c r="J185" s="243"/>
    </row>
    <row r="186" spans="1:19" ht="92.25" x14ac:dyDescent="1.35">
      <c r="A186" s="241" t="s">
        <v>339</v>
      </c>
      <c r="B186" s="242"/>
      <c r="C186" s="242"/>
      <c r="D186" s="242"/>
      <c r="E186" s="242"/>
      <c r="F186" s="242"/>
      <c r="G186" s="242"/>
      <c r="H186" s="242"/>
      <c r="I186" s="242"/>
      <c r="J186" s="243"/>
    </row>
    <row r="187" spans="1:19" ht="92.25" x14ac:dyDescent="1.35">
      <c r="A187" s="235">
        <f>A4-366</f>
        <v>43585</v>
      </c>
      <c r="B187" s="236"/>
      <c r="C187" s="236"/>
      <c r="D187" s="236"/>
      <c r="E187" s="236"/>
      <c r="F187" s="236"/>
      <c r="G187" s="236"/>
      <c r="H187" s="236"/>
      <c r="I187" s="236"/>
      <c r="J187" s="237"/>
    </row>
    <row r="188" spans="1:19" x14ac:dyDescent="0.85">
      <c r="A188" s="32"/>
      <c r="B188" s="61"/>
      <c r="C188" s="61"/>
      <c r="D188" s="61"/>
      <c r="E188" s="61"/>
      <c r="F188" s="61"/>
      <c r="G188" s="61"/>
      <c r="H188" s="61"/>
      <c r="I188" s="32"/>
      <c r="J188" s="32"/>
    </row>
    <row r="189" spans="1:19" x14ac:dyDescent="0.85">
      <c r="A189" s="33"/>
      <c r="B189" s="62"/>
      <c r="C189" s="62"/>
      <c r="D189" s="62"/>
      <c r="E189" s="62"/>
      <c r="F189" s="62"/>
      <c r="G189" s="62"/>
      <c r="H189" s="62"/>
      <c r="I189" s="33"/>
      <c r="J189" s="32">
        <v>2019</v>
      </c>
    </row>
    <row r="190" spans="1:19" x14ac:dyDescent="0.85">
      <c r="A190" s="33"/>
      <c r="B190" s="62"/>
      <c r="C190" s="62"/>
      <c r="D190" s="62"/>
      <c r="E190" s="62"/>
      <c r="F190" s="62"/>
      <c r="G190" s="62"/>
      <c r="H190" s="62"/>
      <c r="I190" s="33"/>
      <c r="J190" s="32" t="s">
        <v>338</v>
      </c>
    </row>
    <row r="191" spans="1:19" x14ac:dyDescent="0.85">
      <c r="B191" s="60"/>
      <c r="C191" s="60"/>
      <c r="D191" s="60"/>
      <c r="E191" s="60"/>
      <c r="F191" s="60"/>
      <c r="G191" s="60"/>
      <c r="H191" s="60"/>
      <c r="J191" s="32" t="s">
        <v>336</v>
      </c>
    </row>
    <row r="192" spans="1:19" x14ac:dyDescent="0.85">
      <c r="B192" s="61"/>
      <c r="C192" s="61"/>
      <c r="D192" s="61"/>
      <c r="E192" s="61"/>
      <c r="F192" s="61"/>
      <c r="G192" s="61"/>
      <c r="H192" s="61"/>
      <c r="I192" s="32" t="s">
        <v>204</v>
      </c>
      <c r="J192" s="32" t="s">
        <v>204</v>
      </c>
    </row>
    <row r="193" spans="1:10" x14ac:dyDescent="0.85">
      <c r="B193" s="63" t="s">
        <v>209</v>
      </c>
      <c r="C193" s="63" t="s">
        <v>211</v>
      </c>
      <c r="D193" s="63" t="s">
        <v>210</v>
      </c>
      <c r="E193" s="63" t="s">
        <v>212</v>
      </c>
      <c r="F193" s="63" t="s">
        <v>213</v>
      </c>
      <c r="G193" s="63" t="s">
        <v>398</v>
      </c>
      <c r="H193" s="63" t="s">
        <v>410</v>
      </c>
      <c r="I193" s="34">
        <v>2019</v>
      </c>
      <c r="J193" s="32" t="s">
        <v>334</v>
      </c>
    </row>
    <row r="194" spans="1:10" x14ac:dyDescent="0.85">
      <c r="A194" s="35" t="s">
        <v>59</v>
      </c>
      <c r="B194" s="60"/>
      <c r="C194" s="60"/>
      <c r="D194" s="60"/>
      <c r="E194" s="60"/>
      <c r="F194" s="60"/>
      <c r="G194" s="60"/>
      <c r="H194" s="60"/>
    </row>
    <row r="195" spans="1:10" x14ac:dyDescent="0.85">
      <c r="A195" s="31" t="s">
        <v>214</v>
      </c>
      <c r="B195" s="64">
        <v>396837377.20999998</v>
      </c>
      <c r="C195" s="64">
        <v>11470856.09</v>
      </c>
      <c r="D195" s="64">
        <v>0</v>
      </c>
      <c r="E195" s="64">
        <v>0</v>
      </c>
      <c r="F195" s="64">
        <v>0</v>
      </c>
      <c r="G195" s="64">
        <v>0</v>
      </c>
      <c r="H195" s="64">
        <v>0</v>
      </c>
      <c r="I195" s="36">
        <f>SUM(B195:H195)</f>
        <v>408308233.29999995</v>
      </c>
      <c r="J195" s="37">
        <f t="shared" ref="J195:J201" si="35">I195/$I$202</f>
        <v>0.20282441792797667</v>
      </c>
    </row>
    <row r="196" spans="1:10" x14ac:dyDescent="0.85">
      <c r="A196" s="31" t="s">
        <v>215</v>
      </c>
      <c r="B196" s="64">
        <v>1556997219.95</v>
      </c>
      <c r="C196" s="64">
        <v>1044338.8799999999</v>
      </c>
      <c r="D196" s="64">
        <v>0</v>
      </c>
      <c r="E196" s="64">
        <v>0</v>
      </c>
      <c r="F196" s="64">
        <v>0</v>
      </c>
      <c r="G196" s="64">
        <v>0</v>
      </c>
      <c r="H196" s="64">
        <v>0</v>
      </c>
      <c r="I196" s="36">
        <f t="shared" ref="I196:I281" si="36">SUM(B196:H196)</f>
        <v>1558041558.8300002</v>
      </c>
      <c r="J196" s="37">
        <f t="shared" si="35"/>
        <v>0.77394685314882739</v>
      </c>
    </row>
    <row r="197" spans="1:10" x14ac:dyDescent="0.85">
      <c r="A197" s="31" t="s">
        <v>216</v>
      </c>
      <c r="B197" s="64">
        <v>10625190.109999999</v>
      </c>
      <c r="C197" s="64">
        <v>49659.44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 t="shared" si="36"/>
        <v>10674849.549999999</v>
      </c>
      <c r="J197" s="37">
        <f t="shared" si="35"/>
        <v>5.302661004282702E-3</v>
      </c>
    </row>
    <row r="198" spans="1:10" x14ac:dyDescent="0.85">
      <c r="A198" s="31" t="s">
        <v>413</v>
      </c>
      <c r="B198" s="64">
        <v>19127219.57</v>
      </c>
      <c r="C198" s="64">
        <v>4639.8999999999996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si="36"/>
        <v>19131859.469999999</v>
      </c>
      <c r="J198" s="37">
        <f t="shared" si="35"/>
        <v>9.5036248216712089E-3</v>
      </c>
    </row>
    <row r="199" spans="1:10" x14ac:dyDescent="0.85">
      <c r="A199" s="31" t="s">
        <v>217</v>
      </c>
      <c r="B199" s="64">
        <v>1377865</v>
      </c>
      <c r="C199" s="64">
        <v>0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1377865</v>
      </c>
      <c r="J199" s="37">
        <f t="shared" si="35"/>
        <v>6.8444533765499164E-4</v>
      </c>
    </row>
    <row r="200" spans="1:10" x14ac:dyDescent="0.85">
      <c r="A200" s="31" t="s">
        <v>218</v>
      </c>
      <c r="B200" s="64">
        <v>13578751.350000001</v>
      </c>
      <c r="C200" s="64">
        <v>1511.38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13580262.730000002</v>
      </c>
      <c r="J200" s="37">
        <f t="shared" si="35"/>
        <v>6.7459058105680536E-3</v>
      </c>
    </row>
    <row r="201" spans="1:10" x14ac:dyDescent="0.85">
      <c r="A201" s="31" t="s">
        <v>219</v>
      </c>
      <c r="B201" s="64">
        <v>242305.75</v>
      </c>
      <c r="C201" s="64">
        <v>460177.45</v>
      </c>
      <c r="D201" s="64">
        <v>947257.8600000001</v>
      </c>
      <c r="E201" s="64">
        <v>0</v>
      </c>
      <c r="F201" s="64">
        <v>347450.97000000003</v>
      </c>
      <c r="G201" s="64">
        <v>0</v>
      </c>
      <c r="H201" s="64">
        <v>0</v>
      </c>
      <c r="I201" s="36">
        <f>SUM(B201:H201)</f>
        <v>1997192.03</v>
      </c>
      <c r="J201" s="37">
        <f t="shared" si="35"/>
        <v>9.9209194901910447E-4</v>
      </c>
    </row>
    <row r="202" spans="1:10" x14ac:dyDescent="0.85">
      <c r="A202" s="35" t="s">
        <v>220</v>
      </c>
      <c r="B202" s="65">
        <f>SUM(B195:B201)</f>
        <v>1998785928.9399998</v>
      </c>
      <c r="C202" s="65">
        <f t="shared" ref="C202:H202" si="37">SUM(C195:C201)</f>
        <v>13031183.139999999</v>
      </c>
      <c r="D202" s="65">
        <f t="shared" si="37"/>
        <v>947257.8600000001</v>
      </c>
      <c r="E202" s="65">
        <f t="shared" si="37"/>
        <v>0</v>
      </c>
      <c r="F202" s="65">
        <f>SUM(F195:F201)</f>
        <v>347450.97000000003</v>
      </c>
      <c r="G202" s="65">
        <f>SUM(G195:G201)</f>
        <v>0</v>
      </c>
      <c r="H202" s="65">
        <f t="shared" si="37"/>
        <v>0</v>
      </c>
      <c r="I202" s="38">
        <f t="shared" si="36"/>
        <v>2013111820.9099998</v>
      </c>
      <c r="J202" s="39">
        <f>SUM(J195:J201)</f>
        <v>1.0000000000000002</v>
      </c>
    </row>
    <row r="203" spans="1:10" x14ac:dyDescent="0.85">
      <c r="B203" s="64"/>
      <c r="C203" s="64"/>
      <c r="D203" s="64"/>
      <c r="E203" s="64"/>
      <c r="F203" s="64"/>
      <c r="G203" s="64"/>
      <c r="H203" s="64"/>
      <c r="I203" s="36">
        <f t="shared" si="36"/>
        <v>0</v>
      </c>
    </row>
    <row r="204" spans="1:10" x14ac:dyDescent="0.85">
      <c r="A204" s="35" t="s">
        <v>205</v>
      </c>
      <c r="B204" s="64"/>
      <c r="C204" s="64"/>
      <c r="D204" s="64"/>
      <c r="E204" s="64"/>
      <c r="F204" s="64"/>
      <c r="G204" s="64"/>
      <c r="H204" s="64"/>
      <c r="I204" s="36">
        <f t="shared" si="36"/>
        <v>0</v>
      </c>
    </row>
    <row r="205" spans="1:10" x14ac:dyDescent="0.85">
      <c r="A205" s="31" t="s">
        <v>214</v>
      </c>
      <c r="B205" s="64">
        <v>396117343.88000005</v>
      </c>
      <c r="C205" s="64">
        <v>11340499.760000002</v>
      </c>
      <c r="D205" s="64">
        <v>0</v>
      </c>
      <c r="E205" s="64">
        <v>0</v>
      </c>
      <c r="F205" s="64">
        <v>0</v>
      </c>
      <c r="G205" s="64">
        <v>0</v>
      </c>
      <c r="H205" s="64">
        <v>0</v>
      </c>
      <c r="I205" s="36">
        <f t="shared" si="36"/>
        <v>407457843.64000005</v>
      </c>
      <c r="J205" s="37">
        <f t="shared" ref="J205:J212" si="38">I205/$I$213</f>
        <v>0.20270651541654974</v>
      </c>
    </row>
    <row r="206" spans="1:10" x14ac:dyDescent="0.85">
      <c r="A206" s="31" t="s">
        <v>215</v>
      </c>
      <c r="B206" s="64">
        <v>1556184393.5899997</v>
      </c>
      <c r="C206" s="64">
        <v>994336.85000000009</v>
      </c>
      <c r="D206" s="64">
        <v>0</v>
      </c>
      <c r="E206" s="64">
        <v>0</v>
      </c>
      <c r="F206" s="64">
        <v>0</v>
      </c>
      <c r="G206" s="64">
        <v>0</v>
      </c>
      <c r="H206" s="64">
        <v>0</v>
      </c>
      <c r="I206" s="36">
        <f t="shared" si="36"/>
        <v>1557178730.4399996</v>
      </c>
      <c r="J206" s="37">
        <f t="shared" si="38"/>
        <v>0.77468204197130308</v>
      </c>
    </row>
    <row r="207" spans="1:10" x14ac:dyDescent="0.85">
      <c r="A207" s="31" t="s">
        <v>216</v>
      </c>
      <c r="B207" s="64">
        <v>10519506.759999996</v>
      </c>
      <c r="C207" s="64">
        <v>44739.990000000005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10564246.749999996</v>
      </c>
      <c r="J207" s="37">
        <f t="shared" si="38"/>
        <v>5.2556152252774676E-3</v>
      </c>
    </row>
    <row r="208" spans="1:10" x14ac:dyDescent="0.85">
      <c r="A208" s="31" t="s">
        <v>413</v>
      </c>
      <c r="B208" s="64">
        <v>18943061.979999997</v>
      </c>
      <c r="C208" s="64">
        <v>4354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18947415.979999997</v>
      </c>
      <c r="J208" s="37">
        <f t="shared" si="38"/>
        <v>9.4261645208309434E-3</v>
      </c>
    </row>
    <row r="209" spans="1:10" x14ac:dyDescent="0.85">
      <c r="A209" s="31" t="s">
        <v>217</v>
      </c>
      <c r="B209" s="64">
        <v>1349107.8099999998</v>
      </c>
      <c r="C209" s="64">
        <v>0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1349107.8099999998</v>
      </c>
      <c r="J209" s="37">
        <f t="shared" si="38"/>
        <v>6.7116868003643914E-4</v>
      </c>
    </row>
    <row r="210" spans="1:10" x14ac:dyDescent="0.85">
      <c r="A210" s="31" t="s">
        <v>218</v>
      </c>
      <c r="B210" s="64">
        <v>13377095.59</v>
      </c>
      <c r="C210" s="64">
        <v>1511.6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13378607.189999999</v>
      </c>
      <c r="J210" s="37">
        <f t="shared" si="38"/>
        <v>6.6557335610104539E-3</v>
      </c>
    </row>
    <row r="211" spans="1:10" x14ac:dyDescent="0.85">
      <c r="A211" s="31" t="s">
        <v>219</v>
      </c>
      <c r="B211" s="64">
        <v>701216.50999999989</v>
      </c>
      <c r="C211" s="64">
        <v>460504.32999999996</v>
      </c>
      <c r="D211" s="64">
        <v>48978</v>
      </c>
      <c r="E211" s="64">
        <v>0</v>
      </c>
      <c r="F211" s="64">
        <v>902.79</v>
      </c>
      <c r="G211" s="64">
        <v>0</v>
      </c>
      <c r="H211" s="64">
        <v>0</v>
      </c>
      <c r="I211" s="36">
        <f t="shared" ref="I211" si="39">SUM(B211:H211)</f>
        <v>1211601.6299999999</v>
      </c>
      <c r="J211" s="37">
        <f t="shared" si="38"/>
        <v>6.0276062499193313E-4</v>
      </c>
    </row>
    <row r="212" spans="1:10" x14ac:dyDescent="0.85">
      <c r="A212" s="31" t="s">
        <v>526</v>
      </c>
      <c r="B212" s="64">
        <v>0</v>
      </c>
      <c r="C212" s="64">
        <v>0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36">
        <f t="shared" si="36"/>
        <v>0</v>
      </c>
      <c r="J212" s="37">
        <f t="shared" si="38"/>
        <v>0</v>
      </c>
    </row>
    <row r="213" spans="1:10" x14ac:dyDescent="0.85">
      <c r="A213" s="35" t="s">
        <v>221</v>
      </c>
      <c r="B213" s="65">
        <f>SUM(B205:B212)</f>
        <v>1997191726.1199996</v>
      </c>
      <c r="C213" s="65">
        <f t="shared" ref="C213:H213" si="40">SUM(C205:C212)</f>
        <v>12845946.530000001</v>
      </c>
      <c r="D213" s="65">
        <f t="shared" si="40"/>
        <v>48978</v>
      </c>
      <c r="E213" s="65">
        <f t="shared" si="40"/>
        <v>0</v>
      </c>
      <c r="F213" s="65">
        <f>SUM(F205:F212)</f>
        <v>902.79</v>
      </c>
      <c r="G213" s="65">
        <f>SUM(G205:G212)</f>
        <v>0</v>
      </c>
      <c r="H213" s="65">
        <f t="shared" si="40"/>
        <v>0</v>
      </c>
      <c r="I213" s="38">
        <f t="shared" si="36"/>
        <v>2010087553.4399996</v>
      </c>
      <c r="J213" s="39">
        <f>SUM(J205:J212)</f>
        <v>1</v>
      </c>
    </row>
    <row r="214" spans="1:10" x14ac:dyDescent="0.85">
      <c r="B214" s="64"/>
      <c r="C214" s="64"/>
      <c r="D214" s="64"/>
      <c r="E214" s="64"/>
      <c r="F214" s="64"/>
      <c r="G214" s="64"/>
      <c r="H214" s="64"/>
      <c r="I214" s="36"/>
    </row>
    <row r="215" spans="1:10" ht="58.5" thickBot="1" x14ac:dyDescent="0.9">
      <c r="A215" s="35" t="s">
        <v>208</v>
      </c>
      <c r="B215" s="66">
        <f>B202-B213</f>
        <v>1594202.8200001717</v>
      </c>
      <c r="C215" s="66">
        <f>C202-C213</f>
        <v>185236.60999999754</v>
      </c>
      <c r="D215" s="66">
        <f t="shared" ref="D215:H215" si="41">D202-D213</f>
        <v>898279.8600000001</v>
      </c>
      <c r="E215" s="66">
        <f t="shared" si="41"/>
        <v>0</v>
      </c>
      <c r="F215" s="66">
        <f>F202-F213</f>
        <v>346548.18000000005</v>
      </c>
      <c r="G215" s="66">
        <f>G202-G213</f>
        <v>0</v>
      </c>
      <c r="H215" s="66">
        <f t="shared" si="41"/>
        <v>0</v>
      </c>
      <c r="I215" s="40">
        <f t="shared" si="36"/>
        <v>3024267.4700001697</v>
      </c>
    </row>
    <row r="216" spans="1:10" x14ac:dyDescent="0.85">
      <c r="B216" s="64"/>
      <c r="C216" s="64"/>
      <c r="D216" s="64"/>
      <c r="E216" s="64"/>
      <c r="F216" s="64"/>
      <c r="G216" s="64"/>
      <c r="H216" s="64"/>
      <c r="I216" s="36">
        <f t="shared" si="36"/>
        <v>0</v>
      </c>
    </row>
    <row r="217" spans="1:10" x14ac:dyDescent="0.85">
      <c r="A217" s="35" t="s">
        <v>206</v>
      </c>
      <c r="B217" s="64"/>
      <c r="C217" s="64"/>
      <c r="D217" s="64"/>
      <c r="E217" s="64"/>
      <c r="F217" s="64"/>
      <c r="G217" s="64"/>
      <c r="H217" s="64"/>
      <c r="I217" s="36">
        <f t="shared" si="36"/>
        <v>0</v>
      </c>
    </row>
    <row r="218" spans="1:10" x14ac:dyDescent="0.85"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5" t="s">
        <v>222</v>
      </c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A220" s="31" t="s">
        <v>223</v>
      </c>
      <c r="B220" s="64">
        <v>579631.97</v>
      </c>
      <c r="C220" s="64">
        <v>143128.1</v>
      </c>
      <c r="D220" s="64">
        <v>200744.17</v>
      </c>
      <c r="E220" s="64">
        <v>0</v>
      </c>
      <c r="F220" s="64">
        <v>106789.35</v>
      </c>
      <c r="G220" s="64">
        <v>0</v>
      </c>
      <c r="H220" s="64">
        <v>0</v>
      </c>
      <c r="I220" s="36">
        <f t="shared" si="36"/>
        <v>1030293.59</v>
      </c>
      <c r="J220" s="37">
        <f t="shared" ref="J220:J229" si="42">I220/$I$230</f>
        <v>0.72599658589930816</v>
      </c>
    </row>
    <row r="221" spans="1:10" x14ac:dyDescent="0.85">
      <c r="A221" s="31" t="s">
        <v>530</v>
      </c>
      <c r="B221" s="64">
        <v>40102.07</v>
      </c>
      <c r="C221" s="64">
        <v>12750</v>
      </c>
      <c r="D221" s="64">
        <v>13585.4</v>
      </c>
      <c r="E221" s="64"/>
      <c r="F221" s="64">
        <v>2250</v>
      </c>
      <c r="G221" s="64"/>
      <c r="H221" s="64"/>
      <c r="I221" s="36">
        <f t="shared" si="36"/>
        <v>68687.47</v>
      </c>
      <c r="J221" s="37">
        <f t="shared" si="42"/>
        <v>4.8400639582801983E-2</v>
      </c>
    </row>
    <row r="222" spans="1:10" x14ac:dyDescent="0.85">
      <c r="A222" s="31" t="s">
        <v>224</v>
      </c>
      <c r="B222" s="64">
        <v>9483.26</v>
      </c>
      <c r="C222" s="64">
        <v>737.81</v>
      </c>
      <c r="D222" s="64">
        <v>783.93</v>
      </c>
      <c r="E222" s="64">
        <v>0</v>
      </c>
      <c r="F222" s="64">
        <v>0</v>
      </c>
      <c r="G222" s="64">
        <v>0</v>
      </c>
      <c r="H222" s="64">
        <v>0</v>
      </c>
      <c r="I222" s="36">
        <f t="shared" si="36"/>
        <v>11005</v>
      </c>
      <c r="J222" s="37">
        <f t="shared" si="42"/>
        <v>7.754675468593264E-3</v>
      </c>
    </row>
    <row r="223" spans="1:10" x14ac:dyDescent="0.85">
      <c r="A223" s="31" t="s">
        <v>225</v>
      </c>
      <c r="B223" s="64">
        <v>65308.509999999995</v>
      </c>
      <c r="C223" s="64">
        <v>15230.100000000002</v>
      </c>
      <c r="D223" s="64">
        <v>21283.38</v>
      </c>
      <c r="E223" s="64">
        <v>0</v>
      </c>
      <c r="F223" s="64">
        <v>6997.8599999999988</v>
      </c>
      <c r="G223" s="64">
        <v>0</v>
      </c>
      <c r="H223" s="64">
        <v>0</v>
      </c>
      <c r="I223" s="36">
        <f t="shared" si="36"/>
        <v>108819.85</v>
      </c>
      <c r="J223" s="37">
        <f t="shared" si="42"/>
        <v>7.6679929240436054E-2</v>
      </c>
    </row>
    <row r="224" spans="1:10" x14ac:dyDescent="0.85">
      <c r="A224" s="31" t="s">
        <v>226</v>
      </c>
      <c r="B224" s="64">
        <v>70689.180000000008</v>
      </c>
      <c r="C224" s="64">
        <v>15434.509999999998</v>
      </c>
      <c r="D224" s="64">
        <v>27354.43</v>
      </c>
      <c r="E224" s="64">
        <v>0</v>
      </c>
      <c r="F224" s="64">
        <v>14548.59</v>
      </c>
      <c r="G224" s="64">
        <v>0</v>
      </c>
      <c r="H224" s="64">
        <v>0</v>
      </c>
      <c r="I224" s="36">
        <f t="shared" si="36"/>
        <v>128026.70999999999</v>
      </c>
      <c r="J224" s="37">
        <f t="shared" si="42"/>
        <v>9.021404701151331E-2</v>
      </c>
    </row>
    <row r="225" spans="1:10" x14ac:dyDescent="0.85">
      <c r="A225" s="31" t="s">
        <v>227</v>
      </c>
      <c r="B225" s="64">
        <v>9827.2100000000009</v>
      </c>
      <c r="C225" s="64">
        <v>2302.0700000000002</v>
      </c>
      <c r="D225" s="64">
        <v>3113.39</v>
      </c>
      <c r="E225" s="64">
        <v>0</v>
      </c>
      <c r="F225" s="64">
        <v>1000.8000000000001</v>
      </c>
      <c r="G225" s="64">
        <v>0</v>
      </c>
      <c r="H225" s="64">
        <v>0</v>
      </c>
      <c r="I225" s="36">
        <f t="shared" si="36"/>
        <v>16243.47</v>
      </c>
      <c r="J225" s="37">
        <f t="shared" si="42"/>
        <v>1.1445964410161802E-2</v>
      </c>
    </row>
    <row r="226" spans="1:10" x14ac:dyDescent="0.85">
      <c r="A226" s="31" t="s">
        <v>228</v>
      </c>
      <c r="B226" s="64">
        <v>23548.79</v>
      </c>
      <c r="C226" s="64">
        <v>5451.51</v>
      </c>
      <c r="D226" s="64">
        <v>6919.28</v>
      </c>
      <c r="E226" s="64">
        <v>0</v>
      </c>
      <c r="F226" s="64">
        <v>1500</v>
      </c>
      <c r="G226" s="64">
        <v>0</v>
      </c>
      <c r="H226" s="64">
        <v>0</v>
      </c>
      <c r="I226" s="36">
        <f t="shared" si="36"/>
        <v>37419.58</v>
      </c>
      <c r="J226" s="37">
        <f t="shared" si="42"/>
        <v>2.6367714590737223E-2</v>
      </c>
    </row>
    <row r="227" spans="1:10" x14ac:dyDescent="0.85">
      <c r="A227" s="31" t="s">
        <v>304</v>
      </c>
      <c r="B227" s="64">
        <v>4538.55</v>
      </c>
      <c r="C227" s="64">
        <v>0</v>
      </c>
      <c r="D227" s="64">
        <v>467.66999999999996</v>
      </c>
      <c r="E227" s="64">
        <v>0</v>
      </c>
      <c r="F227" s="64">
        <v>415</v>
      </c>
      <c r="G227" s="64">
        <v>0</v>
      </c>
      <c r="H227" s="64">
        <v>0</v>
      </c>
      <c r="I227" s="36">
        <f t="shared" si="36"/>
        <v>5421.22</v>
      </c>
      <c r="J227" s="37">
        <f t="shared" si="42"/>
        <v>3.8200637659106932E-3</v>
      </c>
    </row>
    <row r="228" spans="1:10" x14ac:dyDescent="0.85">
      <c r="A228" s="31" t="s">
        <v>229</v>
      </c>
      <c r="B228" s="64">
        <v>1622.36</v>
      </c>
      <c r="C228" s="64">
        <v>0</v>
      </c>
      <c r="D228" s="64">
        <v>370</v>
      </c>
      <c r="E228" s="64">
        <v>0</v>
      </c>
      <c r="F228" s="64">
        <v>0</v>
      </c>
      <c r="G228" s="64">
        <v>0</v>
      </c>
      <c r="H228" s="64">
        <v>0</v>
      </c>
      <c r="I228" s="36">
        <f t="shared" si="36"/>
        <v>1992.36</v>
      </c>
      <c r="J228" s="37">
        <f t="shared" si="42"/>
        <v>1.4039168756571081E-3</v>
      </c>
    </row>
    <row r="229" spans="1:10" x14ac:dyDescent="0.85">
      <c r="A229" s="31" t="s">
        <v>243</v>
      </c>
      <c r="B229" s="64">
        <v>7034.6</v>
      </c>
      <c r="C229" s="64">
        <v>1200</v>
      </c>
      <c r="D229" s="64">
        <v>3000</v>
      </c>
      <c r="E229" s="64">
        <v>0</v>
      </c>
      <c r="F229" s="64">
        <v>0</v>
      </c>
      <c r="G229" s="64">
        <v>0</v>
      </c>
      <c r="H229" s="64">
        <v>0</v>
      </c>
      <c r="I229" s="36">
        <f t="shared" si="36"/>
        <v>11234.6</v>
      </c>
      <c r="J229" s="37">
        <f t="shared" si="42"/>
        <v>7.9164631548803172E-3</v>
      </c>
    </row>
    <row r="230" spans="1:10" x14ac:dyDescent="0.85">
      <c r="A230" s="35" t="s">
        <v>230</v>
      </c>
      <c r="B230" s="65">
        <f t="shared" ref="B230:H230" si="43">SUM(B220:B229)</f>
        <v>811786.5</v>
      </c>
      <c r="C230" s="65">
        <f t="shared" si="43"/>
        <v>196234.10000000003</v>
      </c>
      <c r="D230" s="65">
        <f t="shared" si="43"/>
        <v>277621.65000000002</v>
      </c>
      <c r="E230" s="65">
        <f t="shared" si="43"/>
        <v>0</v>
      </c>
      <c r="F230" s="65">
        <f t="shared" si="43"/>
        <v>133501.6</v>
      </c>
      <c r="G230" s="65">
        <f t="shared" si="43"/>
        <v>0</v>
      </c>
      <c r="H230" s="65">
        <f t="shared" si="43"/>
        <v>0</v>
      </c>
      <c r="I230" s="38">
        <f t="shared" si="36"/>
        <v>1419143.85</v>
      </c>
      <c r="J230" s="39">
        <f>SUM(J220:J229)</f>
        <v>1</v>
      </c>
    </row>
    <row r="231" spans="1:10" x14ac:dyDescent="0.85">
      <c r="B231" s="64"/>
      <c r="C231" s="64"/>
      <c r="D231" s="64"/>
      <c r="E231" s="64"/>
      <c r="F231" s="64"/>
      <c r="G231" s="64"/>
      <c r="H231" s="64"/>
      <c r="I231" s="36"/>
    </row>
    <row r="232" spans="1:10" ht="92.25" x14ac:dyDescent="0.85">
      <c r="A232" s="33"/>
      <c r="B232" s="62"/>
      <c r="C232" s="62"/>
      <c r="D232" s="62"/>
      <c r="E232" s="162">
        <v>2018</v>
      </c>
      <c r="F232" s="62"/>
      <c r="G232" s="62"/>
      <c r="H232" s="62"/>
      <c r="I232" s="33"/>
      <c r="J232" s="32">
        <v>2019</v>
      </c>
    </row>
    <row r="233" spans="1:10" ht="92.25" x14ac:dyDescent="0.85">
      <c r="A233" s="33"/>
      <c r="B233" s="62"/>
      <c r="C233" s="62"/>
      <c r="D233" s="62"/>
      <c r="E233" s="162" t="s">
        <v>540</v>
      </c>
      <c r="F233" s="62"/>
      <c r="G233" s="62"/>
      <c r="H233" s="62"/>
      <c r="I233" s="33"/>
      <c r="J233" s="32" t="s">
        <v>338</v>
      </c>
    </row>
    <row r="234" spans="1:10" ht="92.25" x14ac:dyDescent="1.35">
      <c r="B234" s="60"/>
      <c r="C234" s="60"/>
      <c r="D234" s="60"/>
      <c r="E234" s="163" t="s">
        <v>339</v>
      </c>
      <c r="F234" s="60"/>
      <c r="G234" s="60"/>
      <c r="H234" s="60"/>
      <c r="J234" s="32" t="s">
        <v>336</v>
      </c>
    </row>
    <row r="235" spans="1:10" ht="92.25" x14ac:dyDescent="1.35">
      <c r="B235" s="60"/>
      <c r="C235" s="60"/>
      <c r="D235" s="60"/>
      <c r="E235" s="164">
        <f>A187</f>
        <v>43585</v>
      </c>
      <c r="F235" s="60"/>
      <c r="G235" s="60"/>
      <c r="H235" s="60"/>
      <c r="I235" s="32" t="s">
        <v>204</v>
      </c>
      <c r="J235" s="32" t="s">
        <v>204</v>
      </c>
    </row>
    <row r="236" spans="1:10" x14ac:dyDescent="0.85">
      <c r="B236" s="63" t="s">
        <v>209</v>
      </c>
      <c r="C236" s="63" t="s">
        <v>211</v>
      </c>
      <c r="D236" s="63" t="s">
        <v>210</v>
      </c>
      <c r="E236" s="63" t="s">
        <v>212</v>
      </c>
      <c r="F236" s="63" t="s">
        <v>213</v>
      </c>
      <c r="G236" s="63" t="s">
        <v>398</v>
      </c>
      <c r="H236" s="63" t="s">
        <v>410</v>
      </c>
      <c r="I236" s="34">
        <v>2019</v>
      </c>
      <c r="J236" s="32" t="s">
        <v>334</v>
      </c>
    </row>
    <row r="237" spans="1:10" x14ac:dyDescent="0.85">
      <c r="A237" s="35" t="s">
        <v>476</v>
      </c>
      <c r="B237" s="64"/>
      <c r="C237" s="64"/>
      <c r="D237" s="64"/>
      <c r="E237" s="64"/>
      <c r="F237" s="64"/>
      <c r="G237" s="64"/>
      <c r="H237" s="64"/>
      <c r="I237" s="36"/>
    </row>
    <row r="238" spans="1:10" x14ac:dyDescent="0.85">
      <c r="A238" s="31" t="s">
        <v>231</v>
      </c>
      <c r="B238" s="64">
        <v>125100</v>
      </c>
      <c r="C238" s="64">
        <v>15000</v>
      </c>
      <c r="D238" s="64">
        <v>112500</v>
      </c>
      <c r="E238" s="64">
        <v>0</v>
      </c>
      <c r="F238" s="64">
        <v>3000</v>
      </c>
      <c r="G238" s="64">
        <v>0</v>
      </c>
      <c r="H238" s="64">
        <v>0</v>
      </c>
      <c r="I238" s="36">
        <f t="shared" si="36"/>
        <v>255600</v>
      </c>
      <c r="J238" s="37">
        <f t="shared" ref="J238:J259" si="44">I238/$I$260</f>
        <v>0.22054410249150375</v>
      </c>
    </row>
    <row r="239" spans="1:10" x14ac:dyDescent="0.85">
      <c r="A239" s="31" t="s">
        <v>232</v>
      </c>
      <c r="B239" s="64">
        <v>13146.93</v>
      </c>
      <c r="C239" s="64">
        <v>0</v>
      </c>
      <c r="D239" s="64">
        <v>30587.250000000004</v>
      </c>
      <c r="E239" s="64">
        <v>0</v>
      </c>
      <c r="F239" s="64">
        <v>2548</v>
      </c>
      <c r="G239" s="64">
        <v>0</v>
      </c>
      <c r="H239" s="64">
        <v>0</v>
      </c>
      <c r="I239" s="36">
        <f t="shared" si="36"/>
        <v>46282.180000000008</v>
      </c>
      <c r="J239" s="37">
        <f t="shared" si="44"/>
        <v>3.993451427797428E-2</v>
      </c>
    </row>
    <row r="240" spans="1:10" x14ac:dyDescent="0.85">
      <c r="A240" s="31" t="s">
        <v>233</v>
      </c>
      <c r="B240" s="64">
        <v>10075.210000000001</v>
      </c>
      <c r="C240" s="64">
        <v>0</v>
      </c>
      <c r="D240" s="64">
        <v>5778.34</v>
      </c>
      <c r="E240" s="64">
        <v>0</v>
      </c>
      <c r="F240" s="64">
        <v>24921.96</v>
      </c>
      <c r="G240" s="64">
        <v>0</v>
      </c>
      <c r="H240" s="64">
        <v>0</v>
      </c>
      <c r="I240" s="36">
        <f t="shared" si="36"/>
        <v>40775.51</v>
      </c>
      <c r="J240" s="37">
        <f t="shared" si="44"/>
        <v>3.5183091770670333E-2</v>
      </c>
    </row>
    <row r="241" spans="1:10" x14ac:dyDescent="0.85">
      <c r="A241" s="31" t="s">
        <v>332</v>
      </c>
      <c r="B241" s="64">
        <v>666.04</v>
      </c>
      <c r="C241" s="64">
        <v>0</v>
      </c>
      <c r="D241" s="64">
        <v>998.06</v>
      </c>
      <c r="E241" s="64">
        <v>0</v>
      </c>
      <c r="F241" s="64">
        <v>0</v>
      </c>
      <c r="G241" s="64">
        <v>0</v>
      </c>
      <c r="H241" s="64">
        <v>0</v>
      </c>
      <c r="I241" s="36">
        <f t="shared" si="36"/>
        <v>1664.1</v>
      </c>
      <c r="J241" s="37">
        <f t="shared" si="44"/>
        <v>1.435866357418276E-3</v>
      </c>
    </row>
    <row r="242" spans="1:10" x14ac:dyDescent="0.85">
      <c r="A242" s="31" t="s">
        <v>287</v>
      </c>
      <c r="B242" s="64">
        <v>546.09999999999991</v>
      </c>
      <c r="C242" s="64">
        <v>0</v>
      </c>
      <c r="D242" s="64">
        <v>487</v>
      </c>
      <c r="E242" s="64">
        <v>0</v>
      </c>
      <c r="F242" s="64">
        <v>2243.73</v>
      </c>
      <c r="G242" s="64">
        <v>0</v>
      </c>
      <c r="H242" s="64">
        <v>0</v>
      </c>
      <c r="I242" s="36">
        <f t="shared" si="36"/>
        <v>3276.83</v>
      </c>
      <c r="J242" s="37">
        <f t="shared" si="44"/>
        <v>2.8274081821879271E-3</v>
      </c>
    </row>
    <row r="243" spans="1:10" x14ac:dyDescent="0.85">
      <c r="A243" s="31" t="s">
        <v>436</v>
      </c>
      <c r="B243" s="64">
        <v>7775.75</v>
      </c>
      <c r="C243" s="64">
        <v>0</v>
      </c>
      <c r="D243" s="64">
        <v>3275</v>
      </c>
      <c r="E243" s="64">
        <v>0</v>
      </c>
      <c r="F243" s="64">
        <v>0</v>
      </c>
      <c r="G243" s="64">
        <v>0</v>
      </c>
      <c r="H243" s="64">
        <v>0</v>
      </c>
      <c r="I243" s="36">
        <f t="shared" si="36"/>
        <v>11050.75</v>
      </c>
      <c r="J243" s="37">
        <f t="shared" si="44"/>
        <v>9.5351241807824141E-3</v>
      </c>
    </row>
    <row r="244" spans="1:10" x14ac:dyDescent="0.85">
      <c r="A244" s="31" t="s">
        <v>234</v>
      </c>
      <c r="B244" s="64">
        <v>29559.97</v>
      </c>
      <c r="C244" s="64">
        <v>0</v>
      </c>
      <c r="D244" s="64">
        <v>8419.42</v>
      </c>
      <c r="E244" s="64">
        <v>0</v>
      </c>
      <c r="F244" s="64">
        <v>6210.33</v>
      </c>
      <c r="G244" s="64">
        <v>0</v>
      </c>
      <c r="H244" s="64">
        <v>0</v>
      </c>
      <c r="I244" s="36">
        <f t="shared" si="36"/>
        <v>44189.72</v>
      </c>
      <c r="J244" s="37">
        <f t="shared" si="44"/>
        <v>3.812903809370443E-2</v>
      </c>
    </row>
    <row r="245" spans="1:10" x14ac:dyDescent="0.85">
      <c r="A245" s="31" t="s">
        <v>367</v>
      </c>
      <c r="B245" s="64"/>
      <c r="C245" s="64">
        <v>0</v>
      </c>
      <c r="D245" s="64">
        <v>0</v>
      </c>
      <c r="E245" s="64">
        <v>0</v>
      </c>
      <c r="F245" s="64">
        <v>2539.3000000000002</v>
      </c>
      <c r="G245" s="64">
        <v>0</v>
      </c>
      <c r="H245" s="64">
        <v>0</v>
      </c>
      <c r="I245" s="36">
        <f t="shared" si="36"/>
        <v>2539.3000000000002</v>
      </c>
      <c r="J245" s="37">
        <f t="shared" si="44"/>
        <v>2.1910314532733784E-3</v>
      </c>
    </row>
    <row r="246" spans="1:10" x14ac:dyDescent="0.85">
      <c r="A246" s="31" t="s">
        <v>236</v>
      </c>
      <c r="B246" s="64">
        <v>27931.58</v>
      </c>
      <c r="C246" s="64">
        <v>0</v>
      </c>
      <c r="D246" s="64">
        <v>20310.48</v>
      </c>
      <c r="E246" s="64">
        <v>0</v>
      </c>
      <c r="F246" s="64">
        <v>0</v>
      </c>
      <c r="G246" s="64">
        <v>0</v>
      </c>
      <c r="H246" s="64">
        <v>0</v>
      </c>
      <c r="I246" s="36">
        <f t="shared" si="36"/>
        <v>48242.06</v>
      </c>
      <c r="J246" s="37">
        <f t="shared" si="44"/>
        <v>4.1625593994684164E-2</v>
      </c>
    </row>
    <row r="247" spans="1:10" x14ac:dyDescent="0.85">
      <c r="A247" s="31" t="s">
        <v>237</v>
      </c>
      <c r="B247" s="64">
        <v>8853.4</v>
      </c>
      <c r="C247" s="64">
        <v>0</v>
      </c>
      <c r="D247" s="64">
        <v>1330.56</v>
      </c>
      <c r="E247" s="64">
        <v>0</v>
      </c>
      <c r="F247" s="64">
        <v>0</v>
      </c>
      <c r="G247" s="64">
        <v>0</v>
      </c>
      <c r="H247" s="64">
        <v>0</v>
      </c>
      <c r="I247" s="36">
        <f t="shared" si="36"/>
        <v>10183.959999999999</v>
      </c>
      <c r="J247" s="37">
        <f t="shared" si="44"/>
        <v>8.7872156416642193E-3</v>
      </c>
    </row>
    <row r="248" spans="1:10" x14ac:dyDescent="0.85">
      <c r="A248" s="31" t="s">
        <v>235</v>
      </c>
      <c r="B248" s="64">
        <v>14041.01</v>
      </c>
      <c r="C248" s="64">
        <v>1320</v>
      </c>
      <c r="D248" s="64">
        <v>75154.98</v>
      </c>
      <c r="E248" s="64">
        <v>0</v>
      </c>
      <c r="F248" s="64">
        <v>7538.01</v>
      </c>
      <c r="G248" s="64">
        <v>0</v>
      </c>
      <c r="H248" s="64">
        <v>0</v>
      </c>
      <c r="I248" s="36">
        <f t="shared" si="36"/>
        <v>98053.999999999985</v>
      </c>
      <c r="J248" s="37">
        <f t="shared" si="44"/>
        <v>8.4605756751572392E-2</v>
      </c>
    </row>
    <row r="249" spans="1:10" x14ac:dyDescent="0.85">
      <c r="A249" s="31" t="s">
        <v>352</v>
      </c>
      <c r="B249" s="64">
        <v>0</v>
      </c>
      <c r="C249" s="64">
        <v>0</v>
      </c>
      <c r="D249" s="64">
        <v>0</v>
      </c>
      <c r="E249" s="64">
        <v>0</v>
      </c>
      <c r="F249" s="64">
        <v>6357.5</v>
      </c>
      <c r="G249" s="64">
        <v>0</v>
      </c>
      <c r="H249" s="64">
        <v>0</v>
      </c>
      <c r="I249" s="36">
        <f t="shared" si="36"/>
        <v>6357.5</v>
      </c>
      <c r="J249" s="37">
        <f t="shared" si="44"/>
        <v>5.4855599827454424E-3</v>
      </c>
    </row>
    <row r="250" spans="1:10" x14ac:dyDescent="0.85">
      <c r="A250" s="31" t="s">
        <v>238</v>
      </c>
      <c r="B250" s="64">
        <v>14526.06</v>
      </c>
      <c r="C250" s="64">
        <v>0</v>
      </c>
      <c r="D250" s="64">
        <v>548.59</v>
      </c>
      <c r="E250" s="64">
        <v>0</v>
      </c>
      <c r="F250" s="64">
        <v>0</v>
      </c>
      <c r="G250" s="64">
        <v>0</v>
      </c>
      <c r="H250" s="64">
        <v>0</v>
      </c>
      <c r="I250" s="36">
        <f t="shared" si="36"/>
        <v>15074.65</v>
      </c>
      <c r="J250" s="37">
        <f t="shared" si="44"/>
        <v>1.3007140667541262E-2</v>
      </c>
    </row>
    <row r="251" spans="1:10" x14ac:dyDescent="0.85">
      <c r="A251" s="31" t="s">
        <v>239</v>
      </c>
      <c r="B251" s="64">
        <v>4777.68</v>
      </c>
      <c r="C251" s="64">
        <v>0</v>
      </c>
      <c r="D251" s="64">
        <v>1146.24</v>
      </c>
      <c r="E251" s="64">
        <v>0</v>
      </c>
      <c r="F251" s="64">
        <v>0</v>
      </c>
      <c r="G251" s="64">
        <v>0</v>
      </c>
      <c r="H251" s="64">
        <v>0</v>
      </c>
      <c r="I251" s="36">
        <f t="shared" si="36"/>
        <v>5923.92</v>
      </c>
      <c r="J251" s="37">
        <f t="shared" si="44"/>
        <v>5.1114460861951053E-3</v>
      </c>
    </row>
    <row r="252" spans="1:10" x14ac:dyDescent="0.85">
      <c r="A252" s="31" t="s">
        <v>240</v>
      </c>
      <c r="B252" s="64">
        <v>999.99</v>
      </c>
      <c r="C252" s="64">
        <v>0</v>
      </c>
      <c r="D252" s="64">
        <v>0</v>
      </c>
      <c r="E252" s="64">
        <v>0</v>
      </c>
      <c r="F252" s="64">
        <v>0</v>
      </c>
      <c r="G252" s="64">
        <v>0</v>
      </c>
      <c r="H252" s="64">
        <v>0</v>
      </c>
      <c r="I252" s="36">
        <f t="shared" si="36"/>
        <v>999.99</v>
      </c>
      <c r="J252" s="37">
        <f t="shared" si="44"/>
        <v>8.6283997281095008E-4</v>
      </c>
    </row>
    <row r="253" spans="1:10" x14ac:dyDescent="0.85">
      <c r="A253" s="31" t="s">
        <v>241</v>
      </c>
      <c r="B253" s="64">
        <v>329280.83</v>
      </c>
      <c r="C253" s="64">
        <v>1254.8700000000001</v>
      </c>
      <c r="D253" s="64">
        <v>31611.57</v>
      </c>
      <c r="E253" s="64">
        <v>0</v>
      </c>
      <c r="F253" s="64">
        <v>26134.49</v>
      </c>
      <c r="G253" s="64">
        <v>27876.300000000003</v>
      </c>
      <c r="H253" s="64">
        <v>50495.039999999994</v>
      </c>
      <c r="I253" s="36">
        <f t="shared" si="36"/>
        <v>466653.1</v>
      </c>
      <c r="J253" s="37">
        <f t="shared" si="44"/>
        <v>0.40265097462589178</v>
      </c>
    </row>
    <row r="254" spans="1:10" x14ac:dyDescent="0.85">
      <c r="A254" s="31" t="s">
        <v>251</v>
      </c>
      <c r="B254" s="64">
        <v>2052.4899999999998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36">
        <f t="shared" si="36"/>
        <v>2052.4899999999998</v>
      </c>
      <c r="J254" s="37">
        <f t="shared" si="44"/>
        <v>1.7709881256760035E-3</v>
      </c>
    </row>
    <row r="255" spans="1:10" x14ac:dyDescent="0.85">
      <c r="A255" s="31" t="s">
        <v>349</v>
      </c>
      <c r="B255" s="64">
        <v>509.75</v>
      </c>
      <c r="C255" s="64">
        <v>228.95999999999998</v>
      </c>
      <c r="D255" s="64">
        <v>109</v>
      </c>
      <c r="E255" s="64">
        <v>109</v>
      </c>
      <c r="F255" s="64">
        <v>823.97</v>
      </c>
      <c r="G255" s="64">
        <v>0</v>
      </c>
      <c r="H255" s="64">
        <v>650</v>
      </c>
      <c r="I255" s="36">
        <f t="shared" si="36"/>
        <v>2430.6800000000003</v>
      </c>
      <c r="J255" s="37">
        <f t="shared" si="44"/>
        <v>2.0973088382005025E-3</v>
      </c>
    </row>
    <row r="256" spans="1:10" x14ac:dyDescent="0.85">
      <c r="A256" s="31" t="s">
        <v>244</v>
      </c>
      <c r="B256" s="64">
        <v>4433.41</v>
      </c>
      <c r="C256" s="64">
        <v>477</v>
      </c>
      <c r="D256" s="64">
        <v>4496.7000000000007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9407.11</v>
      </c>
      <c r="J256" s="37">
        <f t="shared" si="44"/>
        <v>8.1169117057466739E-3</v>
      </c>
    </row>
    <row r="257" spans="1:10" x14ac:dyDescent="0.85">
      <c r="A257" s="31" t="s">
        <v>245</v>
      </c>
      <c r="B257" s="64">
        <v>33425.269999999997</v>
      </c>
      <c r="C257" s="64">
        <v>4680</v>
      </c>
      <c r="D257" s="64">
        <v>22030.080000000002</v>
      </c>
      <c r="E257" s="64">
        <v>0</v>
      </c>
      <c r="F257" s="64">
        <v>0</v>
      </c>
      <c r="G257" s="64">
        <v>0</v>
      </c>
      <c r="H257" s="64">
        <v>0</v>
      </c>
      <c r="I257" s="36">
        <f t="shared" si="36"/>
        <v>60135.35</v>
      </c>
      <c r="J257" s="37">
        <f t="shared" si="44"/>
        <v>5.188770263600332E-2</v>
      </c>
    </row>
    <row r="258" spans="1:10" x14ac:dyDescent="0.85">
      <c r="A258" s="31" t="s">
        <v>361</v>
      </c>
      <c r="B258" s="64">
        <v>10875.41</v>
      </c>
      <c r="C258" s="64">
        <v>0</v>
      </c>
      <c r="D258" s="64">
        <v>0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10875.41</v>
      </c>
      <c r="J258" s="37">
        <f t="shared" si="44"/>
        <v>9.3838323070310047E-3</v>
      </c>
    </row>
    <row r="259" spans="1:10" x14ac:dyDescent="0.85">
      <c r="A259" s="31" t="s">
        <v>362</v>
      </c>
      <c r="B259" s="64">
        <v>9735.68</v>
      </c>
      <c r="C259" s="64">
        <v>1969.29</v>
      </c>
      <c r="D259" s="64">
        <v>3664.86</v>
      </c>
      <c r="E259" s="64">
        <v>0</v>
      </c>
      <c r="F259" s="64">
        <v>1813.43</v>
      </c>
      <c r="G259" s="64">
        <v>0</v>
      </c>
      <c r="H259" s="64">
        <v>0</v>
      </c>
      <c r="I259" s="36">
        <f t="shared" si="36"/>
        <v>17183.260000000002</v>
      </c>
      <c r="J259" s="37">
        <f t="shared" si="44"/>
        <v>1.4826551856722055E-2</v>
      </c>
    </row>
    <row r="260" spans="1:10" x14ac:dyDescent="0.85">
      <c r="A260" s="35" t="s">
        <v>246</v>
      </c>
      <c r="B260" s="65">
        <f t="shared" ref="B260:H260" si="45">SUM(B238:B259)</f>
        <v>648312.56000000017</v>
      </c>
      <c r="C260" s="65">
        <f t="shared" si="45"/>
        <v>24930.12</v>
      </c>
      <c r="D260" s="65">
        <f t="shared" si="45"/>
        <v>322448.13</v>
      </c>
      <c r="E260" s="65">
        <f t="shared" si="45"/>
        <v>109</v>
      </c>
      <c r="F260" s="65">
        <f t="shared" si="45"/>
        <v>84130.72</v>
      </c>
      <c r="G260" s="65">
        <f t="shared" si="45"/>
        <v>27876.300000000003</v>
      </c>
      <c r="H260" s="65">
        <f t="shared" si="45"/>
        <v>51145.039999999994</v>
      </c>
      <c r="I260" s="38">
        <f t="shared" si="36"/>
        <v>1158951.8700000003</v>
      </c>
      <c r="J260" s="39">
        <f>SUM(J238:J259)</f>
        <v>0.99999999999999978</v>
      </c>
    </row>
    <row r="261" spans="1:10" x14ac:dyDescent="0.85">
      <c r="B261" s="64"/>
      <c r="C261" s="64"/>
      <c r="D261" s="64"/>
      <c r="E261" s="64"/>
      <c r="F261" s="64"/>
      <c r="G261" s="64"/>
      <c r="H261" s="64"/>
      <c r="I261" s="36"/>
    </row>
    <row r="262" spans="1:10" x14ac:dyDescent="0.85">
      <c r="A262" s="35" t="s">
        <v>247</v>
      </c>
      <c r="B262" s="64"/>
      <c r="C262" s="64"/>
      <c r="D262" s="64"/>
      <c r="E262" s="64"/>
      <c r="F262" s="64"/>
      <c r="G262" s="64"/>
      <c r="H262" s="64"/>
      <c r="I262" s="36"/>
    </row>
    <row r="263" spans="1:10" x14ac:dyDescent="0.85">
      <c r="A263" s="31" t="s">
        <v>248</v>
      </c>
      <c r="B263" s="64">
        <v>3393.1899999999996</v>
      </c>
      <c r="C263" s="64">
        <v>0</v>
      </c>
      <c r="D263" s="64">
        <v>455.64</v>
      </c>
      <c r="E263" s="64">
        <v>0</v>
      </c>
      <c r="F263" s="64">
        <v>1459.02</v>
      </c>
      <c r="G263" s="64">
        <v>0</v>
      </c>
      <c r="H263" s="64">
        <v>0</v>
      </c>
      <c r="I263" s="36">
        <f t="shared" si="36"/>
        <v>5307.8499999999995</v>
      </c>
      <c r="J263" s="37">
        <f t="shared" ref="J263:J283" si="46">I263/$I$284</f>
        <v>2.4128563967571716E-2</v>
      </c>
    </row>
    <row r="264" spans="1:10" x14ac:dyDescent="0.85">
      <c r="A264" s="31" t="s">
        <v>384</v>
      </c>
      <c r="B264" s="64">
        <v>0</v>
      </c>
      <c r="C264" s="64">
        <v>0</v>
      </c>
      <c r="D264" s="64">
        <v>0</v>
      </c>
      <c r="E264" s="64">
        <v>0</v>
      </c>
      <c r="F264" s="64">
        <v>0</v>
      </c>
      <c r="G264" s="64">
        <v>0</v>
      </c>
      <c r="H264" s="64">
        <v>0</v>
      </c>
      <c r="I264" s="36">
        <f>SUM(B264:H264)</f>
        <v>0</v>
      </c>
      <c r="J264" s="37">
        <f t="shared" si="46"/>
        <v>0</v>
      </c>
    </row>
    <row r="265" spans="1:10" x14ac:dyDescent="0.85">
      <c r="A265" s="31" t="s">
        <v>532</v>
      </c>
      <c r="B265" s="64">
        <v>0</v>
      </c>
      <c r="C265" s="64">
        <v>0</v>
      </c>
      <c r="D265" s="64">
        <v>0</v>
      </c>
      <c r="E265" s="64">
        <v>0</v>
      </c>
      <c r="F265" s="64">
        <v>0</v>
      </c>
      <c r="G265" s="64">
        <v>0</v>
      </c>
      <c r="H265" s="64">
        <v>0</v>
      </c>
      <c r="I265" s="36">
        <f>SUM(B265:H265)</f>
        <v>0</v>
      </c>
      <c r="J265" s="37">
        <f t="shared" si="46"/>
        <v>0</v>
      </c>
    </row>
    <row r="266" spans="1:10" x14ac:dyDescent="0.85">
      <c r="A266" s="31" t="s">
        <v>249</v>
      </c>
      <c r="B266" s="64">
        <v>15559.970000000001</v>
      </c>
      <c r="C266" s="64">
        <v>1027.29</v>
      </c>
      <c r="D266" s="64">
        <v>871.28</v>
      </c>
      <c r="E266" s="64">
        <v>258.3</v>
      </c>
      <c r="F266" s="64">
        <v>1407.05</v>
      </c>
      <c r="G266" s="64">
        <v>20</v>
      </c>
      <c r="H266" s="64">
        <v>0</v>
      </c>
      <c r="I266" s="36">
        <f t="shared" si="36"/>
        <v>19143.89</v>
      </c>
      <c r="J266" s="37">
        <f t="shared" si="46"/>
        <v>8.7024798073260648E-2</v>
      </c>
    </row>
    <row r="267" spans="1:10" x14ac:dyDescent="0.85">
      <c r="A267" s="31" t="s">
        <v>356</v>
      </c>
      <c r="B267" s="64">
        <v>0</v>
      </c>
      <c r="C267" s="64">
        <v>0</v>
      </c>
      <c r="D267" s="64">
        <v>0</v>
      </c>
      <c r="E267" s="64">
        <v>0</v>
      </c>
      <c r="F267" s="64">
        <v>1824.1499999999999</v>
      </c>
      <c r="G267" s="64">
        <v>0</v>
      </c>
      <c r="H267" s="64">
        <v>0</v>
      </c>
      <c r="I267" s="36">
        <f>SUM(B267:H267)</f>
        <v>1824.1499999999999</v>
      </c>
      <c r="J267" s="37">
        <f t="shared" si="46"/>
        <v>8.2922689905415466E-3</v>
      </c>
    </row>
    <row r="268" spans="1:10" x14ac:dyDescent="0.85">
      <c r="A268" s="31" t="s">
        <v>250</v>
      </c>
      <c r="B268" s="64">
        <v>5802.0599999999995</v>
      </c>
      <c r="C268" s="64">
        <v>0</v>
      </c>
      <c r="D268" s="64">
        <v>1165.53</v>
      </c>
      <c r="E268" s="64">
        <v>0</v>
      </c>
      <c r="F268" s="64">
        <v>912.52</v>
      </c>
      <c r="G268" s="64">
        <v>860.93</v>
      </c>
      <c r="H268" s="64">
        <v>0</v>
      </c>
      <c r="I268" s="36">
        <f t="shared" si="36"/>
        <v>8741.0399999999991</v>
      </c>
      <c r="J268" s="37">
        <f t="shared" si="46"/>
        <v>3.9735249259700831E-2</v>
      </c>
    </row>
    <row r="269" spans="1:10" x14ac:dyDescent="0.85">
      <c r="A269" s="31" t="s">
        <v>353</v>
      </c>
      <c r="B269" s="64">
        <v>60228.43</v>
      </c>
      <c r="C269" s="64">
        <v>1130.8400000000001</v>
      </c>
      <c r="D269" s="64">
        <v>9750</v>
      </c>
      <c r="E269" s="64">
        <v>580.5</v>
      </c>
      <c r="F269" s="64">
        <v>742.5</v>
      </c>
      <c r="G269" s="64">
        <v>670</v>
      </c>
      <c r="H269" s="64">
        <v>675</v>
      </c>
      <c r="I269" s="36">
        <f t="shared" si="36"/>
        <v>73777.27</v>
      </c>
      <c r="J269" s="37">
        <f t="shared" si="46"/>
        <v>0.33537865209977863</v>
      </c>
    </row>
    <row r="270" spans="1:10" x14ac:dyDescent="0.85">
      <c r="A270" s="31" t="s">
        <v>354</v>
      </c>
      <c r="B270" s="64">
        <v>22500</v>
      </c>
      <c r="C270" s="64">
        <v>11250</v>
      </c>
      <c r="D270" s="64">
        <v>6750</v>
      </c>
      <c r="E270" s="64">
        <v>0</v>
      </c>
      <c r="F270" s="64">
        <v>4500</v>
      </c>
      <c r="G270" s="64">
        <v>0</v>
      </c>
      <c r="H270" s="64">
        <v>0</v>
      </c>
      <c r="I270" s="36">
        <f>SUM(B270:H270)</f>
        <v>45000</v>
      </c>
      <c r="J270" s="37">
        <f t="shared" si="46"/>
        <v>0.20456218215298611</v>
      </c>
    </row>
    <row r="271" spans="1:10" x14ac:dyDescent="0.85">
      <c r="A271" s="31" t="s">
        <v>355</v>
      </c>
      <c r="B271" s="64">
        <v>22244.53</v>
      </c>
      <c r="C271" s="64">
        <v>0</v>
      </c>
      <c r="D271" s="64">
        <v>3000</v>
      </c>
      <c r="E271" s="64">
        <v>0</v>
      </c>
      <c r="F271" s="64">
        <v>0</v>
      </c>
      <c r="G271" s="64">
        <v>0</v>
      </c>
      <c r="H271" s="64">
        <v>0</v>
      </c>
      <c r="I271" s="36">
        <f>SUM(B271:H271)</f>
        <v>25244.53</v>
      </c>
      <c r="J271" s="37">
        <f t="shared" si="46"/>
        <v>0.11475724764947827</v>
      </c>
    </row>
    <row r="272" spans="1:10" x14ac:dyDescent="0.85">
      <c r="A272" s="31" t="s">
        <v>393</v>
      </c>
      <c r="B272" s="64">
        <v>330</v>
      </c>
      <c r="C272" s="64">
        <v>0</v>
      </c>
      <c r="D272" s="64">
        <v>0</v>
      </c>
      <c r="E272" s="64">
        <v>0</v>
      </c>
      <c r="F272" s="64">
        <v>0</v>
      </c>
      <c r="G272" s="64">
        <v>0</v>
      </c>
      <c r="H272" s="64">
        <v>0</v>
      </c>
      <c r="I272" s="36">
        <f>SUM(B272:H272)</f>
        <v>330</v>
      </c>
      <c r="J272" s="37">
        <f t="shared" si="46"/>
        <v>1.5001226691218981E-3</v>
      </c>
    </row>
    <row r="273" spans="1:10" x14ac:dyDescent="0.85">
      <c r="A273" s="31" t="s">
        <v>382</v>
      </c>
      <c r="B273" s="64">
        <v>0</v>
      </c>
      <c r="C273" s="64">
        <v>0</v>
      </c>
      <c r="D273" s="64">
        <v>2791.68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2791.68</v>
      </c>
      <c r="J273" s="37">
        <f t="shared" si="46"/>
        <v>1.2690492281618849E-2</v>
      </c>
    </row>
    <row r="274" spans="1:10" x14ac:dyDescent="0.85">
      <c r="A274" s="31" t="s">
        <v>252</v>
      </c>
      <c r="B274" s="64">
        <v>450.62</v>
      </c>
      <c r="C274" s="64">
        <v>2542.5500000000002</v>
      </c>
      <c r="D274" s="64">
        <v>0</v>
      </c>
      <c r="E274" s="64">
        <v>0</v>
      </c>
      <c r="F274" s="64">
        <v>398.43</v>
      </c>
      <c r="G274" s="64">
        <v>0</v>
      </c>
      <c r="H274" s="64">
        <v>0</v>
      </c>
      <c r="I274" s="36">
        <f t="shared" si="36"/>
        <v>3391.6</v>
      </c>
      <c r="J274" s="37">
        <f t="shared" si="46"/>
        <v>1.5417624377557058E-2</v>
      </c>
    </row>
    <row r="275" spans="1:10" x14ac:dyDescent="0.85">
      <c r="A275" s="31" t="s">
        <v>253</v>
      </c>
      <c r="B275" s="64">
        <v>5196.1099999999997</v>
      </c>
      <c r="C275" s="64">
        <v>0</v>
      </c>
      <c r="D275" s="64">
        <v>225</v>
      </c>
      <c r="E275" s="64">
        <v>0</v>
      </c>
      <c r="F275" s="64">
        <v>0</v>
      </c>
      <c r="G275" s="64">
        <v>0</v>
      </c>
      <c r="H275" s="64">
        <v>0</v>
      </c>
      <c r="I275" s="36">
        <f t="shared" si="36"/>
        <v>5421.11</v>
      </c>
      <c r="J275" s="37">
        <f t="shared" si="46"/>
        <v>2.4643424250919432E-2</v>
      </c>
    </row>
    <row r="276" spans="1:10" x14ac:dyDescent="0.85">
      <c r="A276" s="31" t="s">
        <v>254</v>
      </c>
      <c r="B276" s="64">
        <v>4732.1399999999994</v>
      </c>
      <c r="C276" s="64">
        <v>0</v>
      </c>
      <c r="D276" s="64">
        <v>2163.96</v>
      </c>
      <c r="E276" s="64">
        <v>0</v>
      </c>
      <c r="F276" s="64">
        <v>0</v>
      </c>
      <c r="G276" s="64">
        <v>0</v>
      </c>
      <c r="H276" s="64">
        <v>0</v>
      </c>
      <c r="I276" s="36">
        <f t="shared" si="36"/>
        <v>6896.0999999999995</v>
      </c>
      <c r="J276" s="37">
        <f t="shared" si="46"/>
        <v>3.1348472541004604E-2</v>
      </c>
    </row>
    <row r="277" spans="1:10" x14ac:dyDescent="0.85">
      <c r="A277" s="31" t="s">
        <v>291</v>
      </c>
      <c r="B277" s="64">
        <v>0</v>
      </c>
      <c r="C277" s="64">
        <v>0</v>
      </c>
      <c r="D277" s="64">
        <v>300</v>
      </c>
      <c r="E277" s="64">
        <v>0</v>
      </c>
      <c r="F277" s="64">
        <v>650</v>
      </c>
      <c r="G277" s="64">
        <v>0</v>
      </c>
      <c r="H277" s="64">
        <v>0</v>
      </c>
      <c r="I277" s="36">
        <f>SUM(B277:H277)</f>
        <v>950</v>
      </c>
      <c r="J277" s="37">
        <f t="shared" si="46"/>
        <v>4.3185349565630403E-3</v>
      </c>
    </row>
    <row r="278" spans="1:10" x14ac:dyDescent="0.85">
      <c r="A278" s="31" t="s">
        <v>368</v>
      </c>
      <c r="B278" s="64">
        <v>0</v>
      </c>
      <c r="C278" s="64">
        <v>0</v>
      </c>
      <c r="D278" s="64">
        <v>0</v>
      </c>
      <c r="E278" s="64">
        <v>0</v>
      </c>
      <c r="F278" s="64">
        <v>6325.07</v>
      </c>
      <c r="G278" s="64">
        <v>0</v>
      </c>
      <c r="H278" s="64">
        <v>0</v>
      </c>
      <c r="I278" s="36">
        <f>SUM(B278:H278)</f>
        <v>6325.07</v>
      </c>
      <c r="J278" s="37">
        <f t="shared" si="46"/>
        <v>2.8752669366008617E-2</v>
      </c>
    </row>
    <row r="279" spans="1:10" x14ac:dyDescent="0.85">
      <c r="A279" s="31" t="s">
        <v>255</v>
      </c>
      <c r="B279" s="64">
        <v>3747.09</v>
      </c>
      <c r="C279" s="64">
        <v>0</v>
      </c>
      <c r="D279" s="64">
        <v>0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3747.09</v>
      </c>
      <c r="J279" s="37">
        <f t="shared" si="46"/>
        <v>1.703362015830295E-2</v>
      </c>
    </row>
    <row r="280" spans="1:10" x14ac:dyDescent="0.85">
      <c r="A280" s="31" t="s">
        <v>256</v>
      </c>
      <c r="B280" s="64">
        <v>5393.6</v>
      </c>
      <c r="C280" s="64">
        <v>0</v>
      </c>
      <c r="D280" s="64">
        <v>0</v>
      </c>
      <c r="E280" s="64">
        <v>0</v>
      </c>
      <c r="F280" s="64">
        <v>0</v>
      </c>
      <c r="G280" s="64">
        <v>0</v>
      </c>
      <c r="H280" s="64">
        <v>0</v>
      </c>
      <c r="I280" s="36">
        <f t="shared" si="36"/>
        <v>5393.6</v>
      </c>
      <c r="J280" s="37">
        <f t="shared" si="46"/>
        <v>2.4518368570229911E-2</v>
      </c>
    </row>
    <row r="281" spans="1:10" x14ac:dyDescent="0.85">
      <c r="A281" s="31" t="s">
        <v>623</v>
      </c>
      <c r="B281" s="64">
        <v>0</v>
      </c>
      <c r="C281" s="64">
        <v>0</v>
      </c>
      <c r="D281" s="64">
        <v>0</v>
      </c>
      <c r="E281" s="64">
        <v>0</v>
      </c>
      <c r="F281" s="64">
        <v>0</v>
      </c>
      <c r="G281" s="64">
        <v>0</v>
      </c>
      <c r="H281" s="64">
        <v>0</v>
      </c>
      <c r="I281" s="36">
        <f t="shared" si="36"/>
        <v>0</v>
      </c>
      <c r="J281" s="37">
        <f t="shared" si="46"/>
        <v>0</v>
      </c>
    </row>
    <row r="282" spans="1:10" x14ac:dyDescent="0.85">
      <c r="A282" s="31" t="s">
        <v>257</v>
      </c>
      <c r="B282" s="64">
        <v>562.53</v>
      </c>
      <c r="C282" s="64">
        <v>0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>SUM(B282:H282)</f>
        <v>562.53</v>
      </c>
      <c r="J282" s="37">
        <f t="shared" si="46"/>
        <v>2.5571636517004283E-3</v>
      </c>
    </row>
    <row r="283" spans="1:10" x14ac:dyDescent="0.85">
      <c r="A283" s="31" t="s">
        <v>258</v>
      </c>
      <c r="B283" s="64">
        <v>5045.5</v>
      </c>
      <c r="C283" s="64">
        <v>0</v>
      </c>
      <c r="D283" s="64">
        <v>89</v>
      </c>
      <c r="E283" s="64">
        <v>0</v>
      </c>
      <c r="F283" s="64">
        <v>0</v>
      </c>
      <c r="G283" s="64">
        <v>0</v>
      </c>
      <c r="H283" s="64">
        <v>0</v>
      </c>
      <c r="I283" s="36">
        <f>SUM(B283:H283)</f>
        <v>5134.5</v>
      </c>
      <c r="J283" s="37">
        <f t="shared" si="46"/>
        <v>2.3340544983655714E-2</v>
      </c>
    </row>
    <row r="284" spans="1:10" x14ac:dyDescent="0.85">
      <c r="A284" s="35" t="s">
        <v>260</v>
      </c>
      <c r="B284" s="65">
        <f t="shared" ref="B284:H284" si="47">SUM(B263:B283)</f>
        <v>155185.76999999999</v>
      </c>
      <c r="C284" s="65">
        <f t="shared" si="47"/>
        <v>15950.68</v>
      </c>
      <c r="D284" s="65">
        <f t="shared" si="47"/>
        <v>27562.09</v>
      </c>
      <c r="E284" s="65">
        <f t="shared" si="47"/>
        <v>838.8</v>
      </c>
      <c r="F284" s="65">
        <f t="shared" si="47"/>
        <v>18218.739999999998</v>
      </c>
      <c r="G284" s="65">
        <f t="shared" si="47"/>
        <v>1550.9299999999998</v>
      </c>
      <c r="H284" s="65">
        <f t="shared" si="47"/>
        <v>675</v>
      </c>
      <c r="I284" s="38">
        <f>SUM(B284:H284)</f>
        <v>219982.00999999995</v>
      </c>
      <c r="J284" s="39">
        <f>SUM(J263:J283)</f>
        <v>1.0000000000000004</v>
      </c>
    </row>
    <row r="285" spans="1:10" x14ac:dyDescent="0.85">
      <c r="B285" s="64"/>
      <c r="C285" s="64"/>
      <c r="D285" s="64"/>
      <c r="E285" s="64"/>
      <c r="F285" s="64"/>
      <c r="G285" s="64"/>
      <c r="H285" s="64"/>
      <c r="I285" s="36">
        <f>SUM(B285:H285)</f>
        <v>0</v>
      </c>
    </row>
    <row r="286" spans="1:10" ht="58.5" thickBot="1" x14ac:dyDescent="0.9">
      <c r="A286" s="35" t="s">
        <v>261</v>
      </c>
      <c r="B286" s="66">
        <f t="shared" ref="B286:H286" si="48">B230+B260+B284</f>
        <v>1615284.83</v>
      </c>
      <c r="C286" s="66">
        <f t="shared" si="48"/>
        <v>237114.90000000002</v>
      </c>
      <c r="D286" s="66">
        <f t="shared" si="48"/>
        <v>627631.87</v>
      </c>
      <c r="E286" s="66">
        <f t="shared" si="48"/>
        <v>947.8</v>
      </c>
      <c r="F286" s="66">
        <f t="shared" si="48"/>
        <v>235851.06</v>
      </c>
      <c r="G286" s="66">
        <f t="shared" si="48"/>
        <v>29427.230000000003</v>
      </c>
      <c r="H286" s="66">
        <f t="shared" si="48"/>
        <v>51820.039999999994</v>
      </c>
      <c r="I286" s="40">
        <f>SUM(B286:H286)</f>
        <v>2798077.73</v>
      </c>
      <c r="J286" s="36">
        <f>SUM(I220:I229)+SUM(I238:I259)+SUM(I263:I283)-I286</f>
        <v>0</v>
      </c>
    </row>
    <row r="287" spans="1:10" x14ac:dyDescent="0.85">
      <c r="A287" s="33"/>
      <c r="B287" s="62"/>
      <c r="C287" s="62"/>
      <c r="D287" s="62"/>
      <c r="E287" s="62"/>
      <c r="F287" s="62"/>
      <c r="G287" s="62"/>
      <c r="H287" s="62"/>
      <c r="I287" s="33"/>
      <c r="J287" s="32"/>
    </row>
    <row r="288" spans="1:10" ht="92.25" x14ac:dyDescent="0.85">
      <c r="A288" s="33"/>
      <c r="B288" s="62"/>
      <c r="C288" s="62"/>
      <c r="D288" s="62"/>
      <c r="E288" s="162">
        <v>2018</v>
      </c>
      <c r="F288" s="62"/>
      <c r="G288" s="62"/>
      <c r="H288" s="62"/>
      <c r="I288" s="33"/>
      <c r="J288" s="32">
        <v>2019</v>
      </c>
    </row>
    <row r="289" spans="1:32" ht="92.25" x14ac:dyDescent="0.85">
      <c r="A289" s="33"/>
      <c r="B289" s="62"/>
      <c r="C289" s="62"/>
      <c r="D289" s="62"/>
      <c r="E289" s="162" t="s">
        <v>540</v>
      </c>
      <c r="F289" s="62"/>
      <c r="G289" s="62"/>
      <c r="H289" s="62"/>
      <c r="I289" s="33"/>
      <c r="J289" s="32" t="s">
        <v>338</v>
      </c>
    </row>
    <row r="290" spans="1:32" ht="92.25" x14ac:dyDescent="1.35">
      <c r="B290" s="60"/>
      <c r="C290" s="60"/>
      <c r="D290" s="60"/>
      <c r="E290" s="163" t="s">
        <v>339</v>
      </c>
      <c r="F290" s="60"/>
      <c r="G290" s="60"/>
      <c r="H290" s="60"/>
      <c r="J290" s="32" t="s">
        <v>336</v>
      </c>
    </row>
    <row r="291" spans="1:32" ht="92.25" x14ac:dyDescent="1.35">
      <c r="B291" s="60"/>
      <c r="C291" s="60"/>
      <c r="D291" s="60"/>
      <c r="E291" s="164">
        <f>E235</f>
        <v>43585</v>
      </c>
      <c r="F291" s="60"/>
      <c r="G291" s="60"/>
      <c r="H291" s="60"/>
      <c r="I291" s="32" t="s">
        <v>204</v>
      </c>
      <c r="J291" s="32" t="s">
        <v>204</v>
      </c>
    </row>
    <row r="292" spans="1:32" x14ac:dyDescent="0.85">
      <c r="B292" s="63" t="s">
        <v>209</v>
      </c>
      <c r="C292" s="63" t="s">
        <v>211</v>
      </c>
      <c r="D292" s="63" t="s">
        <v>210</v>
      </c>
      <c r="E292" s="63" t="s">
        <v>212</v>
      </c>
      <c r="F292" s="63" t="s">
        <v>213</v>
      </c>
      <c r="G292" s="63" t="s">
        <v>398</v>
      </c>
      <c r="H292" s="63" t="s">
        <v>410</v>
      </c>
      <c r="I292" s="34">
        <v>2019</v>
      </c>
      <c r="J292" s="32" t="s">
        <v>334</v>
      </c>
    </row>
    <row r="293" spans="1:32" x14ac:dyDescent="0.85">
      <c r="B293" s="64"/>
      <c r="C293" s="64"/>
      <c r="D293" s="64"/>
      <c r="E293" s="64"/>
      <c r="F293" s="64"/>
      <c r="G293" s="64"/>
      <c r="H293" s="64"/>
      <c r="I293" s="36"/>
    </row>
    <row r="294" spans="1:32" x14ac:dyDescent="0.85">
      <c r="A294" s="35" t="s">
        <v>453</v>
      </c>
      <c r="B294" s="64"/>
      <c r="C294" s="64"/>
      <c r="D294" s="64"/>
      <c r="E294" s="64"/>
      <c r="F294" s="64"/>
      <c r="G294" s="64"/>
      <c r="H294" s="64"/>
      <c r="I294" s="36"/>
    </row>
    <row r="295" spans="1:32" x14ac:dyDescent="0.85">
      <c r="A295" s="31" t="s">
        <v>264</v>
      </c>
      <c r="B295" s="64">
        <v>37500</v>
      </c>
      <c r="C295" s="64">
        <v>0</v>
      </c>
      <c r="D295" s="64">
        <v>37500</v>
      </c>
      <c r="E295" s="64">
        <v>0</v>
      </c>
      <c r="F295" s="64">
        <v>18000</v>
      </c>
      <c r="G295" s="64">
        <v>68100</v>
      </c>
      <c r="H295" s="64">
        <v>97500</v>
      </c>
      <c r="I295" s="36">
        <f>SUM(B295:H295)</f>
        <v>258600</v>
      </c>
      <c r="J295" s="37"/>
    </row>
    <row r="296" spans="1:32" s="74" customFormat="1" x14ac:dyDescent="0.85">
      <c r="A296" s="31" t="s">
        <v>265</v>
      </c>
      <c r="B296" s="64">
        <v>0</v>
      </c>
      <c r="C296" s="64">
        <v>0</v>
      </c>
      <c r="D296" s="64">
        <v>0</v>
      </c>
      <c r="E296" s="64">
        <v>0</v>
      </c>
      <c r="F296" s="64">
        <v>0</v>
      </c>
      <c r="G296" s="64">
        <v>0</v>
      </c>
      <c r="H296" s="64">
        <v>0</v>
      </c>
      <c r="I296" s="36">
        <f>SUM(B296:H296)</f>
        <v>0</v>
      </c>
      <c r="J296" s="37"/>
      <c r="K296" s="31"/>
      <c r="L296" s="3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2"/>
      <c r="AC296" s="72"/>
      <c r="AD296" s="73"/>
      <c r="AE296" s="72"/>
      <c r="AF296" s="73"/>
    </row>
    <row r="297" spans="1:32" x14ac:dyDescent="0.85">
      <c r="A297" s="31" t="s">
        <v>323</v>
      </c>
      <c r="B297" s="64">
        <v>0</v>
      </c>
      <c r="C297" s="64">
        <v>0</v>
      </c>
      <c r="D297" s="64">
        <v>0</v>
      </c>
      <c r="E297" s="64">
        <v>0</v>
      </c>
      <c r="F297" s="64">
        <v>0</v>
      </c>
      <c r="G297" s="64">
        <v>0</v>
      </c>
      <c r="H297" s="64">
        <v>0</v>
      </c>
      <c r="I297" s="36">
        <f>SUM(B297:H297)</f>
        <v>0</v>
      </c>
      <c r="J297" s="37"/>
    </row>
    <row r="298" spans="1:32" x14ac:dyDescent="0.85">
      <c r="A298" s="31" t="s">
        <v>379</v>
      </c>
      <c r="B298" s="64">
        <v>8976.17</v>
      </c>
      <c r="C298" s="64">
        <v>-8976.17</v>
      </c>
      <c r="D298" s="64">
        <v>0</v>
      </c>
      <c r="E298" s="64">
        <v>0</v>
      </c>
      <c r="F298" s="64">
        <v>0</v>
      </c>
      <c r="G298" s="64">
        <v>0</v>
      </c>
      <c r="H298" s="64">
        <v>0</v>
      </c>
      <c r="I298" s="36">
        <v>0</v>
      </c>
      <c r="J298" s="37"/>
    </row>
    <row r="299" spans="1:32" x14ac:dyDescent="0.85">
      <c r="A299" s="31" t="s">
        <v>266</v>
      </c>
      <c r="B299" s="64">
        <v>33551.64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 t="shared" ref="I299:I312" si="49">SUM(B299:H299)</f>
        <v>33551.64</v>
      </c>
      <c r="J299" s="37"/>
    </row>
    <row r="300" spans="1:32" x14ac:dyDescent="0.85">
      <c r="A300" s="31" t="s">
        <v>267</v>
      </c>
      <c r="B300" s="64">
        <v>11149.89</v>
      </c>
      <c r="C300" s="64">
        <v>13892.220000000001</v>
      </c>
      <c r="D300" s="64">
        <v>11465.19</v>
      </c>
      <c r="E300" s="64">
        <v>11591.91</v>
      </c>
      <c r="F300" s="64">
        <v>0</v>
      </c>
      <c r="G300" s="64">
        <v>12054.619999999999</v>
      </c>
      <c r="H300" s="64">
        <v>0</v>
      </c>
      <c r="I300" s="36">
        <f>SUM(B300:H300)</f>
        <v>60153.83</v>
      </c>
      <c r="J300" s="37"/>
    </row>
    <row r="301" spans="1:32" x14ac:dyDescent="0.85">
      <c r="A301" s="31" t="s">
        <v>268</v>
      </c>
      <c r="B301" s="64">
        <v>-65960.58</v>
      </c>
      <c r="C301" s="64">
        <v>0</v>
      </c>
      <c r="D301" s="64">
        <v>0</v>
      </c>
      <c r="E301" s="64">
        <v>-2087.56</v>
      </c>
      <c r="F301" s="64">
        <v>-28548.25</v>
      </c>
      <c r="G301" s="64">
        <v>-1721.86</v>
      </c>
      <c r="H301" s="64">
        <v>-41909.19</v>
      </c>
      <c r="I301" s="36">
        <f t="shared" si="49"/>
        <v>-140227.44</v>
      </c>
      <c r="J301" s="37"/>
    </row>
    <row r="302" spans="1:32" x14ac:dyDescent="0.85">
      <c r="A302" s="31" t="s">
        <v>269</v>
      </c>
      <c r="B302" s="64">
        <v>-772.55</v>
      </c>
      <c r="C302" s="64">
        <v>0</v>
      </c>
      <c r="D302" s="64">
        <v>0</v>
      </c>
      <c r="E302" s="64">
        <v>0</v>
      </c>
      <c r="F302" s="64">
        <v>0</v>
      </c>
      <c r="G302" s="64">
        <v>0</v>
      </c>
      <c r="H302" s="64">
        <v>0</v>
      </c>
      <c r="I302" s="36">
        <f t="shared" si="49"/>
        <v>-772.55</v>
      </c>
      <c r="J302" s="37"/>
    </row>
    <row r="303" spans="1:32" x14ac:dyDescent="0.85">
      <c r="A303" s="31" t="s">
        <v>581</v>
      </c>
      <c r="B303" s="64">
        <v>0</v>
      </c>
      <c r="C303" s="64">
        <v>0</v>
      </c>
      <c r="D303" s="64">
        <v>0</v>
      </c>
      <c r="E303" s="64">
        <v>-496</v>
      </c>
      <c r="F303" s="64">
        <v>0</v>
      </c>
      <c r="G303" s="64">
        <v>0</v>
      </c>
      <c r="H303" s="64">
        <v>0</v>
      </c>
      <c r="I303" s="36">
        <f t="shared" si="49"/>
        <v>-496</v>
      </c>
      <c r="J303" s="37"/>
    </row>
    <row r="304" spans="1:32" x14ac:dyDescent="0.85">
      <c r="A304" s="31" t="s">
        <v>394</v>
      </c>
      <c r="B304" s="64">
        <v>48170.18</v>
      </c>
      <c r="C304" s="64">
        <v>0</v>
      </c>
      <c r="D304" s="64">
        <v>0</v>
      </c>
      <c r="E304" s="64">
        <v>0</v>
      </c>
      <c r="F304" s="64">
        <v>0</v>
      </c>
      <c r="G304" s="64">
        <v>0</v>
      </c>
      <c r="H304" s="64">
        <v>0</v>
      </c>
      <c r="I304" s="36">
        <f t="shared" si="49"/>
        <v>48170.18</v>
      </c>
      <c r="J304" s="37"/>
    </row>
    <row r="305" spans="1:12" x14ac:dyDescent="0.85">
      <c r="A305" s="31" t="s">
        <v>429</v>
      </c>
      <c r="B305" s="64">
        <v>3439.1899999999996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3439.1899999999996</v>
      </c>
      <c r="J305" s="37"/>
    </row>
    <row r="306" spans="1:12" x14ac:dyDescent="0.85">
      <c r="A306" s="31" t="s">
        <v>430</v>
      </c>
      <c r="B306" s="64">
        <v>53001.08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53001.08</v>
      </c>
      <c r="J306" s="37"/>
    </row>
    <row r="307" spans="1:12" x14ac:dyDescent="0.85">
      <c r="A307" s="31" t="s">
        <v>396</v>
      </c>
      <c r="B307" s="64">
        <v>13022.66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36">
        <f t="shared" si="49"/>
        <v>13022.66</v>
      </c>
      <c r="J307" s="37"/>
    </row>
    <row r="308" spans="1:12" x14ac:dyDescent="0.85">
      <c r="A308" s="31" t="s">
        <v>525</v>
      </c>
      <c r="B308" s="64">
        <v>0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0</v>
      </c>
      <c r="J308" s="37"/>
    </row>
    <row r="309" spans="1:12" x14ac:dyDescent="0.85">
      <c r="A309" s="31" t="s">
        <v>440</v>
      </c>
      <c r="B309" s="64">
        <v>0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0</v>
      </c>
      <c r="J309" s="37"/>
    </row>
    <row r="310" spans="1:12" x14ac:dyDescent="0.85">
      <c r="A310" s="35" t="s">
        <v>454</v>
      </c>
      <c r="B310" s="65">
        <f t="shared" ref="B310:H310" si="50">SUM(B295:B309)</f>
        <v>142077.68</v>
      </c>
      <c r="C310" s="65">
        <f t="shared" si="50"/>
        <v>4916.0500000000011</v>
      </c>
      <c r="D310" s="65">
        <f t="shared" si="50"/>
        <v>48965.19</v>
      </c>
      <c r="E310" s="65">
        <f t="shared" si="50"/>
        <v>9008.35</v>
      </c>
      <c r="F310" s="65">
        <f t="shared" si="50"/>
        <v>-10548.25</v>
      </c>
      <c r="G310" s="65">
        <f t="shared" si="50"/>
        <v>78432.759999999995</v>
      </c>
      <c r="H310" s="65">
        <f t="shared" si="50"/>
        <v>55590.81</v>
      </c>
      <c r="I310" s="38">
        <f>SUM(B310:H310)</f>
        <v>328442.58999999997</v>
      </c>
      <c r="J310" s="41">
        <f>SUM(I295:I309)-I310</f>
        <v>0</v>
      </c>
    </row>
    <row r="311" spans="1:12" x14ac:dyDescent="0.85">
      <c r="A311" s="35"/>
      <c r="B311" s="64"/>
      <c r="C311" s="64"/>
      <c r="D311" s="64"/>
      <c r="E311" s="64"/>
      <c r="F311" s="64"/>
      <c r="G311" s="64"/>
      <c r="H311" s="64"/>
      <c r="I311" s="36">
        <f t="shared" si="49"/>
        <v>0</v>
      </c>
      <c r="J311" s="37"/>
    </row>
    <row r="312" spans="1:12" ht="71.25" thickBot="1" x14ac:dyDescent="1.1000000000000001">
      <c r="A312" s="45" t="s">
        <v>263</v>
      </c>
      <c r="B312" s="67">
        <f t="shared" ref="B312:H312" si="51">B215-B286+B310</f>
        <v>120995.67000017158</v>
      </c>
      <c r="C312" s="67">
        <f t="shared" si="51"/>
        <v>-46962.240000002479</v>
      </c>
      <c r="D312" s="67">
        <f t="shared" si="51"/>
        <v>319613.18000000011</v>
      </c>
      <c r="E312" s="67">
        <f t="shared" si="51"/>
        <v>8060.55</v>
      </c>
      <c r="F312" s="67">
        <f t="shared" si="51"/>
        <v>100148.87000000005</v>
      </c>
      <c r="G312" s="67">
        <f t="shared" si="51"/>
        <v>49005.529999999992</v>
      </c>
      <c r="H312" s="67">
        <f t="shared" si="51"/>
        <v>3770.7700000000041</v>
      </c>
      <c r="I312" s="44">
        <f t="shared" si="49"/>
        <v>554632.33000016923</v>
      </c>
      <c r="J312" s="42"/>
      <c r="L312" s="71"/>
    </row>
    <row r="313" spans="1:12" ht="72" thickTop="1" thickBot="1" x14ac:dyDescent="1.1000000000000001">
      <c r="A313" s="35" t="s">
        <v>527</v>
      </c>
      <c r="B313" s="68">
        <f>B212</f>
        <v>0</v>
      </c>
      <c r="C313" s="68">
        <v>0</v>
      </c>
      <c r="D313" s="68">
        <v>0</v>
      </c>
      <c r="E313" s="68">
        <v>0</v>
      </c>
      <c r="F313" s="68">
        <v>0</v>
      </c>
      <c r="G313" s="68">
        <v>0</v>
      </c>
      <c r="H313" s="68">
        <v>0</v>
      </c>
      <c r="I313" s="44">
        <f>SUM(B313:H313)</f>
        <v>0</v>
      </c>
    </row>
    <row r="314" spans="1:12" ht="59.25" thickTop="1" thickBot="1" x14ac:dyDescent="0.9">
      <c r="A314" s="35" t="s">
        <v>528</v>
      </c>
      <c r="B314" s="70">
        <f>B312+B313</f>
        <v>120995.67000017158</v>
      </c>
      <c r="C314" s="70">
        <f t="shared" ref="C314:H314" si="52">C312+C313</f>
        <v>-46962.240000002479</v>
      </c>
      <c r="D314" s="70">
        <f t="shared" si="52"/>
        <v>319613.18000000011</v>
      </c>
      <c r="E314" s="70">
        <f t="shared" si="52"/>
        <v>8060.55</v>
      </c>
      <c r="F314" s="70">
        <f t="shared" si="52"/>
        <v>100148.87000000005</v>
      </c>
      <c r="G314" s="70">
        <f t="shared" si="52"/>
        <v>49005.529999999992</v>
      </c>
      <c r="H314" s="70">
        <f t="shared" si="52"/>
        <v>3770.7700000000041</v>
      </c>
      <c r="I314" s="70">
        <f>I312+I313</f>
        <v>554632.33000016923</v>
      </c>
      <c r="J314" s="50"/>
    </row>
    <row r="315" spans="1:12" ht="58.5" thickTop="1" x14ac:dyDescent="0.85">
      <c r="A315" s="50"/>
      <c r="B315" s="68"/>
      <c r="C315" s="69"/>
      <c r="D315" s="69"/>
      <c r="E315" s="69"/>
      <c r="F315" s="69"/>
      <c r="G315" s="69"/>
      <c r="H315" s="69"/>
      <c r="I315" s="50"/>
      <c r="J315" s="50"/>
    </row>
    <row r="316" spans="1:12" x14ac:dyDescent="0.85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</row>
    <row r="317" spans="1:12" ht="92.25" x14ac:dyDescent="0.85">
      <c r="A317" s="33"/>
      <c r="B317" s="32"/>
      <c r="C317" s="50"/>
      <c r="D317" s="32"/>
      <c r="E317" s="165" t="s">
        <v>608</v>
      </c>
      <c r="F317" s="32"/>
      <c r="G317" s="50"/>
      <c r="H317" s="50"/>
      <c r="I317" s="52"/>
      <c r="J317" s="50"/>
      <c r="K317" s="52"/>
    </row>
    <row r="318" spans="1:12" ht="92.25" x14ac:dyDescent="0.85">
      <c r="A318" s="33"/>
      <c r="B318" s="32"/>
      <c r="C318" s="50"/>
      <c r="D318" s="32"/>
      <c r="E318" s="165" t="s">
        <v>540</v>
      </c>
      <c r="F318" s="32"/>
      <c r="G318" s="50"/>
      <c r="H318" s="50"/>
      <c r="I318" s="52"/>
      <c r="J318" s="50"/>
      <c r="K318" s="52"/>
    </row>
    <row r="319" spans="1:12" ht="92.25" x14ac:dyDescent="1.35">
      <c r="A319" s="33"/>
      <c r="B319" s="32"/>
      <c r="C319" s="50"/>
      <c r="D319" s="32"/>
      <c r="E319" s="166" t="s">
        <v>339</v>
      </c>
      <c r="F319" s="32"/>
      <c r="G319" s="50"/>
      <c r="H319" s="50"/>
      <c r="I319" s="52"/>
      <c r="J319" s="50"/>
      <c r="K319" s="52"/>
    </row>
    <row r="320" spans="1:12" ht="92.25" x14ac:dyDescent="1.35">
      <c r="A320" s="33"/>
      <c r="B320" s="32"/>
      <c r="C320" s="50"/>
      <c r="D320" s="32"/>
      <c r="E320" s="167" t="s">
        <v>541</v>
      </c>
      <c r="F320" s="32"/>
      <c r="G320" s="50"/>
      <c r="H320" s="50"/>
      <c r="I320" s="32" t="s">
        <v>535</v>
      </c>
      <c r="J320" s="50"/>
      <c r="K320" s="52"/>
    </row>
    <row r="321" spans="1:11" x14ac:dyDescent="0.85">
      <c r="B321" s="32"/>
      <c r="C321" s="32"/>
      <c r="D321" s="32"/>
      <c r="E321" s="32"/>
      <c r="F321" s="32"/>
      <c r="G321" s="32" t="s">
        <v>535</v>
      </c>
      <c r="H321" s="32"/>
      <c r="I321" s="52" t="s">
        <v>336</v>
      </c>
      <c r="J321" s="32"/>
      <c r="K321" s="32" t="s">
        <v>335</v>
      </c>
    </row>
    <row r="322" spans="1:11" x14ac:dyDescent="0.85">
      <c r="B322" s="32"/>
      <c r="C322" s="32">
        <v>2020</v>
      </c>
      <c r="D322" s="32"/>
      <c r="E322" s="32">
        <v>2019</v>
      </c>
      <c r="F322" s="32"/>
      <c r="G322" s="32" t="s">
        <v>609</v>
      </c>
      <c r="H322" s="32"/>
      <c r="I322" s="32" t="s">
        <v>609</v>
      </c>
      <c r="J322" s="32"/>
      <c r="K322" s="32" t="s">
        <v>337</v>
      </c>
    </row>
    <row r="323" spans="1:11" x14ac:dyDescent="0.85">
      <c r="B323" s="32"/>
      <c r="C323" s="34"/>
      <c r="D323" s="32"/>
      <c r="E323" s="34"/>
      <c r="F323" s="32"/>
      <c r="G323" s="34" t="s">
        <v>333</v>
      </c>
      <c r="H323" s="34"/>
      <c r="I323" s="34" t="s">
        <v>334</v>
      </c>
      <c r="J323" s="34"/>
      <c r="K323" s="34" t="s">
        <v>334</v>
      </c>
    </row>
    <row r="324" spans="1:11" x14ac:dyDescent="0.85">
      <c r="A324" s="35" t="s">
        <v>59</v>
      </c>
      <c r="I324" s="52"/>
      <c r="K324" s="52"/>
    </row>
    <row r="325" spans="1:11" x14ac:dyDescent="0.85">
      <c r="A325" s="31" t="s">
        <v>214</v>
      </c>
      <c r="B325" s="37"/>
      <c r="C325" s="36">
        <f t="shared" ref="C325:C332" si="53">I12</f>
        <v>1103921218.0500002</v>
      </c>
      <c r="D325" s="37"/>
      <c r="E325" s="36">
        <f t="shared" ref="E325:E332" si="54">I195</f>
        <v>408308233.29999995</v>
      </c>
      <c r="F325" s="37"/>
      <c r="G325" s="36">
        <f t="shared" ref="G325:G332" si="55">I12-I195</f>
        <v>695612984.75000024</v>
      </c>
      <c r="H325" s="36"/>
      <c r="I325" s="37">
        <f t="shared" ref="I325:I332" si="56">I12/I195</f>
        <v>2.7036467257296435</v>
      </c>
      <c r="J325" s="36"/>
      <c r="K325" s="37">
        <f>I325-1</f>
        <v>1.7036467257296435</v>
      </c>
    </row>
    <row r="326" spans="1:11" x14ac:dyDescent="0.85">
      <c r="A326" s="31" t="s">
        <v>215</v>
      </c>
      <c r="B326" s="37"/>
      <c r="C326" s="36">
        <f t="shared" si="53"/>
        <v>1229191032.1300001</v>
      </c>
      <c r="D326" s="37"/>
      <c r="E326" s="36">
        <f t="shared" si="54"/>
        <v>1558041558.8300002</v>
      </c>
      <c r="F326" s="37"/>
      <c r="G326" s="36">
        <f t="shared" si="55"/>
        <v>-328850526.70000005</v>
      </c>
      <c r="H326" s="36"/>
      <c r="I326" s="37">
        <f t="shared" si="56"/>
        <v>0.78893340499405684</v>
      </c>
      <c r="J326" s="36"/>
      <c r="K326" s="37">
        <f t="shared" ref="K326:K408" si="57">I326-1</f>
        <v>-0.21106659500594316</v>
      </c>
    </row>
    <row r="327" spans="1:11" x14ac:dyDescent="0.85">
      <c r="A327" s="31" t="s">
        <v>216</v>
      </c>
      <c r="B327" s="37"/>
      <c r="C327" s="36">
        <f t="shared" si="53"/>
        <v>15127411.789999999</v>
      </c>
      <c r="D327" s="37"/>
      <c r="E327" s="36">
        <f t="shared" si="54"/>
        <v>10674849.549999999</v>
      </c>
      <c r="F327" s="37"/>
      <c r="G327" s="36">
        <f t="shared" si="55"/>
        <v>4452562.24</v>
      </c>
      <c r="H327" s="36"/>
      <c r="I327" s="37">
        <f t="shared" si="56"/>
        <v>1.41710772776184</v>
      </c>
      <c r="J327" s="36"/>
      <c r="K327" s="37">
        <f t="shared" si="57"/>
        <v>0.41710772776184002</v>
      </c>
    </row>
    <row r="328" spans="1:11" x14ac:dyDescent="0.85">
      <c r="A328" s="31" t="s">
        <v>413</v>
      </c>
      <c r="B328" s="37"/>
      <c r="C328" s="36">
        <f t="shared" si="53"/>
        <v>52697182.769999996</v>
      </c>
      <c r="D328" s="37"/>
      <c r="E328" s="36">
        <f t="shared" si="54"/>
        <v>19131859.469999999</v>
      </c>
      <c r="F328" s="37"/>
      <c r="G328" s="36">
        <f t="shared" si="55"/>
        <v>33565323.299999997</v>
      </c>
      <c r="H328" s="36"/>
      <c r="I328" s="37">
        <f t="shared" si="56"/>
        <v>2.7544203349722807</v>
      </c>
      <c r="J328" s="36"/>
      <c r="K328" s="37">
        <f t="shared" si="57"/>
        <v>1.7544203349722807</v>
      </c>
    </row>
    <row r="329" spans="1:11" x14ac:dyDescent="0.85">
      <c r="A329" s="31" t="s">
        <v>217</v>
      </c>
      <c r="B329" s="37"/>
      <c r="C329" s="36">
        <f t="shared" si="53"/>
        <v>20715619.399999999</v>
      </c>
      <c r="D329" s="37"/>
      <c r="E329" s="36">
        <f t="shared" si="54"/>
        <v>1377865</v>
      </c>
      <c r="F329" s="37"/>
      <c r="G329" s="36">
        <f t="shared" si="55"/>
        <v>19337754.399999999</v>
      </c>
      <c r="H329" s="36"/>
      <c r="I329" s="37">
        <f t="shared" si="56"/>
        <v>15.034578423865907</v>
      </c>
      <c r="J329" s="36"/>
      <c r="K329" s="37">
        <f t="shared" si="57"/>
        <v>14.034578423865907</v>
      </c>
    </row>
    <row r="330" spans="1:11" x14ac:dyDescent="0.85">
      <c r="A330" s="31" t="s">
        <v>218</v>
      </c>
      <c r="B330" s="37"/>
      <c r="C330" s="36">
        <f t="shared" si="53"/>
        <v>36663046.119999997</v>
      </c>
      <c r="D330" s="37"/>
      <c r="E330" s="36">
        <f t="shared" si="54"/>
        <v>13580262.730000002</v>
      </c>
      <c r="F330" s="37"/>
      <c r="G330" s="36">
        <f t="shared" si="55"/>
        <v>23082783.389999993</v>
      </c>
      <c r="H330" s="36"/>
      <c r="I330" s="37">
        <f t="shared" si="56"/>
        <v>2.6997302518314381</v>
      </c>
      <c r="J330" s="36"/>
      <c r="K330" s="37">
        <f t="shared" si="57"/>
        <v>1.6997302518314381</v>
      </c>
    </row>
    <row r="331" spans="1:11" x14ac:dyDescent="0.85">
      <c r="A331" s="31" t="s">
        <v>219</v>
      </c>
      <c r="B331" s="37"/>
      <c r="C331" s="36">
        <f t="shared" si="53"/>
        <v>3060404.7800000003</v>
      </c>
      <c r="D331" s="37"/>
      <c r="E331" s="36">
        <f t="shared" si="54"/>
        <v>1997192.03</v>
      </c>
      <c r="F331" s="37"/>
      <c r="G331" s="36">
        <f t="shared" si="55"/>
        <v>1063212.7500000002</v>
      </c>
      <c r="H331" s="36"/>
      <c r="I331" s="37">
        <f t="shared" si="56"/>
        <v>1.5323537917382939</v>
      </c>
      <c r="J331" s="36"/>
      <c r="K331" s="37">
        <f t="shared" si="57"/>
        <v>0.53235379173829389</v>
      </c>
    </row>
    <row r="332" spans="1:11" x14ac:dyDescent="0.85">
      <c r="A332" s="35" t="s">
        <v>220</v>
      </c>
      <c r="B332" s="37"/>
      <c r="C332" s="38">
        <f t="shared" si="53"/>
        <v>2461375915.0399995</v>
      </c>
      <c r="D332" s="37"/>
      <c r="E332" s="38">
        <f t="shared" si="54"/>
        <v>2013111820.9099998</v>
      </c>
      <c r="F332" s="37"/>
      <c r="G332" s="38">
        <f t="shared" si="55"/>
        <v>448264094.12999964</v>
      </c>
      <c r="H332" s="38"/>
      <c r="I332" s="39">
        <f t="shared" si="56"/>
        <v>1.2226722278782149</v>
      </c>
      <c r="J332" s="38"/>
      <c r="K332" s="39">
        <f t="shared" si="57"/>
        <v>0.22267222787821495</v>
      </c>
    </row>
    <row r="333" spans="1:11" x14ac:dyDescent="0.85">
      <c r="C333" s="36"/>
      <c r="E333" s="36"/>
      <c r="G333" s="36"/>
      <c r="H333" s="36"/>
      <c r="I333" s="53"/>
      <c r="J333" s="36"/>
      <c r="K333" s="53"/>
    </row>
    <row r="334" spans="1:11" x14ac:dyDescent="0.85">
      <c r="A334" s="35" t="s">
        <v>205</v>
      </c>
      <c r="C334" s="36"/>
      <c r="E334" s="36"/>
      <c r="G334" s="36"/>
      <c r="H334" s="36"/>
      <c r="I334" s="53"/>
      <c r="J334" s="36"/>
      <c r="K334" s="53"/>
    </row>
    <row r="335" spans="1:11" x14ac:dyDescent="0.85">
      <c r="A335" s="31" t="s">
        <v>214</v>
      </c>
      <c r="B335" s="37"/>
      <c r="C335" s="36">
        <f t="shared" ref="C335:C343" si="58">I22</f>
        <v>1095220149.3499999</v>
      </c>
      <c r="D335" s="37"/>
      <c r="E335" s="36">
        <f t="shared" ref="E335:E343" si="59">I205</f>
        <v>407457843.64000005</v>
      </c>
      <c r="F335" s="37"/>
      <c r="G335" s="36">
        <f t="shared" ref="G335:G342" si="60">I22-I205</f>
        <v>687762305.7099998</v>
      </c>
      <c r="H335" s="36"/>
      <c r="I335" s="37">
        <f t="shared" ref="I335:I343" si="61">I22/I205</f>
        <v>2.687934878283154</v>
      </c>
      <c r="J335" s="36"/>
      <c r="K335" s="37">
        <f t="shared" si="57"/>
        <v>1.687934878283154</v>
      </c>
    </row>
    <row r="336" spans="1:11" x14ac:dyDescent="0.85">
      <c r="A336" s="31" t="s">
        <v>215</v>
      </c>
      <c r="B336" s="37"/>
      <c r="C336" s="36">
        <f t="shared" si="58"/>
        <v>1217923973.7600012</v>
      </c>
      <c r="D336" s="37"/>
      <c r="E336" s="36">
        <f t="shared" si="59"/>
        <v>1557178730.4399996</v>
      </c>
      <c r="F336" s="37"/>
      <c r="G336" s="36">
        <f t="shared" si="60"/>
        <v>-339254756.6799984</v>
      </c>
      <c r="H336" s="36"/>
      <c r="I336" s="37">
        <f t="shared" si="61"/>
        <v>0.78213499192598279</v>
      </c>
      <c r="J336" s="36"/>
      <c r="K336" s="37">
        <f t="shared" si="57"/>
        <v>-0.21786500807401721</v>
      </c>
    </row>
    <row r="337" spans="1:11" x14ac:dyDescent="0.85">
      <c r="A337" s="31" t="s">
        <v>216</v>
      </c>
      <c r="B337" s="37"/>
      <c r="C337" s="36">
        <f t="shared" si="58"/>
        <v>14767403.570000004</v>
      </c>
      <c r="D337" s="37"/>
      <c r="E337" s="36">
        <f t="shared" si="59"/>
        <v>10564246.749999996</v>
      </c>
      <c r="F337" s="37"/>
      <c r="G337" s="36">
        <f t="shared" si="60"/>
        <v>4203156.8200000077</v>
      </c>
      <c r="H337" s="36"/>
      <c r="I337" s="37">
        <f t="shared" si="61"/>
        <v>1.3978662103855166</v>
      </c>
      <c r="J337" s="36"/>
      <c r="K337" s="37">
        <f t="shared" si="57"/>
        <v>0.39786621038551662</v>
      </c>
    </row>
    <row r="338" spans="1:11" x14ac:dyDescent="0.85">
      <c r="A338" s="31" t="s">
        <v>413</v>
      </c>
      <c r="B338" s="37"/>
      <c r="C338" s="36">
        <f t="shared" si="58"/>
        <v>51937467.360000007</v>
      </c>
      <c r="D338" s="37"/>
      <c r="E338" s="36">
        <f t="shared" si="59"/>
        <v>18947415.979999997</v>
      </c>
      <c r="F338" s="37"/>
      <c r="G338" s="36">
        <f t="shared" si="60"/>
        <v>32990051.38000001</v>
      </c>
      <c r="H338" s="36"/>
      <c r="I338" s="37">
        <f t="shared" si="61"/>
        <v>2.7411372302599339</v>
      </c>
      <c r="J338" s="36"/>
      <c r="K338" s="37">
        <f t="shared" si="57"/>
        <v>1.7411372302599339</v>
      </c>
    </row>
    <row r="339" spans="1:11" x14ac:dyDescent="0.85">
      <c r="A339" s="31" t="s">
        <v>217</v>
      </c>
      <c r="B339" s="37"/>
      <c r="C339" s="36">
        <f t="shared" si="58"/>
        <v>19906002.350000001</v>
      </c>
      <c r="D339" s="37"/>
      <c r="E339" s="36">
        <f t="shared" si="59"/>
        <v>1349107.8099999998</v>
      </c>
      <c r="F339" s="37"/>
      <c r="G339" s="36">
        <f t="shared" si="60"/>
        <v>18556894.540000003</v>
      </c>
      <c r="H339" s="36"/>
      <c r="I339" s="37">
        <f t="shared" si="61"/>
        <v>14.754938191336988</v>
      </c>
      <c r="J339" s="36"/>
      <c r="K339" s="37">
        <f t="shared" si="57"/>
        <v>13.754938191336988</v>
      </c>
    </row>
    <row r="340" spans="1:11" x14ac:dyDescent="0.85">
      <c r="A340" s="31" t="s">
        <v>218</v>
      </c>
      <c r="B340" s="37"/>
      <c r="C340" s="36">
        <f t="shared" si="58"/>
        <v>34996642.359999999</v>
      </c>
      <c r="D340" s="37"/>
      <c r="E340" s="36">
        <f t="shared" si="59"/>
        <v>13378607.189999999</v>
      </c>
      <c r="F340" s="37"/>
      <c r="G340" s="36">
        <f t="shared" si="60"/>
        <v>21618035.170000002</v>
      </c>
      <c r="H340" s="36"/>
      <c r="I340" s="37">
        <f t="shared" si="61"/>
        <v>2.6158659016581831</v>
      </c>
      <c r="J340" s="36"/>
      <c r="K340" s="37">
        <f t="shared" si="57"/>
        <v>1.6158659016581831</v>
      </c>
    </row>
    <row r="341" spans="1:11" x14ac:dyDescent="0.85">
      <c r="A341" s="31" t="s">
        <v>219</v>
      </c>
      <c r="B341" s="37"/>
      <c r="C341" s="36">
        <f t="shared" si="58"/>
        <v>1775370.3299999998</v>
      </c>
      <c r="D341" s="37"/>
      <c r="E341" s="36">
        <f t="shared" si="59"/>
        <v>1211601.6299999999</v>
      </c>
      <c r="F341" s="37"/>
      <c r="G341" s="36">
        <f t="shared" si="60"/>
        <v>563768.69999999995</v>
      </c>
      <c r="H341" s="36"/>
      <c r="I341" s="37">
        <f t="shared" si="61"/>
        <v>1.465308634489044</v>
      </c>
      <c r="J341" s="36"/>
      <c r="K341" s="37">
        <f t="shared" ref="K341" si="62">I341-1</f>
        <v>0.46530863448904403</v>
      </c>
    </row>
    <row r="342" spans="1:11" x14ac:dyDescent="0.85">
      <c r="A342" s="31" t="s">
        <v>219</v>
      </c>
      <c r="B342" s="37"/>
      <c r="C342" s="36">
        <f t="shared" si="58"/>
        <v>0</v>
      </c>
      <c r="D342" s="37"/>
      <c r="E342" s="36">
        <f t="shared" si="59"/>
        <v>0</v>
      </c>
      <c r="F342" s="37"/>
      <c r="G342" s="36">
        <f t="shared" si="60"/>
        <v>0</v>
      </c>
      <c r="H342" s="36"/>
      <c r="I342" s="37" t="e">
        <f t="shared" si="61"/>
        <v>#DIV/0!</v>
      </c>
      <c r="J342" s="36"/>
      <c r="K342" s="37" t="e">
        <f t="shared" si="57"/>
        <v>#DIV/0!</v>
      </c>
    </row>
    <row r="343" spans="1:11" x14ac:dyDescent="0.85">
      <c r="A343" s="35" t="s">
        <v>221</v>
      </c>
      <c r="B343" s="37"/>
      <c r="C343" s="38">
        <f t="shared" si="58"/>
        <v>2436527009.0800014</v>
      </c>
      <c r="D343" s="37"/>
      <c r="E343" s="38">
        <f t="shared" si="59"/>
        <v>2010087553.4399996</v>
      </c>
      <c r="F343" s="37"/>
      <c r="G343" s="38">
        <f>SUM(G335:G342)</f>
        <v>426439455.64000142</v>
      </c>
      <c r="H343" s="38"/>
      <c r="I343" s="39">
        <f t="shared" si="61"/>
        <v>1.2121496921416219</v>
      </c>
      <c r="J343" s="38"/>
      <c r="K343" s="39">
        <f t="shared" si="57"/>
        <v>0.21214969214162194</v>
      </c>
    </row>
    <row r="344" spans="1:11" x14ac:dyDescent="0.85">
      <c r="C344" s="36"/>
      <c r="E344" s="36"/>
      <c r="G344" s="36"/>
      <c r="H344" s="36"/>
      <c r="I344" s="37"/>
      <c r="J344" s="36"/>
      <c r="K344" s="37"/>
    </row>
    <row r="345" spans="1:11" ht="58.5" thickBot="1" x14ac:dyDescent="0.9">
      <c r="A345" s="35" t="s">
        <v>208</v>
      </c>
      <c r="C345" s="40">
        <f>I32</f>
        <v>24848905.959998418</v>
      </c>
      <c r="E345" s="40">
        <f>I215</f>
        <v>3024267.4700001697</v>
      </c>
      <c r="G345" s="40">
        <f>I32-I215</f>
        <v>21824638.489998247</v>
      </c>
      <c r="H345" s="40"/>
      <c r="I345" s="54">
        <f>I32/I215</f>
        <v>8.2165040647006737</v>
      </c>
      <c r="J345" s="40"/>
      <c r="K345" s="54">
        <f t="shared" si="57"/>
        <v>7.2165040647006737</v>
      </c>
    </row>
    <row r="346" spans="1:11" x14ac:dyDescent="0.85">
      <c r="C346" s="36"/>
      <c r="E346" s="36"/>
      <c r="G346" s="36"/>
      <c r="H346" s="36"/>
      <c r="I346" s="53"/>
      <c r="J346" s="36"/>
      <c r="K346" s="53"/>
    </row>
    <row r="347" spans="1:11" x14ac:dyDescent="0.85">
      <c r="A347" s="35" t="s">
        <v>206</v>
      </c>
      <c r="C347" s="36"/>
      <c r="E347" s="36"/>
      <c r="G347" s="36"/>
      <c r="H347" s="36"/>
      <c r="I347" s="53"/>
      <c r="J347" s="36"/>
      <c r="K347" s="53"/>
    </row>
    <row r="348" spans="1:11" x14ac:dyDescent="0.85">
      <c r="C348" s="36"/>
      <c r="E348" s="36"/>
      <c r="G348" s="36"/>
      <c r="H348" s="36"/>
      <c r="I348" s="53"/>
      <c r="J348" s="36"/>
      <c r="K348" s="53"/>
    </row>
    <row r="349" spans="1:11" x14ac:dyDescent="0.85">
      <c r="A349" s="35" t="s">
        <v>222</v>
      </c>
      <c r="C349" s="36"/>
      <c r="E349" s="36"/>
      <c r="G349" s="36"/>
      <c r="H349" s="36"/>
      <c r="I349" s="53"/>
      <c r="J349" s="36"/>
      <c r="K349" s="53"/>
    </row>
    <row r="350" spans="1:11" x14ac:dyDescent="0.85">
      <c r="A350" s="31" t="s">
        <v>223</v>
      </c>
      <c r="B350" s="37"/>
      <c r="C350" s="36">
        <f t="shared" ref="C350:C360" si="63">I37</f>
        <v>1582372.89</v>
      </c>
      <c r="D350" s="37"/>
      <c r="E350" s="36">
        <f t="shared" ref="E350:E361" si="64">I220</f>
        <v>1030293.59</v>
      </c>
      <c r="F350" s="37"/>
      <c r="G350" s="36">
        <f>I37-I220</f>
        <v>552079.29999999993</v>
      </c>
      <c r="H350" s="36"/>
      <c r="I350" s="37">
        <f>I37/I220</f>
        <v>1.5358465833025321</v>
      </c>
      <c r="J350" s="36"/>
      <c r="K350" s="37">
        <f t="shared" si="57"/>
        <v>0.5358465833025321</v>
      </c>
    </row>
    <row r="351" spans="1:11" x14ac:dyDescent="0.85">
      <c r="A351" s="31" t="s">
        <v>530</v>
      </c>
      <c r="B351" s="37"/>
      <c r="C351" s="36">
        <f t="shared" si="63"/>
        <v>3116608.3200000003</v>
      </c>
      <c r="D351" s="37"/>
      <c r="E351" s="36">
        <f t="shared" si="64"/>
        <v>68687.47</v>
      </c>
      <c r="F351" s="37"/>
      <c r="G351" s="36">
        <f>I38</f>
        <v>3116608.3200000003</v>
      </c>
      <c r="H351" s="36"/>
      <c r="I351" s="37">
        <v>0</v>
      </c>
      <c r="J351" s="36"/>
      <c r="K351" s="37">
        <f t="shared" si="57"/>
        <v>-1</v>
      </c>
    </row>
    <row r="352" spans="1:11" x14ac:dyDescent="0.85">
      <c r="A352" s="31" t="s">
        <v>224</v>
      </c>
      <c r="B352" s="37"/>
      <c r="C352" s="36">
        <f t="shared" si="63"/>
        <v>8413</v>
      </c>
      <c r="D352" s="37"/>
      <c r="E352" s="36">
        <f t="shared" si="64"/>
        <v>11005</v>
      </c>
      <c r="F352" s="37"/>
      <c r="G352" s="36">
        <f t="shared" ref="G352:G360" si="65">I39-I222</f>
        <v>-2592</v>
      </c>
      <c r="H352" s="36"/>
      <c r="I352" s="37">
        <f t="shared" ref="I352:I357" si="66">I39/I222</f>
        <v>0.76447069513857335</v>
      </c>
      <c r="J352" s="36"/>
      <c r="K352" s="37">
        <f t="shared" si="57"/>
        <v>-0.23552930486142665</v>
      </c>
    </row>
    <row r="353" spans="1:11" x14ac:dyDescent="0.85">
      <c r="A353" s="31" t="s">
        <v>225</v>
      </c>
      <c r="B353" s="37"/>
      <c r="C353" s="36">
        <f t="shared" si="63"/>
        <v>132728.35999999999</v>
      </c>
      <c r="D353" s="37"/>
      <c r="E353" s="36">
        <f t="shared" si="64"/>
        <v>108819.85</v>
      </c>
      <c r="F353" s="37"/>
      <c r="G353" s="36">
        <f t="shared" si="65"/>
        <v>23908.50999999998</v>
      </c>
      <c r="H353" s="36"/>
      <c r="I353" s="37">
        <f t="shared" si="66"/>
        <v>1.2197072501018884</v>
      </c>
      <c r="J353" s="36"/>
      <c r="K353" s="37">
        <f t="shared" si="57"/>
        <v>0.21970725010188841</v>
      </c>
    </row>
    <row r="354" spans="1:11" x14ac:dyDescent="0.85">
      <c r="A354" s="31" t="s">
        <v>226</v>
      </c>
      <c r="B354" s="37"/>
      <c r="C354" s="36">
        <f t="shared" si="63"/>
        <v>178182.47</v>
      </c>
      <c r="D354" s="37"/>
      <c r="E354" s="36">
        <f t="shared" si="64"/>
        <v>128026.70999999999</v>
      </c>
      <c r="F354" s="37"/>
      <c r="G354" s="36">
        <f t="shared" si="65"/>
        <v>50155.760000000009</v>
      </c>
      <c r="H354" s="36"/>
      <c r="I354" s="37">
        <f t="shared" si="66"/>
        <v>1.3917601256800243</v>
      </c>
      <c r="J354" s="36"/>
      <c r="K354" s="37">
        <f t="shared" si="57"/>
        <v>0.39176012568002427</v>
      </c>
    </row>
    <row r="355" spans="1:11" x14ac:dyDescent="0.85">
      <c r="A355" s="31" t="s">
        <v>227</v>
      </c>
      <c r="B355" s="37"/>
      <c r="C355" s="36">
        <f t="shared" si="63"/>
        <v>27505.379999999997</v>
      </c>
      <c r="D355" s="37"/>
      <c r="E355" s="36">
        <f t="shared" si="64"/>
        <v>16243.47</v>
      </c>
      <c r="F355" s="37"/>
      <c r="G355" s="36">
        <f t="shared" si="65"/>
        <v>11261.909999999998</v>
      </c>
      <c r="H355" s="36"/>
      <c r="I355" s="37">
        <f t="shared" si="66"/>
        <v>1.6933192230477847</v>
      </c>
      <c r="J355" s="36"/>
      <c r="K355" s="37">
        <f t="shared" si="57"/>
        <v>0.69331922304778471</v>
      </c>
    </row>
    <row r="356" spans="1:11" x14ac:dyDescent="0.85">
      <c r="A356" s="31" t="s">
        <v>228</v>
      </c>
      <c r="B356" s="37"/>
      <c r="C356" s="36">
        <f t="shared" si="63"/>
        <v>98602.01</v>
      </c>
      <c r="D356" s="37"/>
      <c r="E356" s="36">
        <f t="shared" si="64"/>
        <v>37419.58</v>
      </c>
      <c r="F356" s="37"/>
      <c r="G356" s="36">
        <f t="shared" si="65"/>
        <v>61182.429999999993</v>
      </c>
      <c r="H356" s="36"/>
      <c r="I356" s="37">
        <f t="shared" si="66"/>
        <v>2.6350378598583948</v>
      </c>
      <c r="J356" s="36"/>
      <c r="K356" s="37">
        <f t="shared" si="57"/>
        <v>1.6350378598583948</v>
      </c>
    </row>
    <row r="357" spans="1:11" x14ac:dyDescent="0.85">
      <c r="A357" s="31" t="s">
        <v>304</v>
      </c>
      <c r="B357" s="37"/>
      <c r="C357" s="36">
        <f t="shared" si="63"/>
        <v>34467.24</v>
      </c>
      <c r="D357" s="37"/>
      <c r="E357" s="36">
        <f t="shared" si="64"/>
        <v>5421.22</v>
      </c>
      <c r="F357" s="37"/>
      <c r="G357" s="36">
        <f t="shared" si="65"/>
        <v>29046.019999999997</v>
      </c>
      <c r="H357" s="36"/>
      <c r="I357" s="37">
        <f t="shared" si="66"/>
        <v>6.357838272565953</v>
      </c>
      <c r="J357" s="36"/>
      <c r="K357" s="37">
        <f t="shared" si="57"/>
        <v>5.357838272565953</v>
      </c>
    </row>
    <row r="358" spans="1:11" x14ac:dyDescent="0.85">
      <c r="A358" s="31" t="s">
        <v>229</v>
      </c>
      <c r="B358" s="37"/>
      <c r="C358" s="36">
        <f t="shared" si="63"/>
        <v>365</v>
      </c>
      <c r="D358" s="37"/>
      <c r="E358" s="36">
        <f t="shared" si="64"/>
        <v>1992.36</v>
      </c>
      <c r="F358" s="37"/>
      <c r="G358" s="36">
        <f t="shared" si="65"/>
        <v>-1627.36</v>
      </c>
      <c r="H358" s="36"/>
      <c r="I358" s="37">
        <v>0</v>
      </c>
      <c r="J358" s="36"/>
      <c r="K358" s="37">
        <f t="shared" si="57"/>
        <v>-1</v>
      </c>
    </row>
    <row r="359" spans="1:11" x14ac:dyDescent="0.85">
      <c r="A359" s="31" t="s">
        <v>243</v>
      </c>
      <c r="B359" s="37"/>
      <c r="C359" s="36">
        <f t="shared" si="63"/>
        <v>35446</v>
      </c>
      <c r="D359" s="37"/>
      <c r="E359" s="36">
        <f t="shared" si="64"/>
        <v>11234.6</v>
      </c>
      <c r="F359" s="37"/>
      <c r="G359" s="36">
        <f t="shared" si="65"/>
        <v>24211.4</v>
      </c>
      <c r="H359" s="36"/>
      <c r="I359" s="37">
        <f>I46/I229</f>
        <v>3.1550745019849393</v>
      </c>
      <c r="J359" s="36"/>
      <c r="K359" s="37">
        <f t="shared" si="57"/>
        <v>2.1550745019849393</v>
      </c>
    </row>
    <row r="360" spans="1:11" x14ac:dyDescent="0.85">
      <c r="A360" s="35" t="s">
        <v>230</v>
      </c>
      <c r="B360" s="37"/>
      <c r="C360" s="38">
        <f t="shared" si="63"/>
        <v>5214690.6700000009</v>
      </c>
      <c r="D360" s="37"/>
      <c r="E360" s="38">
        <f t="shared" si="64"/>
        <v>1419143.85</v>
      </c>
      <c r="F360" s="37"/>
      <c r="G360" s="38">
        <f t="shared" si="65"/>
        <v>3795546.8200000008</v>
      </c>
      <c r="H360" s="38"/>
      <c r="I360" s="39">
        <f>I47/I230</f>
        <v>3.6745328318901573</v>
      </c>
      <c r="J360" s="38"/>
      <c r="K360" s="39">
        <f t="shared" si="57"/>
        <v>2.6745328318901573</v>
      </c>
    </row>
    <row r="361" spans="1:11" x14ac:dyDescent="0.85">
      <c r="C361" s="36"/>
      <c r="E361" s="36">
        <f t="shared" si="64"/>
        <v>0</v>
      </c>
      <c r="G361" s="36"/>
      <c r="H361" s="36"/>
      <c r="I361" s="53"/>
      <c r="J361" s="36"/>
      <c r="K361" s="53"/>
    </row>
    <row r="362" spans="1:11" ht="92.25" x14ac:dyDescent="0.85">
      <c r="A362" s="33"/>
      <c r="B362" s="32"/>
      <c r="C362" s="50"/>
      <c r="D362" s="32"/>
      <c r="E362" s="165" t="s">
        <v>542</v>
      </c>
      <c r="F362" s="32"/>
      <c r="G362" s="50"/>
      <c r="H362" s="50"/>
      <c r="I362" s="52"/>
      <c r="J362" s="50"/>
      <c r="K362" s="52"/>
    </row>
    <row r="363" spans="1:11" ht="92.25" x14ac:dyDescent="0.85">
      <c r="A363" s="33"/>
      <c r="B363" s="32"/>
      <c r="C363" s="50"/>
      <c r="D363" s="32"/>
      <c r="E363" s="165" t="s">
        <v>540</v>
      </c>
      <c r="F363" s="32"/>
      <c r="G363" s="50"/>
      <c r="H363" s="50"/>
      <c r="I363" s="52"/>
      <c r="J363" s="50"/>
      <c r="K363" s="52"/>
    </row>
    <row r="364" spans="1:11" ht="92.25" x14ac:dyDescent="1.35">
      <c r="A364" s="33"/>
      <c r="B364" s="32"/>
      <c r="C364" s="50"/>
      <c r="D364" s="32"/>
      <c r="E364" s="166" t="s">
        <v>339</v>
      </c>
      <c r="F364" s="32"/>
      <c r="G364" s="50"/>
      <c r="H364" s="50"/>
      <c r="I364" s="52"/>
      <c r="J364" s="50"/>
      <c r="K364" s="52"/>
    </row>
    <row r="365" spans="1:11" ht="92.25" x14ac:dyDescent="1.35">
      <c r="A365" s="33"/>
      <c r="B365" s="32"/>
      <c r="C365" s="50"/>
      <c r="D365" s="32"/>
      <c r="E365" s="167" t="s">
        <v>541</v>
      </c>
      <c r="F365" s="32"/>
      <c r="G365" s="50"/>
      <c r="H365" s="50"/>
      <c r="I365" s="32" t="str">
        <f>I320</f>
        <v>2019 YTD</v>
      </c>
      <c r="J365" s="50"/>
      <c r="K365" s="52"/>
    </row>
    <row r="366" spans="1:11" x14ac:dyDescent="0.85">
      <c r="B366" s="32"/>
      <c r="C366" s="32"/>
      <c r="D366" s="32"/>
      <c r="E366" s="32"/>
      <c r="F366" s="32"/>
      <c r="G366" s="32" t="str">
        <f>G321</f>
        <v>2019 YTD</v>
      </c>
      <c r="H366" s="32"/>
      <c r="I366" s="52" t="s">
        <v>336</v>
      </c>
      <c r="J366" s="32"/>
      <c r="K366" s="32" t="s">
        <v>335</v>
      </c>
    </row>
    <row r="367" spans="1:11" x14ac:dyDescent="0.85">
      <c r="B367" s="32"/>
      <c r="C367" s="32">
        <f>C322</f>
        <v>2020</v>
      </c>
      <c r="D367" s="32"/>
      <c r="E367" s="32">
        <f>E322</f>
        <v>2019</v>
      </c>
      <c r="F367" s="32"/>
      <c r="G367" s="32" t="str">
        <f>G322</f>
        <v>2020 YTD</v>
      </c>
      <c r="H367" s="32"/>
      <c r="I367" s="32" t="str">
        <f>I322</f>
        <v>2020 YTD</v>
      </c>
      <c r="J367" s="32"/>
      <c r="K367" s="32" t="s">
        <v>337</v>
      </c>
    </row>
    <row r="368" spans="1:11" x14ac:dyDescent="0.85">
      <c r="B368" s="32"/>
      <c r="C368" s="34"/>
      <c r="D368" s="32"/>
      <c r="E368" s="34"/>
      <c r="F368" s="32"/>
      <c r="G368" s="34" t="s">
        <v>333</v>
      </c>
      <c r="H368" s="34"/>
      <c r="I368" s="34" t="s">
        <v>334</v>
      </c>
      <c r="J368" s="34"/>
      <c r="K368" s="34" t="s">
        <v>334</v>
      </c>
    </row>
    <row r="369" spans="1:11" x14ac:dyDescent="0.85">
      <c r="A369" s="35" t="s">
        <v>476</v>
      </c>
      <c r="C369" s="36"/>
      <c r="E369" s="36"/>
      <c r="G369" s="36"/>
      <c r="H369" s="36"/>
      <c r="I369" s="53"/>
      <c r="J369" s="36"/>
      <c r="K369" s="53"/>
    </row>
    <row r="370" spans="1:11" x14ac:dyDescent="0.85">
      <c r="A370" s="31" t="s">
        <v>231</v>
      </c>
      <c r="B370" s="37"/>
      <c r="C370" s="36">
        <f t="shared" ref="C370:C392" si="67">I50</f>
        <v>335800</v>
      </c>
      <c r="D370" s="37"/>
      <c r="E370" s="36">
        <f t="shared" ref="E370:E392" si="68">I238</f>
        <v>255600</v>
      </c>
      <c r="F370" s="37"/>
      <c r="G370" s="36">
        <f t="shared" ref="G370:G392" si="69">I50-I238</f>
        <v>80200</v>
      </c>
      <c r="H370" s="36"/>
      <c r="I370" s="37">
        <f t="shared" ref="I370:I392" si="70">I50/I238</f>
        <v>1.3137715179968701</v>
      </c>
      <c r="J370" s="36"/>
      <c r="K370" s="37">
        <f t="shared" si="57"/>
        <v>0.31377151799687009</v>
      </c>
    </row>
    <row r="371" spans="1:11" x14ac:dyDescent="0.85">
      <c r="A371" s="31" t="s">
        <v>232</v>
      </c>
      <c r="B371" s="37"/>
      <c r="C371" s="36">
        <f t="shared" si="67"/>
        <v>12378.119999999997</v>
      </c>
      <c r="D371" s="37"/>
      <c r="E371" s="36">
        <f t="shared" si="68"/>
        <v>46282.180000000008</v>
      </c>
      <c r="F371" s="37"/>
      <c r="G371" s="36">
        <f t="shared" si="69"/>
        <v>-33904.060000000012</v>
      </c>
      <c r="H371" s="36"/>
      <c r="I371" s="37">
        <f t="shared" si="70"/>
        <v>0.26744894039131251</v>
      </c>
      <c r="J371" s="36"/>
      <c r="K371" s="37">
        <f t="shared" si="57"/>
        <v>-0.73255105960868749</v>
      </c>
    </row>
    <row r="372" spans="1:11" x14ac:dyDescent="0.85">
      <c r="A372" s="31" t="s">
        <v>233</v>
      </c>
      <c r="B372" s="37"/>
      <c r="C372" s="36">
        <f t="shared" si="67"/>
        <v>47091.83</v>
      </c>
      <c r="D372" s="37"/>
      <c r="E372" s="36">
        <f t="shared" si="68"/>
        <v>40775.51</v>
      </c>
      <c r="F372" s="37"/>
      <c r="G372" s="36">
        <f t="shared" si="69"/>
        <v>6316.32</v>
      </c>
      <c r="H372" s="36"/>
      <c r="I372" s="37">
        <f t="shared" si="70"/>
        <v>1.1549047455200439</v>
      </c>
      <c r="J372" s="36"/>
      <c r="K372" s="37">
        <f t="shared" si="57"/>
        <v>0.15490474552004385</v>
      </c>
    </row>
    <row r="373" spans="1:11" x14ac:dyDescent="0.85">
      <c r="A373" s="31" t="s">
        <v>332</v>
      </c>
      <c r="B373" s="37"/>
      <c r="C373" s="36">
        <f t="shared" si="67"/>
        <v>1972.6</v>
      </c>
      <c r="D373" s="37"/>
      <c r="E373" s="36">
        <f t="shared" si="68"/>
        <v>1664.1</v>
      </c>
      <c r="F373" s="37"/>
      <c r="G373" s="36">
        <f t="shared" si="69"/>
        <v>308.5</v>
      </c>
      <c r="H373" s="36"/>
      <c r="I373" s="37">
        <f t="shared" si="70"/>
        <v>1.1853854936602368</v>
      </c>
      <c r="J373" s="36"/>
      <c r="K373" s="37">
        <f t="shared" si="57"/>
        <v>0.18538549366023682</v>
      </c>
    </row>
    <row r="374" spans="1:11" x14ac:dyDescent="0.85">
      <c r="A374" s="31" t="s">
        <v>287</v>
      </c>
      <c r="B374" s="37"/>
      <c r="C374" s="36">
        <f t="shared" si="67"/>
        <v>4902.3</v>
      </c>
      <c r="D374" s="37"/>
      <c r="E374" s="36">
        <f t="shared" si="68"/>
        <v>3276.83</v>
      </c>
      <c r="F374" s="37"/>
      <c r="G374" s="36">
        <f t="shared" si="69"/>
        <v>1625.4700000000003</v>
      </c>
      <c r="H374" s="36"/>
      <c r="I374" s="37">
        <f t="shared" si="70"/>
        <v>1.4960495356793</v>
      </c>
      <c r="J374" s="36"/>
      <c r="K374" s="37">
        <f t="shared" si="57"/>
        <v>0.49604953567929999</v>
      </c>
    </row>
    <row r="375" spans="1:11" x14ac:dyDescent="0.85">
      <c r="A375" s="31" t="s">
        <v>436</v>
      </c>
      <c r="B375" s="37"/>
      <c r="C375" s="36">
        <f t="shared" si="67"/>
        <v>18400</v>
      </c>
      <c r="D375" s="37"/>
      <c r="E375" s="36">
        <f t="shared" si="68"/>
        <v>11050.75</v>
      </c>
      <c r="F375" s="37"/>
      <c r="G375" s="36">
        <f t="shared" si="69"/>
        <v>7349.25</v>
      </c>
      <c r="H375" s="36"/>
      <c r="I375" s="37">
        <f t="shared" si="70"/>
        <v>1.6650453589122911</v>
      </c>
      <c r="J375" s="36"/>
      <c r="K375" s="37">
        <f t="shared" si="57"/>
        <v>0.66504535891229111</v>
      </c>
    </row>
    <row r="376" spans="1:11" x14ac:dyDescent="0.85">
      <c r="A376" s="31" t="s">
        <v>234</v>
      </c>
      <c r="B376" s="37"/>
      <c r="C376" s="36">
        <f t="shared" si="67"/>
        <v>56473.35</v>
      </c>
      <c r="D376" s="37"/>
      <c r="E376" s="36">
        <f t="shared" si="68"/>
        <v>44189.72</v>
      </c>
      <c r="F376" s="37"/>
      <c r="G376" s="36">
        <f t="shared" si="69"/>
        <v>12283.629999999997</v>
      </c>
      <c r="H376" s="36"/>
      <c r="I376" s="37">
        <f t="shared" si="70"/>
        <v>1.2779748321555329</v>
      </c>
      <c r="J376" s="36"/>
      <c r="K376" s="37">
        <f t="shared" si="57"/>
        <v>0.27797483215553287</v>
      </c>
    </row>
    <row r="377" spans="1:11" x14ac:dyDescent="0.85">
      <c r="A377" s="31" t="s">
        <v>367</v>
      </c>
      <c r="B377" s="37"/>
      <c r="C377" s="36">
        <f t="shared" si="67"/>
        <v>2576.14</v>
      </c>
      <c r="D377" s="37"/>
      <c r="E377" s="36">
        <f t="shared" si="68"/>
        <v>2539.3000000000002</v>
      </c>
      <c r="F377" s="37"/>
      <c r="G377" s="36">
        <f t="shared" si="69"/>
        <v>36.839999999999691</v>
      </c>
      <c r="H377" s="36"/>
      <c r="I377" s="37">
        <f t="shared" si="70"/>
        <v>1.0145079352577482</v>
      </c>
      <c r="J377" s="36"/>
      <c r="K377" s="37">
        <f t="shared" si="57"/>
        <v>1.4507935257748183E-2</v>
      </c>
    </row>
    <row r="378" spans="1:11" x14ac:dyDescent="0.85">
      <c r="A378" s="31" t="s">
        <v>236</v>
      </c>
      <c r="B378" s="37"/>
      <c r="C378" s="36">
        <f t="shared" si="67"/>
        <v>62043.35</v>
      </c>
      <c r="D378" s="37"/>
      <c r="E378" s="36">
        <f t="shared" si="68"/>
        <v>48242.06</v>
      </c>
      <c r="F378" s="37"/>
      <c r="G378" s="36">
        <f t="shared" si="69"/>
        <v>13801.29</v>
      </c>
      <c r="H378" s="36"/>
      <c r="I378" s="37">
        <f t="shared" si="70"/>
        <v>1.2860841763390702</v>
      </c>
      <c r="J378" s="36"/>
      <c r="K378" s="37">
        <f t="shared" si="57"/>
        <v>0.28608417633907024</v>
      </c>
    </row>
    <row r="379" spans="1:11" x14ac:dyDescent="0.85">
      <c r="A379" s="31" t="s">
        <v>237</v>
      </c>
      <c r="B379" s="37"/>
      <c r="C379" s="36">
        <f t="shared" si="67"/>
        <v>13103.51</v>
      </c>
      <c r="D379" s="37"/>
      <c r="E379" s="36">
        <f t="shared" si="68"/>
        <v>10183.959999999999</v>
      </c>
      <c r="F379" s="37"/>
      <c r="G379" s="36">
        <f t="shared" si="69"/>
        <v>2919.5500000000011</v>
      </c>
      <c r="H379" s="36"/>
      <c r="I379" s="37">
        <f t="shared" si="70"/>
        <v>1.2866812124163882</v>
      </c>
      <c r="J379" s="36"/>
      <c r="K379" s="37">
        <f t="shared" si="57"/>
        <v>0.28668121241638822</v>
      </c>
    </row>
    <row r="380" spans="1:11" x14ac:dyDescent="0.85">
      <c r="A380" s="31" t="s">
        <v>235</v>
      </c>
      <c r="B380" s="37"/>
      <c r="C380" s="36">
        <f t="shared" si="67"/>
        <v>123873.03</v>
      </c>
      <c r="D380" s="37"/>
      <c r="E380" s="36">
        <f t="shared" si="68"/>
        <v>98053.999999999985</v>
      </c>
      <c r="F380" s="37"/>
      <c r="G380" s="36">
        <f t="shared" si="69"/>
        <v>25819.030000000013</v>
      </c>
      <c r="H380" s="36"/>
      <c r="I380" s="37">
        <f t="shared" si="70"/>
        <v>1.2633143981887534</v>
      </c>
      <c r="J380" s="36"/>
      <c r="K380" s="37">
        <f t="shared" si="57"/>
        <v>0.26331439818875335</v>
      </c>
    </row>
    <row r="381" spans="1:11" x14ac:dyDescent="0.85">
      <c r="A381" s="31" t="s">
        <v>352</v>
      </c>
      <c r="B381" s="37"/>
      <c r="C381" s="36">
        <f t="shared" si="67"/>
        <v>9098.15</v>
      </c>
      <c r="D381" s="37"/>
      <c r="E381" s="36">
        <f t="shared" si="68"/>
        <v>6357.5</v>
      </c>
      <c r="F381" s="37"/>
      <c r="G381" s="36">
        <f t="shared" si="69"/>
        <v>2740.6499999999996</v>
      </c>
      <c r="H381" s="36"/>
      <c r="I381" s="37">
        <f t="shared" si="70"/>
        <v>1.4310892646480535</v>
      </c>
      <c r="J381" s="36"/>
      <c r="K381" s="37">
        <f t="shared" si="57"/>
        <v>0.43108926464805353</v>
      </c>
    </row>
    <row r="382" spans="1:11" x14ac:dyDescent="0.85">
      <c r="A382" s="31" t="s">
        <v>238</v>
      </c>
      <c r="B382" s="37"/>
      <c r="C382" s="36">
        <f t="shared" si="67"/>
        <v>44119.18</v>
      </c>
      <c r="D382" s="37"/>
      <c r="E382" s="36">
        <f t="shared" si="68"/>
        <v>15074.65</v>
      </c>
      <c r="F382" s="37"/>
      <c r="G382" s="36">
        <f t="shared" si="69"/>
        <v>29044.53</v>
      </c>
      <c r="H382" s="36"/>
      <c r="I382" s="37">
        <f t="shared" si="70"/>
        <v>2.9267133896972735</v>
      </c>
      <c r="J382" s="36"/>
      <c r="K382" s="37">
        <f t="shared" si="57"/>
        <v>1.9267133896972735</v>
      </c>
    </row>
    <row r="383" spans="1:11" x14ac:dyDescent="0.85">
      <c r="A383" s="31" t="s">
        <v>239</v>
      </c>
      <c r="B383" s="37"/>
      <c r="C383" s="36">
        <f t="shared" si="67"/>
        <v>8178.5199999999995</v>
      </c>
      <c r="D383" s="37"/>
      <c r="E383" s="36">
        <f t="shared" si="68"/>
        <v>5923.92</v>
      </c>
      <c r="F383" s="37"/>
      <c r="G383" s="36">
        <f t="shared" si="69"/>
        <v>2254.5999999999995</v>
      </c>
      <c r="H383" s="36"/>
      <c r="I383" s="37">
        <f t="shared" si="70"/>
        <v>1.3805925805885291</v>
      </c>
      <c r="J383" s="36"/>
      <c r="K383" s="37">
        <f t="shared" si="57"/>
        <v>0.38059258058852907</v>
      </c>
    </row>
    <row r="384" spans="1:11" x14ac:dyDescent="0.85">
      <c r="A384" s="31" t="s">
        <v>240</v>
      </c>
      <c r="B384" s="37"/>
      <c r="C384" s="36">
        <f t="shared" si="67"/>
        <v>0</v>
      </c>
      <c r="D384" s="37"/>
      <c r="E384" s="36">
        <f t="shared" si="68"/>
        <v>999.99</v>
      </c>
      <c r="F384" s="37"/>
      <c r="G384" s="36">
        <f t="shared" si="69"/>
        <v>-999.99</v>
      </c>
      <c r="H384" s="36"/>
      <c r="I384" s="37">
        <f t="shared" si="70"/>
        <v>0</v>
      </c>
      <c r="J384" s="36"/>
      <c r="K384" s="37">
        <f t="shared" si="57"/>
        <v>-1</v>
      </c>
    </row>
    <row r="385" spans="1:11" x14ac:dyDescent="0.85">
      <c r="A385" s="31" t="s">
        <v>241</v>
      </c>
      <c r="B385" s="37"/>
      <c r="C385" s="36">
        <f t="shared" si="67"/>
        <v>611547.79</v>
      </c>
      <c r="D385" s="37"/>
      <c r="E385" s="36">
        <f t="shared" si="68"/>
        <v>466653.1</v>
      </c>
      <c r="F385" s="37"/>
      <c r="G385" s="36">
        <f t="shared" si="69"/>
        <v>144894.69000000006</v>
      </c>
      <c r="H385" s="36"/>
      <c r="I385" s="37">
        <f t="shared" si="70"/>
        <v>1.3104976480387682</v>
      </c>
      <c r="J385" s="36"/>
      <c r="K385" s="37">
        <f t="shared" si="57"/>
        <v>0.31049764803876823</v>
      </c>
    </row>
    <row r="386" spans="1:11" x14ac:dyDescent="0.85">
      <c r="A386" s="31" t="s">
        <v>251</v>
      </c>
      <c r="B386" s="37"/>
      <c r="C386" s="36">
        <f t="shared" si="67"/>
        <v>4304.5599999999995</v>
      </c>
      <c r="D386" s="37"/>
      <c r="E386" s="36">
        <f t="shared" si="68"/>
        <v>2052.4899999999998</v>
      </c>
      <c r="F386" s="37"/>
      <c r="G386" s="36">
        <f t="shared" si="69"/>
        <v>2252.0699999999997</v>
      </c>
      <c r="H386" s="36"/>
      <c r="I386" s="37">
        <f t="shared" si="70"/>
        <v>2.0972379889792396</v>
      </c>
      <c r="J386" s="36"/>
      <c r="K386" s="37">
        <f t="shared" si="57"/>
        <v>1.0972379889792396</v>
      </c>
    </row>
    <row r="387" spans="1:11" x14ac:dyDescent="0.85">
      <c r="A387" s="31" t="s">
        <v>349</v>
      </c>
      <c r="B387" s="37"/>
      <c r="C387" s="36">
        <f t="shared" si="67"/>
        <v>440</v>
      </c>
      <c r="D387" s="37"/>
      <c r="E387" s="36">
        <f t="shared" si="68"/>
        <v>2430.6800000000003</v>
      </c>
      <c r="F387" s="37"/>
      <c r="G387" s="36">
        <f t="shared" si="69"/>
        <v>-1990.6800000000003</v>
      </c>
      <c r="H387" s="36"/>
      <c r="I387" s="37">
        <f t="shared" si="70"/>
        <v>0.18101930324024551</v>
      </c>
      <c r="J387" s="36"/>
      <c r="K387" s="37">
        <f t="shared" si="57"/>
        <v>-0.81898069675975449</v>
      </c>
    </row>
    <row r="388" spans="1:11" x14ac:dyDescent="0.85">
      <c r="A388" s="31" t="s">
        <v>244</v>
      </c>
      <c r="B388" s="37"/>
      <c r="C388" s="36">
        <f t="shared" si="67"/>
        <v>12571.93</v>
      </c>
      <c r="D388" s="37"/>
      <c r="E388" s="36">
        <f t="shared" si="68"/>
        <v>9407.11</v>
      </c>
      <c r="F388" s="37"/>
      <c r="G388" s="36">
        <f t="shared" si="69"/>
        <v>3164.8199999999997</v>
      </c>
      <c r="H388" s="36"/>
      <c r="I388" s="37">
        <f t="shared" si="70"/>
        <v>1.3364285099249398</v>
      </c>
      <c r="J388" s="36"/>
      <c r="K388" s="37">
        <f t="shared" si="57"/>
        <v>0.33642850992493978</v>
      </c>
    </row>
    <row r="389" spans="1:11" x14ac:dyDescent="0.85">
      <c r="A389" s="31" t="s">
        <v>245</v>
      </c>
      <c r="B389" s="37"/>
      <c r="C389" s="36">
        <f t="shared" si="67"/>
        <v>65469.41</v>
      </c>
      <c r="D389" s="37"/>
      <c r="E389" s="36">
        <f t="shared" si="68"/>
        <v>60135.35</v>
      </c>
      <c r="F389" s="37"/>
      <c r="G389" s="36">
        <f t="shared" si="69"/>
        <v>5334.0600000000049</v>
      </c>
      <c r="H389" s="36"/>
      <c r="I389" s="37">
        <f t="shared" si="70"/>
        <v>1.0887009055405847</v>
      </c>
      <c r="J389" s="36"/>
      <c r="K389" s="37">
        <f t="shared" si="57"/>
        <v>8.870090554058474E-2</v>
      </c>
    </row>
    <row r="390" spans="1:11" x14ac:dyDescent="0.85">
      <c r="A390" s="31" t="s">
        <v>361</v>
      </c>
      <c r="B390" s="37"/>
      <c r="C390" s="36">
        <f t="shared" si="67"/>
        <v>9029.8599999999988</v>
      </c>
      <c r="D390" s="37"/>
      <c r="E390" s="36">
        <f t="shared" si="68"/>
        <v>10875.41</v>
      </c>
      <c r="F390" s="37"/>
      <c r="G390" s="36">
        <f t="shared" si="69"/>
        <v>-1845.5500000000011</v>
      </c>
      <c r="H390" s="36"/>
      <c r="I390" s="37">
        <f t="shared" si="70"/>
        <v>0.83030065073408721</v>
      </c>
      <c r="J390" s="36"/>
      <c r="K390" s="37">
        <f t="shared" si="57"/>
        <v>-0.16969934926591279</v>
      </c>
    </row>
    <row r="391" spans="1:11" x14ac:dyDescent="0.85">
      <c r="A391" s="31" t="s">
        <v>362</v>
      </c>
      <c r="B391" s="37"/>
      <c r="C391" s="36">
        <f t="shared" si="67"/>
        <v>19540.77</v>
      </c>
      <c r="D391" s="37"/>
      <c r="E391" s="36">
        <f t="shared" si="68"/>
        <v>17183.260000000002</v>
      </c>
      <c r="F391" s="37"/>
      <c r="G391" s="36">
        <f t="shared" si="69"/>
        <v>2357.5099999999984</v>
      </c>
      <c r="H391" s="36"/>
      <c r="I391" s="37">
        <f t="shared" si="70"/>
        <v>1.137198063696877</v>
      </c>
      <c r="J391" s="36"/>
      <c r="K391" s="56">
        <f t="shared" si="57"/>
        <v>0.13719806369687704</v>
      </c>
    </row>
    <row r="392" spans="1:11" x14ac:dyDescent="0.85">
      <c r="A392" s="35" t="s">
        <v>246</v>
      </c>
      <c r="B392" s="37"/>
      <c r="C392" s="38">
        <f t="shared" si="67"/>
        <v>1462914.4</v>
      </c>
      <c r="D392" s="37"/>
      <c r="E392" s="38">
        <f t="shared" si="68"/>
        <v>1158951.8700000003</v>
      </c>
      <c r="F392" s="37"/>
      <c r="G392" s="38">
        <f t="shared" si="69"/>
        <v>303962.52999999956</v>
      </c>
      <c r="H392" s="38"/>
      <c r="I392" s="39">
        <f t="shared" si="70"/>
        <v>1.2622736438571858</v>
      </c>
      <c r="J392" s="38"/>
      <c r="K392" s="39">
        <f t="shared" si="57"/>
        <v>0.26227364385718577</v>
      </c>
    </row>
    <row r="393" spans="1:11" x14ac:dyDescent="0.85">
      <c r="C393" s="36"/>
      <c r="E393" s="36"/>
      <c r="G393" s="36"/>
      <c r="H393" s="36"/>
      <c r="I393" s="37"/>
      <c r="J393" s="36"/>
      <c r="K393" s="37"/>
    </row>
    <row r="394" spans="1:11" x14ac:dyDescent="0.85">
      <c r="A394" s="35" t="s">
        <v>247</v>
      </c>
      <c r="C394" s="36"/>
      <c r="E394" s="36"/>
      <c r="G394" s="36"/>
      <c r="H394" s="36"/>
      <c r="I394" s="37"/>
      <c r="J394" s="36"/>
      <c r="K394" s="37"/>
    </row>
    <row r="395" spans="1:11" x14ac:dyDescent="0.85">
      <c r="A395" s="31" t="s">
        <v>248</v>
      </c>
      <c r="B395" s="37"/>
      <c r="C395" s="36">
        <f t="shared" ref="C395:C416" si="71">I81</f>
        <v>8366.4500000000007</v>
      </c>
      <c r="D395" s="37"/>
      <c r="E395" s="36">
        <f t="shared" ref="E395:E413" si="72">I263</f>
        <v>5307.8499999999995</v>
      </c>
      <c r="F395" s="37"/>
      <c r="G395" s="36">
        <f>I81-I263</f>
        <v>3058.6000000000013</v>
      </c>
      <c r="H395" s="36"/>
      <c r="I395" s="37">
        <f>I81/I263</f>
        <v>1.5762408508153021</v>
      </c>
      <c r="J395" s="36"/>
      <c r="K395" s="37">
        <f t="shared" si="57"/>
        <v>0.57624085081530207</v>
      </c>
    </row>
    <row r="396" spans="1:11" x14ac:dyDescent="0.85">
      <c r="A396" s="31" t="s">
        <v>384</v>
      </c>
      <c r="B396" s="37"/>
      <c r="C396" s="36">
        <f t="shared" si="71"/>
        <v>738</v>
      </c>
      <c r="D396" s="37"/>
      <c r="E396" s="36">
        <f t="shared" si="72"/>
        <v>0</v>
      </c>
      <c r="F396" s="37"/>
      <c r="G396" s="36">
        <f>I82-I264</f>
        <v>738</v>
      </c>
      <c r="H396" s="36"/>
      <c r="I396" s="37" t="e">
        <f>I82/I264</f>
        <v>#DIV/0!</v>
      </c>
      <c r="J396" s="36"/>
      <c r="K396" s="37" t="e">
        <f>I396-1</f>
        <v>#DIV/0!</v>
      </c>
    </row>
    <row r="397" spans="1:11" x14ac:dyDescent="0.85">
      <c r="A397" s="31" t="s">
        <v>532</v>
      </c>
      <c r="B397" s="37"/>
      <c r="C397" s="36">
        <f t="shared" si="71"/>
        <v>0</v>
      </c>
      <c r="D397" s="37"/>
      <c r="E397" s="36">
        <f t="shared" si="72"/>
        <v>0</v>
      </c>
      <c r="F397" s="37"/>
      <c r="G397" s="36">
        <f>I83</f>
        <v>0</v>
      </c>
      <c r="H397" s="36"/>
      <c r="I397" s="37">
        <v>0</v>
      </c>
      <c r="J397" s="36"/>
      <c r="K397" s="37">
        <f>I397-1</f>
        <v>-1</v>
      </c>
    </row>
    <row r="398" spans="1:11" x14ac:dyDescent="0.85">
      <c r="A398" s="31" t="s">
        <v>249</v>
      </c>
      <c r="B398" s="37"/>
      <c r="C398" s="36">
        <f t="shared" si="71"/>
        <v>30818.139999999996</v>
      </c>
      <c r="D398" s="37"/>
      <c r="E398" s="36">
        <f t="shared" si="72"/>
        <v>19143.89</v>
      </c>
      <c r="F398" s="37"/>
      <c r="G398" s="36">
        <f t="shared" ref="G398:G416" si="73">I84-I266</f>
        <v>11674.249999999996</v>
      </c>
      <c r="H398" s="36"/>
      <c r="I398" s="37">
        <f t="shared" ref="I398:I416" si="74">I84/I266</f>
        <v>1.6098159778394046</v>
      </c>
      <c r="J398" s="36"/>
      <c r="K398" s="37">
        <f t="shared" si="57"/>
        <v>0.60981597783940455</v>
      </c>
    </row>
    <row r="399" spans="1:11" x14ac:dyDescent="0.85">
      <c r="A399" s="31" t="s">
        <v>356</v>
      </c>
      <c r="B399" s="37"/>
      <c r="C399" s="36">
        <f t="shared" si="71"/>
        <v>3386.15</v>
      </c>
      <c r="D399" s="37"/>
      <c r="E399" s="36">
        <f t="shared" si="72"/>
        <v>1824.1499999999999</v>
      </c>
      <c r="F399" s="37"/>
      <c r="G399" s="36">
        <f t="shared" si="73"/>
        <v>1562.0000000000002</v>
      </c>
      <c r="H399" s="36"/>
      <c r="I399" s="37">
        <f t="shared" si="74"/>
        <v>1.8562892306005538</v>
      </c>
      <c r="J399" s="36"/>
      <c r="K399" s="37">
        <f t="shared" si="57"/>
        <v>0.85628923060055384</v>
      </c>
    </row>
    <row r="400" spans="1:11" x14ac:dyDescent="0.85">
      <c r="A400" s="31" t="s">
        <v>250</v>
      </c>
      <c r="B400" s="37"/>
      <c r="C400" s="36">
        <f t="shared" si="71"/>
        <v>10718.359999999999</v>
      </c>
      <c r="D400" s="37"/>
      <c r="E400" s="36">
        <f t="shared" si="72"/>
        <v>8741.0399999999991</v>
      </c>
      <c r="F400" s="37"/>
      <c r="G400" s="36">
        <f t="shared" si="73"/>
        <v>1977.3199999999997</v>
      </c>
      <c r="H400" s="36"/>
      <c r="I400" s="37">
        <f t="shared" si="74"/>
        <v>1.2262110687057832</v>
      </c>
      <c r="J400" s="36"/>
      <c r="K400" s="37">
        <f t="shared" si="57"/>
        <v>0.22621106870578322</v>
      </c>
    </row>
    <row r="401" spans="1:11" x14ac:dyDescent="0.85">
      <c r="A401" s="31" t="s">
        <v>353</v>
      </c>
      <c r="B401" s="37"/>
      <c r="C401" s="36">
        <f t="shared" si="71"/>
        <v>97206.640000000014</v>
      </c>
      <c r="D401" s="37"/>
      <c r="E401" s="36">
        <f t="shared" si="72"/>
        <v>73777.27</v>
      </c>
      <c r="F401" s="37"/>
      <c r="G401" s="36">
        <f t="shared" si="73"/>
        <v>23429.37000000001</v>
      </c>
      <c r="H401" s="36"/>
      <c r="I401" s="37">
        <f t="shared" si="74"/>
        <v>1.3175689477260411</v>
      </c>
      <c r="J401" s="36"/>
      <c r="K401" s="37">
        <f t="shared" si="57"/>
        <v>0.31756894772604105</v>
      </c>
    </row>
    <row r="402" spans="1:11" x14ac:dyDescent="0.85">
      <c r="A402" s="31" t="s">
        <v>354</v>
      </c>
      <c r="B402" s="37"/>
      <c r="C402" s="36">
        <f t="shared" si="71"/>
        <v>60184.29</v>
      </c>
      <c r="D402" s="37"/>
      <c r="E402" s="36">
        <f t="shared" si="72"/>
        <v>45000</v>
      </c>
      <c r="F402" s="37"/>
      <c r="G402" s="36">
        <f t="shared" si="73"/>
        <v>15184.29</v>
      </c>
      <c r="H402" s="36"/>
      <c r="I402" s="37">
        <f t="shared" si="74"/>
        <v>1.3374286666666666</v>
      </c>
      <c r="J402" s="36"/>
      <c r="K402" s="37">
        <f t="shared" si="57"/>
        <v>0.3374286666666666</v>
      </c>
    </row>
    <row r="403" spans="1:11" x14ac:dyDescent="0.85">
      <c r="A403" s="31" t="s">
        <v>355</v>
      </c>
      <c r="B403" s="37"/>
      <c r="C403" s="36">
        <f t="shared" si="71"/>
        <v>38999.919999999998</v>
      </c>
      <c r="D403" s="37"/>
      <c r="E403" s="36">
        <f t="shared" si="72"/>
        <v>25244.53</v>
      </c>
      <c r="F403" s="37"/>
      <c r="G403" s="36">
        <f t="shared" si="73"/>
        <v>13755.39</v>
      </c>
      <c r="H403" s="36"/>
      <c r="I403" s="37">
        <f t="shared" si="74"/>
        <v>1.5448859614340216</v>
      </c>
      <c r="J403" s="36"/>
      <c r="K403" s="37">
        <f t="shared" si="57"/>
        <v>0.54488596143402157</v>
      </c>
    </row>
    <row r="404" spans="1:11" x14ac:dyDescent="0.85">
      <c r="A404" s="31" t="s">
        <v>393</v>
      </c>
      <c r="B404" s="37"/>
      <c r="C404" s="36">
        <f t="shared" si="71"/>
        <v>0</v>
      </c>
      <c r="D404" s="37"/>
      <c r="E404" s="36">
        <f t="shared" si="72"/>
        <v>330</v>
      </c>
      <c r="F404" s="37"/>
      <c r="G404" s="36">
        <f t="shared" si="73"/>
        <v>-330</v>
      </c>
      <c r="H404" s="36"/>
      <c r="I404" s="37">
        <f t="shared" si="74"/>
        <v>0</v>
      </c>
      <c r="J404" s="36"/>
      <c r="K404" s="37">
        <f t="shared" si="57"/>
        <v>-1</v>
      </c>
    </row>
    <row r="405" spans="1:11" x14ac:dyDescent="0.85">
      <c r="A405" s="31" t="s">
        <v>382</v>
      </c>
      <c r="B405" s="37"/>
      <c r="C405" s="36">
        <f t="shared" si="71"/>
        <v>3666.67</v>
      </c>
      <c r="D405" s="37"/>
      <c r="E405" s="36">
        <f t="shared" si="72"/>
        <v>2791.68</v>
      </c>
      <c r="F405" s="37"/>
      <c r="G405" s="36">
        <f t="shared" si="73"/>
        <v>874.99000000000024</v>
      </c>
      <c r="H405" s="36"/>
      <c r="I405" s="37">
        <f t="shared" si="74"/>
        <v>1.3134277567629529</v>
      </c>
      <c r="J405" s="36"/>
      <c r="K405" s="37">
        <f t="shared" si="57"/>
        <v>0.31342775676295287</v>
      </c>
    </row>
    <row r="406" spans="1:11" x14ac:dyDescent="0.85">
      <c r="A406" s="31" t="s">
        <v>252</v>
      </c>
      <c r="B406" s="37"/>
      <c r="C406" s="36">
        <f t="shared" si="71"/>
        <v>6420.75</v>
      </c>
      <c r="D406" s="37"/>
      <c r="E406" s="36">
        <f t="shared" si="72"/>
        <v>3391.6</v>
      </c>
      <c r="F406" s="37"/>
      <c r="G406" s="36">
        <f t="shared" si="73"/>
        <v>3029.15</v>
      </c>
      <c r="H406" s="36"/>
      <c r="I406" s="37">
        <f t="shared" si="74"/>
        <v>1.8931330345559618</v>
      </c>
      <c r="J406" s="36"/>
      <c r="K406" s="37">
        <f t="shared" si="57"/>
        <v>0.89313303455596182</v>
      </c>
    </row>
    <row r="407" spans="1:11" x14ac:dyDescent="0.85">
      <c r="A407" s="31" t="s">
        <v>253</v>
      </c>
      <c r="B407" s="37"/>
      <c r="C407" s="36">
        <f t="shared" si="71"/>
        <v>4213</v>
      </c>
      <c r="D407" s="37"/>
      <c r="E407" s="36">
        <f t="shared" si="72"/>
        <v>5421.11</v>
      </c>
      <c r="F407" s="37"/>
      <c r="G407" s="36">
        <f t="shared" si="73"/>
        <v>-1208.1099999999997</v>
      </c>
      <c r="H407" s="36"/>
      <c r="I407" s="37">
        <f t="shared" si="74"/>
        <v>0.77714711562761141</v>
      </c>
      <c r="J407" s="36"/>
      <c r="K407" s="37">
        <f t="shared" si="57"/>
        <v>-0.22285288437238859</v>
      </c>
    </row>
    <row r="408" spans="1:11" x14ac:dyDescent="0.85">
      <c r="A408" s="31" t="s">
        <v>254</v>
      </c>
      <c r="B408" s="37"/>
      <c r="C408" s="36">
        <f t="shared" si="71"/>
        <v>5132.88</v>
      </c>
      <c r="D408" s="37"/>
      <c r="E408" s="36">
        <f t="shared" si="72"/>
        <v>6896.0999999999995</v>
      </c>
      <c r="F408" s="37"/>
      <c r="G408" s="36">
        <f t="shared" si="73"/>
        <v>-1763.2199999999993</v>
      </c>
      <c r="H408" s="36"/>
      <c r="I408" s="37">
        <f t="shared" si="74"/>
        <v>0.7443163527211033</v>
      </c>
      <c r="J408" s="36"/>
      <c r="K408" s="37">
        <f t="shared" si="57"/>
        <v>-0.2556836472788967</v>
      </c>
    </row>
    <row r="409" spans="1:11" x14ac:dyDescent="0.85">
      <c r="A409" s="31" t="s">
        <v>291</v>
      </c>
      <c r="B409" s="37"/>
      <c r="C409" s="36">
        <f t="shared" si="71"/>
        <v>300</v>
      </c>
      <c r="D409" s="37"/>
      <c r="E409" s="36">
        <f t="shared" si="72"/>
        <v>950</v>
      </c>
      <c r="F409" s="37"/>
      <c r="G409" s="36">
        <f t="shared" si="73"/>
        <v>-650</v>
      </c>
      <c r="H409" s="36"/>
      <c r="I409" s="37">
        <f t="shared" si="74"/>
        <v>0.31578947368421051</v>
      </c>
      <c r="J409" s="36"/>
      <c r="K409" s="56">
        <v>0</v>
      </c>
    </row>
    <row r="410" spans="1:11" x14ac:dyDescent="0.85">
      <c r="A410" s="31" t="s">
        <v>368</v>
      </c>
      <c r="B410" s="37"/>
      <c r="C410" s="36">
        <f t="shared" si="71"/>
        <v>10946.92</v>
      </c>
      <c r="D410" s="37"/>
      <c r="E410" s="36">
        <f t="shared" si="72"/>
        <v>6325.07</v>
      </c>
      <c r="F410" s="37"/>
      <c r="G410" s="36">
        <f t="shared" si="73"/>
        <v>4621.8500000000004</v>
      </c>
      <c r="H410" s="36"/>
      <c r="I410" s="37">
        <f t="shared" si="74"/>
        <v>1.7307191857165218</v>
      </c>
      <c r="J410" s="36"/>
      <c r="K410" s="56">
        <v>0</v>
      </c>
    </row>
    <row r="411" spans="1:11" x14ac:dyDescent="0.85">
      <c r="A411" s="31" t="s">
        <v>255</v>
      </c>
      <c r="B411" s="37"/>
      <c r="C411" s="36">
        <f t="shared" si="71"/>
        <v>8986.0499999999993</v>
      </c>
      <c r="D411" s="37"/>
      <c r="E411" s="36">
        <f t="shared" si="72"/>
        <v>3747.09</v>
      </c>
      <c r="F411" s="37"/>
      <c r="G411" s="36">
        <f t="shared" si="73"/>
        <v>5238.9599999999991</v>
      </c>
      <c r="H411" s="36"/>
      <c r="I411" s="37">
        <f t="shared" si="74"/>
        <v>2.3981409573829287</v>
      </c>
      <c r="J411" s="36"/>
      <c r="K411" s="37">
        <f>I411-1</f>
        <v>1.3981409573829287</v>
      </c>
    </row>
    <row r="412" spans="1:11" x14ac:dyDescent="0.85">
      <c r="A412" s="31" t="s">
        <v>256</v>
      </c>
      <c r="B412" s="37"/>
      <c r="C412" s="36">
        <f t="shared" si="71"/>
        <v>8716.9599999999991</v>
      </c>
      <c r="D412" s="37"/>
      <c r="E412" s="36">
        <f t="shared" si="72"/>
        <v>5393.6</v>
      </c>
      <c r="F412" s="37"/>
      <c r="G412" s="36">
        <f t="shared" si="73"/>
        <v>3323.3599999999988</v>
      </c>
      <c r="H412" s="36"/>
      <c r="I412" s="37">
        <f t="shared" si="74"/>
        <v>1.6161673094037374</v>
      </c>
      <c r="J412" s="36"/>
      <c r="K412" s="56">
        <v>0</v>
      </c>
    </row>
    <row r="413" spans="1:11" x14ac:dyDescent="0.85">
      <c r="A413" s="31" t="s">
        <v>623</v>
      </c>
      <c r="B413" s="37"/>
      <c r="C413" s="36">
        <f t="shared" si="71"/>
        <v>55</v>
      </c>
      <c r="D413" s="37"/>
      <c r="E413" s="36">
        <f t="shared" si="72"/>
        <v>0</v>
      </c>
      <c r="F413" s="37"/>
      <c r="G413" s="36">
        <f t="shared" si="73"/>
        <v>55</v>
      </c>
      <c r="H413" s="36"/>
      <c r="I413" s="37" t="e">
        <f t="shared" si="74"/>
        <v>#DIV/0!</v>
      </c>
      <c r="J413" s="36"/>
      <c r="K413" s="56">
        <v>0</v>
      </c>
    </row>
    <row r="414" spans="1:11" x14ac:dyDescent="0.85">
      <c r="A414" s="31" t="s">
        <v>257</v>
      </c>
      <c r="B414" s="37"/>
      <c r="C414" s="36">
        <f t="shared" si="71"/>
        <v>1117.76</v>
      </c>
      <c r="D414" s="37"/>
      <c r="E414" s="36">
        <f t="shared" ref="E414:E418" si="75">I282</f>
        <v>562.53</v>
      </c>
      <c r="F414" s="37"/>
      <c r="G414" s="36">
        <f t="shared" si="73"/>
        <v>555.23</v>
      </c>
      <c r="H414" s="36"/>
      <c r="I414" s="37">
        <f t="shared" si="74"/>
        <v>1.9870229143334579</v>
      </c>
      <c r="J414" s="36"/>
      <c r="K414" s="37">
        <f>I414-1</f>
        <v>0.9870229143334579</v>
      </c>
    </row>
    <row r="415" spans="1:11" x14ac:dyDescent="0.85">
      <c r="A415" s="31" t="s">
        <v>258</v>
      </c>
      <c r="B415" s="37"/>
      <c r="C415" s="36">
        <f t="shared" si="71"/>
        <v>11761.7</v>
      </c>
      <c r="D415" s="37"/>
      <c r="E415" s="36">
        <f t="shared" si="75"/>
        <v>5134.5</v>
      </c>
      <c r="F415" s="37"/>
      <c r="G415" s="36">
        <f t="shared" si="73"/>
        <v>6627.2000000000007</v>
      </c>
      <c r="H415" s="36"/>
      <c r="I415" s="37">
        <f t="shared" si="74"/>
        <v>2.2907196416398872</v>
      </c>
      <c r="J415" s="36"/>
      <c r="K415" s="56">
        <v>0</v>
      </c>
    </row>
    <row r="416" spans="1:11" x14ac:dyDescent="0.85">
      <c r="A416" s="35" t="s">
        <v>260</v>
      </c>
      <c r="B416" s="37"/>
      <c r="C416" s="38">
        <f t="shared" si="71"/>
        <v>311735.64</v>
      </c>
      <c r="D416" s="37"/>
      <c r="E416" s="38">
        <f t="shared" si="75"/>
        <v>219982.00999999995</v>
      </c>
      <c r="F416" s="37"/>
      <c r="G416" s="38">
        <f t="shared" si="73"/>
        <v>91753.630000000063</v>
      </c>
      <c r="H416" s="38"/>
      <c r="I416" s="57">
        <f t="shared" si="74"/>
        <v>1.4170960616279489</v>
      </c>
      <c r="J416" s="38"/>
      <c r="K416" s="39">
        <f>I416-1</f>
        <v>0.41709606162794888</v>
      </c>
    </row>
    <row r="417" spans="1:11" x14ac:dyDescent="0.85">
      <c r="C417" s="36"/>
      <c r="E417" s="36">
        <f t="shared" si="75"/>
        <v>0</v>
      </c>
      <c r="G417" s="36"/>
      <c r="H417" s="36"/>
      <c r="I417" s="53"/>
      <c r="J417" s="36"/>
      <c r="K417" s="37"/>
    </row>
    <row r="418" spans="1:11" ht="58.5" thickBot="1" x14ac:dyDescent="0.9">
      <c r="A418" s="35" t="s">
        <v>261</v>
      </c>
      <c r="C418" s="40">
        <f>I104</f>
        <v>6989340.7100000009</v>
      </c>
      <c r="E418" s="40">
        <f t="shared" si="75"/>
        <v>2798077.73</v>
      </c>
      <c r="G418" s="40">
        <f>I104-I286</f>
        <v>4191262.9800000009</v>
      </c>
      <c r="H418" s="40"/>
      <c r="I418" s="58">
        <f>I104/I286</f>
        <v>2.4979079869950578</v>
      </c>
      <c r="J418" s="40"/>
      <c r="K418" s="54">
        <v>0</v>
      </c>
    </row>
    <row r="419" spans="1:11" ht="92.25" x14ac:dyDescent="0.85">
      <c r="A419" s="35"/>
      <c r="C419" s="36"/>
      <c r="E419" s="165" t="s">
        <v>542</v>
      </c>
      <c r="G419" s="36"/>
      <c r="H419" s="36"/>
      <c r="I419" s="53"/>
      <c r="J419" s="36"/>
      <c r="K419" s="37"/>
    </row>
    <row r="420" spans="1:11" ht="92.25" x14ac:dyDescent="0.85">
      <c r="A420" s="35"/>
      <c r="C420" s="36"/>
      <c r="E420" s="165" t="s">
        <v>540</v>
      </c>
      <c r="G420" s="36"/>
      <c r="H420" s="36"/>
      <c r="I420" s="53"/>
      <c r="J420" s="36"/>
      <c r="K420" s="37"/>
    </row>
    <row r="421" spans="1:11" ht="92.25" x14ac:dyDescent="1.35">
      <c r="A421" s="35"/>
      <c r="C421" s="36"/>
      <c r="E421" s="166" t="s">
        <v>339</v>
      </c>
      <c r="G421" s="36"/>
      <c r="H421" s="36"/>
      <c r="I421" s="53"/>
      <c r="J421" s="36"/>
      <c r="K421" s="37"/>
    </row>
    <row r="422" spans="1:11" ht="92.25" x14ac:dyDescent="1.35">
      <c r="A422" s="33"/>
      <c r="B422" s="32"/>
      <c r="C422" s="50"/>
      <c r="D422" s="32"/>
      <c r="E422" s="167" t="s">
        <v>541</v>
      </c>
      <c r="F422" s="32"/>
      <c r="G422" s="50"/>
      <c r="H422" s="50"/>
      <c r="I422" s="53"/>
      <c r="J422" s="50"/>
      <c r="K422" s="53"/>
    </row>
    <row r="423" spans="1:11" x14ac:dyDescent="0.85">
      <c r="B423" s="32"/>
      <c r="C423" s="32"/>
      <c r="D423" s="32"/>
      <c r="E423" s="32"/>
      <c r="F423" s="32"/>
      <c r="G423" s="32" t="s">
        <v>535</v>
      </c>
      <c r="H423" s="50"/>
      <c r="I423" s="52"/>
      <c r="J423" s="52"/>
      <c r="K423" s="52"/>
    </row>
    <row r="424" spans="1:11" x14ac:dyDescent="0.85">
      <c r="B424" s="32"/>
      <c r="C424" s="32">
        <f>C367</f>
        <v>2020</v>
      </c>
      <c r="D424" s="32"/>
      <c r="E424" s="32">
        <f>E367</f>
        <v>2019</v>
      </c>
      <c r="F424" s="32"/>
      <c r="G424" s="32" t="s">
        <v>609</v>
      </c>
      <c r="H424" s="36"/>
      <c r="I424" s="52"/>
      <c r="J424" s="52"/>
      <c r="K424" s="52"/>
    </row>
    <row r="425" spans="1:11" x14ac:dyDescent="0.85">
      <c r="B425" s="32"/>
      <c r="C425" s="34"/>
      <c r="D425" s="32"/>
      <c r="E425" s="34"/>
      <c r="F425" s="32"/>
      <c r="G425" s="34" t="s">
        <v>333</v>
      </c>
      <c r="H425" s="36"/>
      <c r="I425" s="52"/>
      <c r="J425" s="52"/>
      <c r="K425" s="52"/>
    </row>
    <row r="426" spans="1:11" x14ac:dyDescent="0.85">
      <c r="C426" s="50"/>
      <c r="E426" s="50"/>
      <c r="G426" s="50"/>
      <c r="H426" s="36"/>
      <c r="I426" s="52"/>
      <c r="J426" s="52"/>
      <c r="K426" s="52"/>
    </row>
    <row r="427" spans="1:11" x14ac:dyDescent="0.85">
      <c r="A427" s="35" t="s">
        <v>453</v>
      </c>
      <c r="C427" s="50"/>
      <c r="E427" s="50"/>
      <c r="G427" s="50"/>
      <c r="H427" s="36"/>
      <c r="I427" s="52"/>
      <c r="J427" s="52"/>
      <c r="K427" s="52"/>
    </row>
    <row r="428" spans="1:11" x14ac:dyDescent="0.85">
      <c r="A428" s="31" t="s">
        <v>264</v>
      </c>
      <c r="B428" s="37"/>
      <c r="C428" s="36">
        <f t="shared" ref="C428:C434" si="76">I107</f>
        <v>336800</v>
      </c>
      <c r="D428" s="37"/>
      <c r="E428" s="36">
        <f t="shared" ref="E428:E436" si="77">I295</f>
        <v>258600</v>
      </c>
      <c r="F428" s="37"/>
      <c r="G428" s="36">
        <f t="shared" ref="G428:G434" si="78">I107-I295</f>
        <v>78200</v>
      </c>
      <c r="H428" s="36"/>
      <c r="I428" s="52"/>
      <c r="J428" s="52"/>
      <c r="K428" s="52"/>
    </row>
    <row r="429" spans="1:11" x14ac:dyDescent="0.85">
      <c r="A429" s="31" t="s">
        <v>265</v>
      </c>
      <c r="B429" s="37"/>
      <c r="C429" s="36">
        <f t="shared" si="76"/>
        <v>0</v>
      </c>
      <c r="D429" s="37"/>
      <c r="E429" s="36">
        <f t="shared" si="77"/>
        <v>0</v>
      </c>
      <c r="F429" s="37"/>
      <c r="G429" s="36">
        <f t="shared" si="78"/>
        <v>0</v>
      </c>
      <c r="H429" s="36"/>
      <c r="I429" s="52"/>
      <c r="J429" s="52"/>
      <c r="K429" s="52"/>
    </row>
    <row r="430" spans="1:11" x14ac:dyDescent="0.85">
      <c r="A430" s="31" t="s">
        <v>323</v>
      </c>
      <c r="B430" s="37"/>
      <c r="C430" s="36">
        <f t="shared" si="76"/>
        <v>0</v>
      </c>
      <c r="D430" s="37"/>
      <c r="E430" s="36">
        <f t="shared" si="77"/>
        <v>0</v>
      </c>
      <c r="F430" s="37"/>
      <c r="G430" s="36">
        <f t="shared" si="78"/>
        <v>0</v>
      </c>
      <c r="H430" s="36"/>
      <c r="I430" s="52"/>
      <c r="J430" s="52"/>
      <c r="K430" s="52"/>
    </row>
    <row r="431" spans="1:11" x14ac:dyDescent="0.85">
      <c r="A431" s="31" t="s">
        <v>379</v>
      </c>
      <c r="B431" s="37"/>
      <c r="C431" s="36">
        <f t="shared" si="76"/>
        <v>0</v>
      </c>
      <c r="D431" s="37"/>
      <c r="E431" s="36">
        <f t="shared" si="77"/>
        <v>0</v>
      </c>
      <c r="F431" s="37"/>
      <c r="G431" s="36">
        <f t="shared" si="78"/>
        <v>0</v>
      </c>
      <c r="H431" s="36"/>
      <c r="I431" s="52"/>
      <c r="J431" s="52"/>
      <c r="K431" s="52"/>
    </row>
    <row r="432" spans="1:11" x14ac:dyDescent="0.85">
      <c r="A432" s="31" t="s">
        <v>266</v>
      </c>
      <c r="B432" s="37"/>
      <c r="C432" s="36">
        <f t="shared" si="76"/>
        <v>59186.720000000001</v>
      </c>
      <c r="D432" s="37"/>
      <c r="E432" s="36">
        <f t="shared" si="77"/>
        <v>33551.64</v>
      </c>
      <c r="F432" s="37"/>
      <c r="G432" s="36">
        <f t="shared" si="78"/>
        <v>25635.08</v>
      </c>
      <c r="H432" s="36"/>
      <c r="I432" s="52"/>
      <c r="J432" s="52"/>
      <c r="K432" s="52"/>
    </row>
    <row r="433" spans="1:11" x14ac:dyDescent="0.85">
      <c r="A433" s="31" t="s">
        <v>267</v>
      </c>
      <c r="B433" s="37"/>
      <c r="C433" s="36">
        <f t="shared" si="76"/>
        <v>196872.55</v>
      </c>
      <c r="D433" s="37"/>
      <c r="E433" s="36">
        <f t="shared" si="77"/>
        <v>60153.83</v>
      </c>
      <c r="F433" s="37"/>
      <c r="G433" s="36">
        <f t="shared" si="78"/>
        <v>136718.71999999997</v>
      </c>
      <c r="H433" s="36"/>
      <c r="I433" s="52"/>
      <c r="J433" s="52"/>
      <c r="K433" s="52"/>
    </row>
    <row r="434" spans="1:11" x14ac:dyDescent="0.85">
      <c r="A434" s="31" t="s">
        <v>268</v>
      </c>
      <c r="B434" s="37"/>
      <c r="C434" s="36">
        <f t="shared" si="76"/>
        <v>-161981.22000000003</v>
      </c>
      <c r="D434" s="37"/>
      <c r="E434" s="36">
        <f t="shared" si="77"/>
        <v>-140227.44</v>
      </c>
      <c r="F434" s="37"/>
      <c r="G434" s="36">
        <f t="shared" si="78"/>
        <v>-21753.780000000028</v>
      </c>
      <c r="H434" s="36"/>
      <c r="I434" s="52"/>
      <c r="J434" s="52"/>
      <c r="K434" s="52"/>
    </row>
    <row r="435" spans="1:11" x14ac:dyDescent="0.85">
      <c r="A435" s="31" t="s">
        <v>269</v>
      </c>
      <c r="B435" s="37"/>
      <c r="C435" s="36">
        <f t="shared" ref="C435" si="79">I115</f>
        <v>0</v>
      </c>
      <c r="D435" s="37"/>
      <c r="E435" s="36">
        <f t="shared" si="77"/>
        <v>-772.55</v>
      </c>
      <c r="F435" s="37"/>
      <c r="G435" s="36">
        <f t="shared" ref="G435:G443" si="80">I115-I302</f>
        <v>772.55</v>
      </c>
      <c r="H435" s="36"/>
      <c r="I435" s="52"/>
      <c r="J435" s="52"/>
      <c r="K435" s="52"/>
    </row>
    <row r="436" spans="1:11" x14ac:dyDescent="0.85">
      <c r="A436" s="31" t="s">
        <v>581</v>
      </c>
      <c r="B436" s="37"/>
      <c r="C436" s="36">
        <f>I116</f>
        <v>0</v>
      </c>
      <c r="D436" s="37"/>
      <c r="E436" s="36">
        <f t="shared" si="77"/>
        <v>-496</v>
      </c>
      <c r="F436" s="37"/>
      <c r="G436" s="36">
        <f t="shared" si="80"/>
        <v>496</v>
      </c>
      <c r="H436" s="36"/>
      <c r="I436" s="52"/>
      <c r="J436" s="52"/>
      <c r="K436" s="52"/>
    </row>
    <row r="437" spans="1:11" x14ac:dyDescent="0.85">
      <c r="A437" s="31" t="s">
        <v>394</v>
      </c>
      <c r="B437" s="37"/>
      <c r="C437" s="36">
        <f>I117</f>
        <v>76388.679999999993</v>
      </c>
      <c r="D437" s="37"/>
      <c r="E437" s="36">
        <f t="shared" ref="E437:E440" si="81">I304</f>
        <v>48170.18</v>
      </c>
      <c r="F437" s="37"/>
      <c r="G437" s="36">
        <f t="shared" si="80"/>
        <v>28218.499999999993</v>
      </c>
      <c r="H437" s="36"/>
      <c r="I437" s="52"/>
      <c r="J437" s="52"/>
      <c r="K437" s="52"/>
    </row>
    <row r="438" spans="1:11" x14ac:dyDescent="0.85">
      <c r="A438" s="31" t="s">
        <v>429</v>
      </c>
      <c r="B438" s="37"/>
      <c r="C438" s="36">
        <v>0</v>
      </c>
      <c r="D438" s="37"/>
      <c r="E438" s="36">
        <f t="shared" si="81"/>
        <v>3439.1899999999996</v>
      </c>
      <c r="F438" s="37"/>
      <c r="G438" s="36">
        <f t="shared" si="80"/>
        <v>-656.1299999999992</v>
      </c>
      <c r="H438" s="36"/>
      <c r="I438" s="52"/>
      <c r="J438" s="52"/>
      <c r="K438" s="52"/>
    </row>
    <row r="439" spans="1:11" x14ac:dyDescent="0.85">
      <c r="A439" s="31" t="s">
        <v>430</v>
      </c>
      <c r="B439" s="37"/>
      <c r="C439" s="36">
        <v>0</v>
      </c>
      <c r="D439" s="37"/>
      <c r="E439" s="36">
        <f t="shared" si="81"/>
        <v>53001.08</v>
      </c>
      <c r="F439" s="37"/>
      <c r="G439" s="36">
        <f t="shared" si="80"/>
        <v>-51436.72</v>
      </c>
      <c r="H439" s="36"/>
      <c r="I439" s="52"/>
      <c r="J439" s="52"/>
      <c r="K439" s="52"/>
    </row>
    <row r="440" spans="1:11" x14ac:dyDescent="0.85">
      <c r="A440" s="31" t="s">
        <v>396</v>
      </c>
      <c r="B440" s="37"/>
      <c r="C440" s="36">
        <f>I120</f>
        <v>80465.759999999995</v>
      </c>
      <c r="D440" s="37"/>
      <c r="E440" s="36">
        <f t="shared" si="81"/>
        <v>13022.66</v>
      </c>
      <c r="F440" s="37"/>
      <c r="G440" s="36">
        <f t="shared" si="80"/>
        <v>67443.099999999991</v>
      </c>
      <c r="H440" s="36"/>
      <c r="I440" s="52"/>
      <c r="J440" s="52"/>
      <c r="K440" s="52"/>
    </row>
    <row r="441" spans="1:11" ht="70.5" x14ac:dyDescent="1.05">
      <c r="A441" s="31" t="s">
        <v>525</v>
      </c>
      <c r="B441" s="37"/>
      <c r="C441" s="36">
        <v>0</v>
      </c>
      <c r="D441" s="37"/>
      <c r="E441" s="36">
        <f>I308</f>
        <v>0</v>
      </c>
      <c r="F441" s="37"/>
      <c r="G441" s="36">
        <f t="shared" si="80"/>
        <v>0</v>
      </c>
      <c r="H441" s="75"/>
      <c r="I441" s="43"/>
      <c r="J441" s="43"/>
      <c r="K441" s="43"/>
    </row>
    <row r="442" spans="1:11" x14ac:dyDescent="0.85">
      <c r="A442" s="31" t="s">
        <v>440</v>
      </c>
      <c r="B442" s="37"/>
      <c r="C442" s="36">
        <v>0</v>
      </c>
      <c r="D442" s="37"/>
      <c r="E442" s="36">
        <f>I309</f>
        <v>0</v>
      </c>
      <c r="F442" s="37"/>
      <c r="G442" s="36">
        <f t="shared" si="80"/>
        <v>805.72</v>
      </c>
      <c r="H442" s="50"/>
      <c r="I442" s="52"/>
      <c r="J442" s="50"/>
      <c r="K442" s="52"/>
    </row>
    <row r="443" spans="1:11" x14ac:dyDescent="0.85">
      <c r="A443" s="35" t="s">
        <v>454</v>
      </c>
      <c r="B443" s="37"/>
      <c r="C443" s="38">
        <f>I123</f>
        <v>592521.84</v>
      </c>
      <c r="D443" s="37"/>
      <c r="E443" s="38">
        <f>I310</f>
        <v>328442.58999999997</v>
      </c>
      <c r="F443" s="37"/>
      <c r="G443" s="38">
        <f t="shared" si="80"/>
        <v>264079.25</v>
      </c>
      <c r="H443" s="50"/>
      <c r="I443" s="47"/>
      <c r="J443" s="50"/>
      <c r="K443" s="47"/>
    </row>
    <row r="444" spans="1:11" x14ac:dyDescent="0.85">
      <c r="A444" s="35"/>
      <c r="B444" s="37"/>
      <c r="C444" s="36"/>
      <c r="D444" s="37"/>
      <c r="E444" s="36">
        <f>I311</f>
        <v>0</v>
      </c>
      <c r="F444" s="37"/>
      <c r="G444" s="36"/>
      <c r="H444" s="50"/>
      <c r="I444" s="47"/>
      <c r="J444" s="50"/>
      <c r="K444" s="47"/>
    </row>
    <row r="445" spans="1:11" ht="71.25" thickBot="1" x14ac:dyDescent="1.1000000000000001">
      <c r="A445" s="45" t="s">
        <v>263</v>
      </c>
      <c r="B445" s="42"/>
      <c r="C445" s="44">
        <f>I125</f>
        <v>18452087.089998417</v>
      </c>
      <c r="D445" s="42"/>
      <c r="E445" s="44">
        <f>I312</f>
        <v>554632.33000016923</v>
      </c>
      <c r="F445" s="42"/>
      <c r="G445" s="44">
        <f>I125-I312</f>
        <v>17897454.759998247</v>
      </c>
    </row>
    <row r="446" spans="1:11" ht="58.5" thickTop="1" x14ac:dyDescent="0.85">
      <c r="C446" s="36">
        <f>C445-I176</f>
        <v>0</v>
      </c>
      <c r="G446" s="50"/>
    </row>
    <row r="447" spans="1:11" x14ac:dyDescent="0.85">
      <c r="A447" s="50"/>
      <c r="B447" s="50"/>
      <c r="C447" s="50"/>
      <c r="D447" s="50"/>
      <c r="E447" s="50"/>
      <c r="F447" s="50"/>
      <c r="G447" s="50"/>
    </row>
    <row r="448" spans="1:11" x14ac:dyDescent="0.85">
      <c r="A448" s="50"/>
      <c r="B448" s="50"/>
      <c r="C448" s="50"/>
      <c r="D448" s="50"/>
      <c r="E448" s="50"/>
      <c r="F448" s="50"/>
      <c r="G448" s="50"/>
    </row>
  </sheetData>
  <mergeCells count="12">
    <mergeCell ref="A187:J187"/>
    <mergeCell ref="A1:J1"/>
    <mergeCell ref="A184:J184"/>
    <mergeCell ref="A2:J2"/>
    <mergeCell ref="A185:J185"/>
    <mergeCell ref="A3:J3"/>
    <mergeCell ref="A186:J186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3" fitToHeight="0" orientation="landscape" r:id="rId1"/>
  <headerFooter>
    <oddFooter>&amp;C&amp;48Page &amp;P of &amp;N</oddFooter>
  </headerFooter>
  <rowBreaks count="7" manualBreakCount="7">
    <brk id="72" max="11" man="1"/>
    <brk id="183" max="11" man="1"/>
    <brk id="231" max="11" man="1"/>
    <brk id="287" max="11" man="1"/>
    <brk id="316" max="11" man="1"/>
    <brk id="361" max="11" man="1"/>
    <brk id="41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tabSelected="1" zoomScale="60" zoomScaleNormal="60" workbookViewId="0">
      <pane ySplit="6" topLeftCell="A7" activePane="bottomLeft" state="frozen"/>
      <selection activeCell="A297" sqref="A297"/>
      <selection pane="bottomLeft" activeCell="G24" sqref="G24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212" t="s">
        <v>547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ht="36" x14ac:dyDescent="0.55000000000000004">
      <c r="B2" s="212" t="s">
        <v>262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1:15" ht="36" x14ac:dyDescent="0.55000000000000004">
      <c r="B3" s="213">
        <v>43524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535</v>
      </c>
      <c r="E5" s="11">
        <v>2019</v>
      </c>
      <c r="G5" s="11" t="s">
        <v>555</v>
      </c>
      <c r="I5" s="11">
        <v>2018</v>
      </c>
      <c r="K5" s="11" t="s">
        <v>559</v>
      </c>
      <c r="M5" s="11" t="s">
        <v>558</v>
      </c>
      <c r="O5" s="11" t="s">
        <v>556</v>
      </c>
    </row>
    <row r="6" spans="1:15" s="22" customFormat="1" ht="30" customHeight="1" x14ac:dyDescent="0.5">
      <c r="A6" s="84"/>
      <c r="B6" s="6"/>
      <c r="C6" s="11" t="s">
        <v>548</v>
      </c>
      <c r="D6" s="11" t="s">
        <v>554</v>
      </c>
      <c r="E6" s="11" t="s">
        <v>546</v>
      </c>
      <c r="G6" s="11" t="s">
        <v>554</v>
      </c>
      <c r="I6" s="11" t="s">
        <v>551</v>
      </c>
      <c r="K6" s="11" t="s">
        <v>560</v>
      </c>
      <c r="M6" s="11" t="s">
        <v>548</v>
      </c>
      <c r="O6" s="11" t="s">
        <v>557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1097290359.1500001</v>
      </c>
      <c r="D8" s="83">
        <f>CNT!P109+CNT!P110+CNT!P122</f>
        <v>906586347.42750001</v>
      </c>
      <c r="E8" s="83">
        <f>D8-C8</f>
        <v>-190704011.72250009</v>
      </c>
      <c r="G8" s="83">
        <f>CNT!Q109+CNT!Q110+CNT!Q122</f>
        <v>1208781796.5699999</v>
      </c>
      <c r="I8" s="83">
        <f>CNT!R109+CNT!R110+CNT!R122</f>
        <v>1208781796.5699999</v>
      </c>
      <c r="J8" s="26"/>
      <c r="K8" s="83">
        <f>G8-D8</f>
        <v>302195449.14249992</v>
      </c>
      <c r="M8" s="83">
        <f>G8-C8</f>
        <v>111491437.41999984</v>
      </c>
      <c r="O8" s="83">
        <f>M8-K8</f>
        <v>-190704011.72250009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1228239585.6900001</v>
      </c>
      <c r="D9" s="83">
        <f>CNT!P111+CNT!P123</f>
        <v>2565549627.4800005</v>
      </c>
      <c r="E9" s="83">
        <f t="shared" ref="E9:E14" si="0">D9-C9</f>
        <v>1337310041.7900004</v>
      </c>
      <c r="G9" s="83">
        <f>CNT!Q111+CNT!Q123</f>
        <v>3420732836.6400003</v>
      </c>
      <c r="I9" s="83">
        <f>CNT!R111+CNT!R123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2192493250.9500003</v>
      </c>
      <c r="O9" s="83">
        <f t="shared" ref="O9:O14" si="3">M9-K9</f>
        <v>1337310041.7900004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15112181.949999999</v>
      </c>
      <c r="D10" s="83">
        <f>CNT!P112+CNT!P124</f>
        <v>12572393.025</v>
      </c>
      <c r="E10" s="83">
        <f t="shared" si="0"/>
        <v>-2539788.9249999989</v>
      </c>
      <c r="G10" s="83">
        <f>CNT!Q112+CNT!Q124</f>
        <v>16763190.700000001</v>
      </c>
      <c r="I10" s="83">
        <f>CNT!R112+CNT!R124</f>
        <v>16763190.700000001</v>
      </c>
      <c r="J10" s="26"/>
      <c r="K10" s="83">
        <f t="shared" si="1"/>
        <v>4190797.6750000007</v>
      </c>
      <c r="M10" s="83">
        <f t="shared" si="2"/>
        <v>1651008.7500000019</v>
      </c>
      <c r="O10" s="83">
        <f t="shared" si="3"/>
        <v>-2539788.9249999989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52653902.969999999</v>
      </c>
      <c r="D11" s="83">
        <f>CNT!P113+CNT!P125</f>
        <v>16263463.7925</v>
      </c>
      <c r="E11" s="83">
        <f t="shared" si="0"/>
        <v>-36390439.177499995</v>
      </c>
      <c r="G11" s="83">
        <f>CNT!Q113+CNT!Q125</f>
        <v>21684618.390000001</v>
      </c>
      <c r="I11" s="83">
        <f>CNT!R113+CNT!R125</f>
        <v>21684618.390000001</v>
      </c>
      <c r="J11" s="26"/>
      <c r="K11" s="83">
        <f t="shared" si="1"/>
        <v>5421154.5975000001</v>
      </c>
      <c r="M11" s="83">
        <f t="shared" si="2"/>
        <v>-30969284.579999998</v>
      </c>
      <c r="O11" s="83">
        <f t="shared" si="3"/>
        <v>-36390439.177499995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20715619.399999999</v>
      </c>
      <c r="D12" s="83">
        <f>CNT!P117+CNT!P128</f>
        <v>5044185.7275</v>
      </c>
      <c r="E12" s="83">
        <f t="shared" si="0"/>
        <v>-15671433.672499999</v>
      </c>
      <c r="G12" s="83">
        <f>CNT!Q117+CNT!Q128</f>
        <v>6725580.9700000007</v>
      </c>
      <c r="I12" s="83">
        <f>CNT!R117+CNT!R128</f>
        <v>6725580.9700000007</v>
      </c>
      <c r="J12" s="26"/>
      <c r="K12" s="83">
        <f t="shared" si="1"/>
        <v>1681395.2425000006</v>
      </c>
      <c r="M12" s="83">
        <f t="shared" si="2"/>
        <v>-13990038.429999998</v>
      </c>
      <c r="O12" s="83">
        <f t="shared" si="3"/>
        <v>-15671433.672499999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36662970.149999999</v>
      </c>
      <c r="D13" s="83">
        <f>CNT!P129+CNT!P130+CNT!P131+CNT!P133</f>
        <v>7799893.9199999999</v>
      </c>
      <c r="E13" s="83">
        <f t="shared" si="0"/>
        <v>-28863076.229999997</v>
      </c>
      <c r="G13" s="83">
        <f>CNT!Q129+CNT!Q130+CNT!Q131+CNT!Q133</f>
        <v>10399858.559999999</v>
      </c>
      <c r="I13" s="83">
        <f>CNT!R129+CNT!R130+CNT!R131+CNT!R133</f>
        <v>10399858.559999999</v>
      </c>
      <c r="J13" s="26"/>
      <c r="K13" s="83">
        <f t="shared" si="1"/>
        <v>2599964.6399999987</v>
      </c>
      <c r="M13" s="83">
        <f t="shared" si="2"/>
        <v>-26263111.59</v>
      </c>
      <c r="O13" s="83">
        <f t="shared" si="3"/>
        <v>-28863076.229999997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514149.37</v>
      </c>
      <c r="D14" s="83">
        <f>CNT!P114+CNT!P115+CNT!P116+CNT!P118+CNT!P119+CNT!P120+CNT!P126+CNT!P127</f>
        <v>904195.53750000009</v>
      </c>
      <c r="E14" s="83">
        <f t="shared" si="0"/>
        <v>390046.1675000001</v>
      </c>
      <c r="G14" s="83">
        <f>CNT!Q114+CNT!Q115+CNT!Q116+CNT!Q118+CNT!Q119+CNT!Q120+CNT!Q126+CNT!Q127</f>
        <v>1205594.05</v>
      </c>
      <c r="I14" s="83">
        <f>CNT!R114+CNT!R115+CNT!R116+CNT!R118+CNT!R119+CNT!R120+CNT!R126+CNT!R127</f>
        <v>1205594.05</v>
      </c>
      <c r="J14" s="26"/>
      <c r="K14" s="83">
        <f t="shared" si="1"/>
        <v>301398.51249999995</v>
      </c>
      <c r="M14" s="83">
        <f t="shared" si="2"/>
        <v>691444.68</v>
      </c>
      <c r="O14" s="83">
        <f t="shared" si="3"/>
        <v>390046.1675000001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2451188768.6799998</v>
      </c>
      <c r="D15" s="97">
        <f>SUM(D8:D14)</f>
        <v>3514720106.9100003</v>
      </c>
      <c r="E15" s="97">
        <f>SUM(E8:E14)</f>
        <v>1063531338.2300005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2235104707.1999998</v>
      </c>
      <c r="O15" s="97">
        <f>SUM(O8:O14)</f>
        <v>1063531338.2300005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1088751762.02</v>
      </c>
      <c r="D18" s="83">
        <f>CNT!P138+CNT!P143+CNT!P155+CNT!P159+CNT!P160+CNT!P164+CNT!P168+CNT!P175</f>
        <v>918716534.01000035</v>
      </c>
      <c r="E18" s="83">
        <f>D18-C18</f>
        <v>-170035228.00999963</v>
      </c>
      <c r="G18" s="83">
        <f>CNT!Q138+CNT!Q143+CNT!Q155+CNT!Q159+CNT!Q160+CNT!Q164+CNT!Q168+CNT!Q175</f>
        <v>1224955378.6800001</v>
      </c>
      <c r="I18" s="83">
        <f>CNT!R138+CNT!R143+CNT!R155+CNT!R159+CNT!R160+CNT!R164+CNT!R168+CNT!R175</f>
        <v>1224955378.6800001</v>
      </c>
      <c r="J18" s="26"/>
      <c r="K18" s="83">
        <f>G18-D18</f>
        <v>306238844.66999972</v>
      </c>
      <c r="M18" s="83">
        <f>G18-C18</f>
        <v>136203616.66000009</v>
      </c>
      <c r="O18" s="83">
        <f>M18-K18</f>
        <v>-170035228.00999963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1217045904.2600012</v>
      </c>
      <c r="D19" s="83">
        <f>CNT!P139+CNT!P144+CNT!P156+CNT!P161+CNT!P165+CNT!P169+CNT!P176+CNT!P172</f>
        <v>2561500932.1724997</v>
      </c>
      <c r="E19" s="83">
        <f t="shared" ref="E19:E24" si="4">D19-C19</f>
        <v>1344455027.9124985</v>
      </c>
      <c r="G19" s="83">
        <f>CNT!Q139+CNT!Q144+CNT!Q156+CNT!Q161+CNT!Q165+CNT!Q169+CNT!Q176+CNT!Q172</f>
        <v>3415334576.2300005</v>
      </c>
      <c r="I19" s="83">
        <f>CNT!R139+CNT!R144+CNT!R156+CNT!R161+CNT!R165+CNT!R169+CNT!R176+CNT!R172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2198288671.9699993</v>
      </c>
      <c r="O19" s="83">
        <f t="shared" ref="O19:O24" si="7">M19-K19</f>
        <v>1344455027.9124985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14753635.110000003</v>
      </c>
      <c r="D20" s="83">
        <f>CNT!P140+CNT!P145+CNT!P157+CNT!P162+CNT!P166+CNT!P170+CNT!P177+CNT!P174</f>
        <v>12020981.782500001</v>
      </c>
      <c r="E20" s="83">
        <f t="shared" si="4"/>
        <v>-2732653.3275000025</v>
      </c>
      <c r="G20" s="83">
        <f>CNT!Q140+CNT!Q145+CNT!Q157+CNT!Q162+CNT!Q166+CNT!Q170+CNT!Q177+CNT!Q174</f>
        <v>16027975.710000005</v>
      </c>
      <c r="I20" s="83">
        <f>CNT!R140+CNT!R145+CNT!R157+CNT!R162+CNT!R166+CNT!R170+CNT!R177+CNT!R174</f>
        <v>16027975.710000005</v>
      </c>
      <c r="J20" s="26"/>
      <c r="K20" s="83">
        <f t="shared" si="5"/>
        <v>4006993.9275000039</v>
      </c>
      <c r="M20" s="83">
        <f t="shared" si="6"/>
        <v>1274340.6000000015</v>
      </c>
      <c r="O20" s="83">
        <f t="shared" si="7"/>
        <v>-2732653.3275000025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51896815.360000007</v>
      </c>
      <c r="D21" s="83">
        <f>CNT!P141+CNT!P146+CNT!P158+CNT!P163+CNT!P167+CNT!P171+CNT!P178+CNT!P179</f>
        <v>16373117.340000004</v>
      </c>
      <c r="E21" s="83">
        <f t="shared" si="4"/>
        <v>-35523698.020000003</v>
      </c>
      <c r="G21" s="83">
        <f>CNT!Q141+CNT!Q146+CNT!Q158+CNT!Q163+CNT!Q167+CNT!Q171+CNT!Q178+CNT!Q179</f>
        <v>21830823.120000005</v>
      </c>
      <c r="I21" s="83">
        <f>CNT!R141+CNT!R146+CNT!R158+CNT!R163+CNT!R167+CNT!R171+CNT!R178+CNT!R179</f>
        <v>21830823.120000005</v>
      </c>
      <c r="J21" s="26"/>
      <c r="K21" s="83">
        <f t="shared" si="5"/>
        <v>5457705.7800000012</v>
      </c>
      <c r="M21" s="83">
        <f t="shared" si="6"/>
        <v>-30065992.240000002</v>
      </c>
      <c r="O21" s="83">
        <f t="shared" si="7"/>
        <v>-35523698.020000003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19906002.350000001</v>
      </c>
      <c r="D22" s="83">
        <f>CNT!P142+CNT!P149+CNT!P173+CNT!P184</f>
        <v>4901233.3274999997</v>
      </c>
      <c r="E22" s="83">
        <f t="shared" si="4"/>
        <v>-15004769.022500001</v>
      </c>
      <c r="G22" s="83">
        <f>CNT!Q142+CNT!Q149+CNT!Q173+CNT!Q184</f>
        <v>6534977.7699999986</v>
      </c>
      <c r="I22" s="83">
        <f>CNT!R142+CNT!R149+CNT!R173+CNT!R184</f>
        <v>6534977.7699999986</v>
      </c>
      <c r="J22" s="26"/>
      <c r="K22" s="83">
        <f t="shared" si="5"/>
        <v>1633744.442499999</v>
      </c>
      <c r="M22" s="83">
        <f t="shared" si="6"/>
        <v>-13371024.580000002</v>
      </c>
      <c r="O22" s="83">
        <f t="shared" si="7"/>
        <v>-15004769.022500001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34996576.359999999</v>
      </c>
      <c r="D23" s="83">
        <f>CNT!P195+CNT!P196+CNT!P197+CNT!P200+CNT!P202+CNT!P203+CNT!P204+CNT!P205+CNT!P206</f>
        <v>7641937.5</v>
      </c>
      <c r="E23" s="83">
        <f>D23-C23</f>
        <v>-27354638.859999999</v>
      </c>
      <c r="G23" s="83">
        <f>CNT!Q195+CNT!Q196+CNT!Q197+CNT!Q200+CNT!Q202+CNT!Q203+CNT!Q204+CNT!Q205+CNT!Q206</f>
        <v>10189250</v>
      </c>
      <c r="I23" s="83">
        <f>CNT!R195+CNT!R196+CNT!R197+CNT!R200+CNT!R202+CNT!R203+CNT!R204+CNT!R205+CNT!R206</f>
        <v>10189250</v>
      </c>
      <c r="J23" s="26"/>
      <c r="K23" s="83">
        <f t="shared" si="5"/>
        <v>2547312.5</v>
      </c>
      <c r="M23" s="83">
        <f t="shared" si="6"/>
        <v>-24807326.359999999</v>
      </c>
      <c r="O23" s="83">
        <f t="shared" si="7"/>
        <v>-27354638.859999999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1438791.8099999998</v>
      </c>
      <c r="D24" s="83">
        <f>CNT!P136+CNT!P147+CNT!P148+CNT!P150+CNT!P151+CNT!P152+CNT!P153+CNT!P154+CNT!P180+CNT!P181+CNT!P182+CNT!P183+CNT!P185+CNT!P186+CNT!P187+CNT!P188+CNT!P189+CNT!P190+CNT!P191+CNT!P192+CNT!P193+CNT!P194</f>
        <v>-10601279.670000002</v>
      </c>
      <c r="E24" s="83">
        <f t="shared" si="4"/>
        <v>-12040071.480000002</v>
      </c>
      <c r="G24" s="83">
        <f>CNT!Q136+CNT!Q147+CNT!Q148+CNT!Q150+CNT!Q151+CNT!Q152+CNT!Q153+CNT!Q154+CNT!Q180+CNT!Q181+CNT!Q182+CNT!Q183+CNT!Q185+CNT!Q186+CNT!Q187+CNT!Q188+CNT!Q189+CNT!Q190+CNT!Q191+CNT!Q192+CNT!Q193+CNT!Q194</f>
        <v>-14135039.560000002</v>
      </c>
      <c r="I24" s="83">
        <f>CNT!R136+CNT!R147+CNT!R148+CNT!R150+CNT!R151+CNT!R152+CNT!R153+CNT!R154+CNT!R180+CNT!R181+CNT!R182+CNT!R183+CNT!R185+CNT!R186+CNT!R187+CNT!R188+CNT!R189+CNT!R190+CNT!R191+CNT!R192+CNT!R193+CNT!R194</f>
        <v>-14135039.560000002</v>
      </c>
      <c r="J24" s="26"/>
      <c r="K24" s="83">
        <f t="shared" si="5"/>
        <v>-3533759.8900000006</v>
      </c>
      <c r="M24" s="83">
        <f t="shared" si="6"/>
        <v>-15573831.370000003</v>
      </c>
      <c r="O24" s="83">
        <f t="shared" si="7"/>
        <v>-12040071.480000002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2428789487.2700014</v>
      </c>
      <c r="D25" s="97">
        <f>SUM(D18:D24)</f>
        <v>3510553456.4624996</v>
      </c>
      <c r="E25" s="97">
        <f>SUM(E18:E24)</f>
        <v>1081763969.1924987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2251948454.6799994</v>
      </c>
      <c r="O25" s="97">
        <f>SUM(O18:O24)</f>
        <v>1081763969.1924987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D25-CNT!P207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22399281.409998417</v>
      </c>
      <c r="D27" s="98">
        <f>D15-D25</f>
        <v>4166650.4475007057</v>
      </c>
      <c r="E27" s="98">
        <f>D27-C27</f>
        <v>-18232630.962497711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-16843747.479999542</v>
      </c>
      <c r="O27" s="98">
        <f>-(O15-O25)</f>
        <v>18232630.962498188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1048131.2599999999</v>
      </c>
      <c r="D32" s="83">
        <f>CNT!P210</f>
        <v>1955056.6875</v>
      </c>
      <c r="E32" s="83">
        <f>D32-C32</f>
        <v>906925.42750000011</v>
      </c>
      <c r="G32" s="83">
        <f>CNT!Q210</f>
        <v>2606742.25</v>
      </c>
      <c r="I32" s="83">
        <f>CNT!R210</f>
        <v>2606742.25</v>
      </c>
      <c r="J32" s="26"/>
      <c r="K32" s="83">
        <f t="shared" ref="K32" si="9">G32-D32</f>
        <v>651685.5625</v>
      </c>
      <c r="M32" s="83">
        <f t="shared" ref="M32" si="10">G32-C32</f>
        <v>1558610.9900000002</v>
      </c>
      <c r="O32" s="83">
        <f>M32-K32</f>
        <v>906925.42750000022</v>
      </c>
    </row>
    <row r="33" spans="1:15" s="22" customFormat="1" ht="42.75" customHeight="1" x14ac:dyDescent="0.5">
      <c r="A33" s="93" t="s">
        <v>209</v>
      </c>
      <c r="B33" s="96" t="s">
        <v>530</v>
      </c>
      <c r="C33" s="83">
        <f>'Comp YTD 2020-2019 '!B38</f>
        <v>3077797.6100000003</v>
      </c>
      <c r="D33" s="83">
        <f>CNT!P211</f>
        <v>119681.73</v>
      </c>
      <c r="E33" s="83">
        <f t="shared" ref="E33:E41" si="11">D33-C33</f>
        <v>-2958115.8800000004</v>
      </c>
      <c r="G33" s="83">
        <f>CNT!Q211</f>
        <v>159575.63999999998</v>
      </c>
      <c r="I33" s="83">
        <f>CNT!R211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-2918221.97</v>
      </c>
      <c r="O33" s="83">
        <f t="shared" ref="O33:O41" si="14">M33-K33</f>
        <v>-2958115.8800000004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6472.47</v>
      </c>
      <c r="D34" s="83">
        <f>CNT!P212</f>
        <v>28710.75</v>
      </c>
      <c r="E34" s="83">
        <f t="shared" si="11"/>
        <v>22238.28</v>
      </c>
      <c r="G34" s="83">
        <f>CNT!Q212</f>
        <v>38281</v>
      </c>
      <c r="I34" s="83">
        <f>CNT!R212</f>
        <v>38281</v>
      </c>
      <c r="J34" s="26"/>
      <c r="K34" s="83">
        <f t="shared" si="12"/>
        <v>9570.25</v>
      </c>
      <c r="M34" s="83">
        <f t="shared" si="13"/>
        <v>31808.53</v>
      </c>
      <c r="O34" s="83">
        <f t="shared" si="14"/>
        <v>22238.28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83709.73</v>
      </c>
      <c r="D35" s="83">
        <f>CNT!P213</f>
        <v>157327.73249999998</v>
      </c>
      <c r="E35" s="83">
        <f t="shared" si="11"/>
        <v>73618.002499999988</v>
      </c>
      <c r="G35" s="83">
        <f>CNT!Q213</f>
        <v>209770.30999999997</v>
      </c>
      <c r="I35" s="83">
        <f>CNT!R213</f>
        <v>209770.30999999997</v>
      </c>
      <c r="J35" s="26"/>
      <c r="K35" s="83">
        <f t="shared" si="12"/>
        <v>52442.577499999985</v>
      </c>
      <c r="M35" s="83">
        <f t="shared" si="13"/>
        <v>126060.57999999997</v>
      </c>
      <c r="O35" s="83">
        <f t="shared" si="14"/>
        <v>73618.002499999988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99444.159999999989</v>
      </c>
      <c r="D36" s="83">
        <f>CNT!P214</f>
        <v>202311</v>
      </c>
      <c r="E36" s="83">
        <f t="shared" si="11"/>
        <v>102866.84000000001</v>
      </c>
      <c r="G36" s="83">
        <f>CNT!Q214</f>
        <v>269748</v>
      </c>
      <c r="I36" s="83">
        <f>CNT!R214</f>
        <v>223406.7</v>
      </c>
      <c r="J36" s="26"/>
      <c r="K36" s="83">
        <f t="shared" si="12"/>
        <v>67437</v>
      </c>
      <c r="M36" s="83">
        <f t="shared" si="13"/>
        <v>170303.84000000003</v>
      </c>
      <c r="O36" s="83">
        <f t="shared" si="14"/>
        <v>102866.84000000003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18069.059999999998</v>
      </c>
      <c r="D37" s="83">
        <f>CNT!P215</f>
        <v>29250</v>
      </c>
      <c r="E37" s="83">
        <f t="shared" si="11"/>
        <v>11180.940000000002</v>
      </c>
      <c r="G37" s="83">
        <f>CNT!Q215</f>
        <v>39000</v>
      </c>
      <c r="I37" s="83">
        <f>CNT!R215</f>
        <v>31540.97</v>
      </c>
      <c r="J37" s="26"/>
      <c r="K37" s="83">
        <f t="shared" si="12"/>
        <v>9750</v>
      </c>
      <c r="M37" s="83">
        <f t="shared" si="13"/>
        <v>20930.940000000002</v>
      </c>
      <c r="O37" s="83">
        <f t="shared" si="14"/>
        <v>11180.940000000002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82332.899999999994</v>
      </c>
      <c r="D38" s="83">
        <f>CNT!P216</f>
        <v>90000</v>
      </c>
      <c r="E38" s="83">
        <f t="shared" si="11"/>
        <v>7667.1000000000058</v>
      </c>
      <c r="G38" s="83">
        <f>CNT!Q216</f>
        <v>120000</v>
      </c>
      <c r="I38" s="83">
        <f>CNT!R216</f>
        <v>77546.92</v>
      </c>
      <c r="J38" s="26"/>
      <c r="K38" s="83">
        <f t="shared" si="12"/>
        <v>30000</v>
      </c>
      <c r="M38" s="83">
        <f t="shared" si="13"/>
        <v>37667.100000000006</v>
      </c>
      <c r="O38" s="83">
        <f t="shared" si="14"/>
        <v>7667.1000000000058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32963.53</v>
      </c>
      <c r="D39" s="83">
        <f>CNT!P217+CNT!P218+CNT!P223</f>
        <v>20144.3475</v>
      </c>
      <c r="E39" s="83">
        <f t="shared" si="11"/>
        <v>-12819.182499999999</v>
      </c>
      <c r="G39" s="83">
        <f>CNT!Q217+CNT!Q218+CNT!Q223</f>
        <v>26859.13</v>
      </c>
      <c r="I39" s="83">
        <f>CNT!R217+CNT!R218+CNT!R223</f>
        <v>17354.98</v>
      </c>
      <c r="J39" s="26"/>
      <c r="K39" s="83">
        <f t="shared" si="12"/>
        <v>6714.7825000000012</v>
      </c>
      <c r="M39" s="83">
        <f t="shared" si="13"/>
        <v>-6104.3999999999978</v>
      </c>
      <c r="O39" s="83">
        <f t="shared" si="14"/>
        <v>-12819.182499999999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365</v>
      </c>
      <c r="D40" s="83">
        <f>CNT!P221+CNT!P219</f>
        <v>5438.8050000000003</v>
      </c>
      <c r="E40" s="83">
        <f t="shared" si="11"/>
        <v>5073.8050000000003</v>
      </c>
      <c r="G40" s="83">
        <f>CNT!Q221+CNT!Q219</f>
        <v>7251.74</v>
      </c>
      <c r="I40" s="83">
        <f>CNT!R221+CNT!R219</f>
        <v>7251.74</v>
      </c>
      <c r="J40" s="26"/>
      <c r="K40" s="83">
        <f t="shared" si="12"/>
        <v>1812.9349999999995</v>
      </c>
      <c r="M40" s="83">
        <f t="shared" si="13"/>
        <v>6886.74</v>
      </c>
      <c r="O40" s="83">
        <f t="shared" si="14"/>
        <v>5073.8050000000003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25883.8</v>
      </c>
      <c r="D41" s="83">
        <f>+CNT!P252</f>
        <v>28319.227500000001</v>
      </c>
      <c r="E41" s="83">
        <f t="shared" si="11"/>
        <v>2435.4275000000016</v>
      </c>
      <c r="G41" s="83">
        <f>+CNT!Q252</f>
        <v>37758.97</v>
      </c>
      <c r="I41" s="83">
        <f>+CNT!R252</f>
        <v>37758.97</v>
      </c>
      <c r="J41" s="26"/>
      <c r="K41" s="83">
        <f t="shared" si="12"/>
        <v>9439.7425000000003</v>
      </c>
      <c r="M41" s="83">
        <f t="shared" si="13"/>
        <v>11875.170000000002</v>
      </c>
      <c r="O41" s="83">
        <f t="shared" si="14"/>
        <v>2435.4275000000016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4475169.5200000005</v>
      </c>
      <c r="D42" s="97">
        <f t="shared" ref="D42" si="15">SUM(D32:D41)</f>
        <v>2636240.2800000003</v>
      </c>
      <c r="E42" s="97">
        <f>SUM(E32:E41)</f>
        <v>-1838929.2400000002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-960182.47999999986</v>
      </c>
      <c r="O42" s="97">
        <f>SUM(O32:O41)</f>
        <v>-1838929.2400000002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166800</v>
      </c>
      <c r="D45" s="83">
        <f>CNT!P227+CNT!P247</f>
        <v>375300</v>
      </c>
      <c r="E45" s="83">
        <f>D45-C45</f>
        <v>208500</v>
      </c>
      <c r="G45" s="83">
        <f>CNT!Q227+CNT!Q226+CNT!Q247</f>
        <v>550400</v>
      </c>
      <c r="I45" s="83">
        <f>CNT!R227+CNT!R226+CNT!R247</f>
        <v>550400</v>
      </c>
      <c r="J45" s="26"/>
      <c r="K45" s="83">
        <f t="shared" ref="K45" si="17">G45-D45</f>
        <v>175100</v>
      </c>
      <c r="M45" s="83">
        <f>G45-C45</f>
        <v>383600</v>
      </c>
      <c r="O45" s="83">
        <f>M45-K45</f>
        <v>208500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12501.609999999999</v>
      </c>
      <c r="D46" s="83">
        <f>CNT!P228</f>
        <v>7999.5375000000022</v>
      </c>
      <c r="E46" s="83">
        <f t="shared" ref="E46:E66" si="18">D46-C46</f>
        <v>-4502.0724999999966</v>
      </c>
      <c r="G46" s="83">
        <f>CNT!Q228</f>
        <v>10666.050000000003</v>
      </c>
      <c r="I46" s="83">
        <f>CNT!R228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-1835.5599999999959</v>
      </c>
      <c r="O46" s="83">
        <f t="shared" ref="O46:O66" si="21">M46-K46</f>
        <v>-4502.0724999999966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5257.74</v>
      </c>
      <c r="D47" s="83">
        <f>CNT!P229</f>
        <v>7942.8449999999993</v>
      </c>
      <c r="E47" s="83">
        <f t="shared" si="18"/>
        <v>2685.1049999999996</v>
      </c>
      <c r="G47" s="83">
        <f>CNT!Q229</f>
        <v>10590.46</v>
      </c>
      <c r="I47" s="83">
        <f>CNT!R229</f>
        <v>10590.46</v>
      </c>
      <c r="J47" s="26"/>
      <c r="K47" s="83">
        <f t="shared" si="19"/>
        <v>2647.6149999999998</v>
      </c>
      <c r="M47" s="83">
        <f t="shared" si="20"/>
        <v>5332.7199999999993</v>
      </c>
      <c r="O47" s="83">
        <f t="shared" si="21"/>
        <v>2685.1049999999996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664.62</v>
      </c>
      <c r="D48" s="83">
        <f>CNT!P230</f>
        <v>808.84500000000003</v>
      </c>
      <c r="E48" s="83">
        <f t="shared" si="18"/>
        <v>144.22500000000002</v>
      </c>
      <c r="G48" s="83">
        <f>CNT!Q230</f>
        <v>1078.46</v>
      </c>
      <c r="I48" s="83">
        <f>CNT!R230</f>
        <v>1078.46</v>
      </c>
      <c r="J48" s="26"/>
      <c r="K48" s="83">
        <f t="shared" si="19"/>
        <v>269.61500000000001</v>
      </c>
      <c r="M48" s="83">
        <f t="shared" si="20"/>
        <v>413.84000000000003</v>
      </c>
      <c r="O48" s="83">
        <f t="shared" si="21"/>
        <v>144.22500000000002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890.12</v>
      </c>
      <c r="D49" s="83">
        <f>CNT!P231</f>
        <v>401.51249999999993</v>
      </c>
      <c r="E49" s="83">
        <f t="shared" si="18"/>
        <v>-488.60750000000007</v>
      </c>
      <c r="G49" s="83">
        <f>CNT!Q231</f>
        <v>535.34999999999991</v>
      </c>
      <c r="I49" s="83">
        <f>CNT!R231</f>
        <v>535.34999999999991</v>
      </c>
      <c r="J49" s="26"/>
      <c r="K49" s="83">
        <f t="shared" si="19"/>
        <v>133.83749999999998</v>
      </c>
      <c r="M49" s="83">
        <f t="shared" si="20"/>
        <v>-354.7700000000001</v>
      </c>
      <c r="O49" s="83">
        <f t="shared" si="21"/>
        <v>-488.60750000000007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10000</v>
      </c>
      <c r="D50" s="83">
        <f>CNT!P232</f>
        <v>20242.5</v>
      </c>
      <c r="E50" s="83">
        <f t="shared" si="18"/>
        <v>10242.5</v>
      </c>
      <c r="G50" s="83">
        <f>CNT!Q232</f>
        <v>26990</v>
      </c>
      <c r="I50" s="83">
        <f>CNT!R232</f>
        <v>26990</v>
      </c>
      <c r="J50" s="26"/>
      <c r="K50" s="83">
        <f t="shared" si="19"/>
        <v>6747.5</v>
      </c>
      <c r="M50" s="83">
        <f t="shared" si="20"/>
        <v>16990</v>
      </c>
      <c r="O50" s="83">
        <f t="shared" si="21"/>
        <v>10242.5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44097.82</v>
      </c>
      <c r="D51" s="83">
        <f>CNT!P233</f>
        <v>96610.882499999992</v>
      </c>
      <c r="E51" s="83">
        <f t="shared" si="18"/>
        <v>52513.062499999993</v>
      </c>
      <c r="G51" s="83">
        <f>CNT!Q233</f>
        <v>128814.51</v>
      </c>
      <c r="I51" s="83">
        <f>CNT!R233</f>
        <v>128814.51</v>
      </c>
      <c r="J51" s="26"/>
      <c r="K51" s="83">
        <f t="shared" si="19"/>
        <v>32203.627500000002</v>
      </c>
      <c r="M51" s="83">
        <f t="shared" si="20"/>
        <v>84716.69</v>
      </c>
      <c r="O51" s="83">
        <f t="shared" si="21"/>
        <v>52513.0625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CNT!P244</f>
        <v>20271.052499999994</v>
      </c>
      <c r="E52" s="83">
        <f t="shared" si="18"/>
        <v>20271.052499999994</v>
      </c>
      <c r="G52" s="83">
        <f>CNT!Q244</f>
        <v>27028.069999999996</v>
      </c>
      <c r="I52" s="83">
        <f>CNT!R244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37072.199999999997</v>
      </c>
      <c r="D53" s="83">
        <f>CNT!P234</f>
        <v>82287</v>
      </c>
      <c r="E53" s="83">
        <f t="shared" si="18"/>
        <v>45214.8</v>
      </c>
      <c r="G53" s="83">
        <f>CNT!Q234</f>
        <v>109716</v>
      </c>
      <c r="I53" s="83">
        <f>CNT!R234</f>
        <v>107137.28000000001</v>
      </c>
      <c r="J53" s="26"/>
      <c r="K53" s="83">
        <f t="shared" si="19"/>
        <v>27429</v>
      </c>
      <c r="M53" s="83">
        <f t="shared" si="20"/>
        <v>72643.8</v>
      </c>
      <c r="O53" s="83">
        <f t="shared" si="21"/>
        <v>45214.8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11429.77</v>
      </c>
      <c r="D54" s="83">
        <f>CNT!P235</f>
        <v>13754.699999999999</v>
      </c>
      <c r="E54" s="83">
        <f t="shared" si="18"/>
        <v>2324.9299999999985</v>
      </c>
      <c r="G54" s="83">
        <f>CNT!Q235</f>
        <v>18339.599999999999</v>
      </c>
      <c r="I54" s="83">
        <f>CNT!R235</f>
        <v>38009.360000000001</v>
      </c>
      <c r="J54" s="26"/>
      <c r="K54" s="83">
        <f t="shared" si="19"/>
        <v>4584.8999999999996</v>
      </c>
      <c r="M54" s="83">
        <f t="shared" si="20"/>
        <v>6909.8299999999981</v>
      </c>
      <c r="O54" s="83">
        <f t="shared" si="21"/>
        <v>2324.9299999999985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22353.66</v>
      </c>
      <c r="D55" s="83">
        <f>CNT!P236</f>
        <v>41030.579999999987</v>
      </c>
      <c r="E55" s="83">
        <f t="shared" si="18"/>
        <v>18676.919999999987</v>
      </c>
      <c r="G55" s="83">
        <f>CNT!Q236</f>
        <v>54707.439999999988</v>
      </c>
      <c r="I55" s="83">
        <f>CNT!R236</f>
        <v>54707.439999999988</v>
      </c>
      <c r="J55" s="26"/>
      <c r="K55" s="83">
        <f t="shared" si="19"/>
        <v>13676.86</v>
      </c>
      <c r="M55" s="83">
        <f t="shared" si="20"/>
        <v>32353.779999999988</v>
      </c>
      <c r="O55" s="83">
        <f t="shared" si="21"/>
        <v>18676.919999999987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'!B67</f>
        <v>110</v>
      </c>
      <c r="D56" s="83">
        <f>CNT!P278</f>
        <v>2374.875</v>
      </c>
      <c r="E56" s="83">
        <f t="shared" si="18"/>
        <v>2264.875</v>
      </c>
      <c r="G56" s="83">
        <f>CNT!Q278</f>
        <v>3166.5</v>
      </c>
      <c r="I56" s="83">
        <f>CNT!R278</f>
        <v>3166.5</v>
      </c>
      <c r="J56" s="26"/>
      <c r="K56" s="83">
        <f t="shared" si="19"/>
        <v>791.625</v>
      </c>
      <c r="M56" s="83">
        <f t="shared" si="20"/>
        <v>3056.5</v>
      </c>
      <c r="O56" s="83">
        <f t="shared" si="21"/>
        <v>2264.875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CNT!P282</f>
        <v>22984.755000000001</v>
      </c>
      <c r="E57" s="83">
        <f t="shared" si="18"/>
        <v>22984.755000000001</v>
      </c>
      <c r="G57" s="83">
        <f>CNT!Q282</f>
        <v>30646.34</v>
      </c>
      <c r="I57" s="83">
        <f>CNT!R282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44119.18</v>
      </c>
      <c r="D58" s="83">
        <f>CNT!P237</f>
        <v>8488.7849999999999</v>
      </c>
      <c r="E58" s="83">
        <f t="shared" si="18"/>
        <v>-35630.395000000004</v>
      </c>
      <c r="G58" s="83">
        <f>CNT!Q237</f>
        <v>11318.38</v>
      </c>
      <c r="I58" s="83">
        <f>CNT!R237</f>
        <v>11318.38</v>
      </c>
      <c r="J58" s="26"/>
      <c r="K58" s="83">
        <f t="shared" si="19"/>
        <v>2829.5949999999993</v>
      </c>
      <c r="M58" s="83">
        <f t="shared" si="20"/>
        <v>-32800.800000000003</v>
      </c>
      <c r="O58" s="83">
        <f t="shared" si="21"/>
        <v>-35630.395000000004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'!B63</f>
        <v>6576.24</v>
      </c>
      <c r="D59" s="83">
        <f>CNT!P238</f>
        <v>9151.739999999998</v>
      </c>
      <c r="E59" s="83">
        <f t="shared" si="18"/>
        <v>2575.4999999999982</v>
      </c>
      <c r="G59" s="83">
        <f>CNT!Q238</f>
        <v>12202.319999999998</v>
      </c>
      <c r="I59" s="83">
        <f>CNT!R238</f>
        <v>12202.319999999998</v>
      </c>
      <c r="J59" s="26"/>
      <c r="K59" s="83">
        <f t="shared" si="19"/>
        <v>3050.58</v>
      </c>
      <c r="M59" s="83">
        <f t="shared" si="20"/>
        <v>5626.0799999999981</v>
      </c>
      <c r="O59" s="83">
        <f t="shared" si="21"/>
        <v>2575.4999999999982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'!B64</f>
        <v>0</v>
      </c>
      <c r="D60" s="83">
        <f>CNT!P240</f>
        <v>2999.97</v>
      </c>
      <c r="E60" s="83">
        <f t="shared" si="18"/>
        <v>2999.97</v>
      </c>
      <c r="G60" s="83">
        <f>CNT!Q240</f>
        <v>3999.9599999999996</v>
      </c>
      <c r="I60" s="83">
        <f>CNT!R240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'!B65</f>
        <v>427204.03</v>
      </c>
      <c r="D61" s="83">
        <f>CNT!P241+CNT!P246</f>
        <v>996750</v>
      </c>
      <c r="E61" s="83">
        <f t="shared" si="18"/>
        <v>569545.97</v>
      </c>
      <c r="G61" s="83">
        <f>CNT!Q241+CNT!Q246</f>
        <v>1329000</v>
      </c>
      <c r="I61" s="83">
        <f>CNT!R241+CNT!R246</f>
        <v>1486541.88</v>
      </c>
      <c r="J61" s="26"/>
      <c r="K61" s="83">
        <f t="shared" si="19"/>
        <v>332250</v>
      </c>
      <c r="M61" s="83">
        <f t="shared" si="20"/>
        <v>901795.97</v>
      </c>
      <c r="O61" s="83">
        <f t="shared" si="21"/>
        <v>569545.97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'!B66</f>
        <v>4304.5599999999995</v>
      </c>
      <c r="D62" s="83">
        <f>CNT!P264</f>
        <v>1170.4575</v>
      </c>
      <c r="E62" s="83">
        <f t="shared" si="18"/>
        <v>-3134.1024999999995</v>
      </c>
      <c r="G62" s="83">
        <f>CNT!Q264</f>
        <v>1560.6100000000001</v>
      </c>
      <c r="I62" s="83">
        <f>CNT!R264</f>
        <v>1560.6100000000001</v>
      </c>
      <c r="J62" s="26"/>
      <c r="K62" s="83">
        <f t="shared" si="19"/>
        <v>390.15250000000015</v>
      </c>
      <c r="M62" s="83">
        <f t="shared" si="20"/>
        <v>-2743.9499999999994</v>
      </c>
      <c r="O62" s="83">
        <f t="shared" si="21"/>
        <v>-3134.1024999999995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'!B68</f>
        <v>6646.21</v>
      </c>
      <c r="D63" s="83">
        <f>CNT!P262</f>
        <v>13050</v>
      </c>
      <c r="E63" s="83">
        <f t="shared" si="18"/>
        <v>6403.79</v>
      </c>
      <c r="G63" s="83">
        <f>CNT!Q262</f>
        <v>17400</v>
      </c>
      <c r="I63" s="83">
        <f>CNT!R262</f>
        <v>17043.18</v>
      </c>
      <c r="J63" s="26"/>
      <c r="K63" s="83">
        <f t="shared" si="19"/>
        <v>4350</v>
      </c>
      <c r="M63" s="83">
        <f t="shared" si="20"/>
        <v>10753.79</v>
      </c>
      <c r="O63" s="83">
        <f t="shared" si="21"/>
        <v>6403.7900000000009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'!B69</f>
        <v>34309.08</v>
      </c>
      <c r="D64" s="83">
        <f>CNT!P239+CNT!P245</f>
        <v>79132.5</v>
      </c>
      <c r="E64" s="83">
        <f t="shared" si="18"/>
        <v>44823.42</v>
      </c>
      <c r="G64" s="83">
        <f>CNT!Q239+CNT!Q245</f>
        <v>105510</v>
      </c>
      <c r="I64" s="83">
        <f>CNT!R239+CNT!R245</f>
        <v>134430.88999999996</v>
      </c>
      <c r="J64" s="26"/>
      <c r="K64" s="83">
        <f t="shared" si="19"/>
        <v>26377.5</v>
      </c>
      <c r="M64" s="83">
        <f t="shared" si="20"/>
        <v>71200.92</v>
      </c>
      <c r="O64" s="83">
        <f t="shared" si="21"/>
        <v>44823.42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'!B70</f>
        <v>8913.15</v>
      </c>
      <c r="D65" s="83">
        <f>CNT!P242</f>
        <v>23638.334999999999</v>
      </c>
      <c r="E65" s="83">
        <f t="shared" si="18"/>
        <v>14725.184999999999</v>
      </c>
      <c r="G65" s="83">
        <f>CNT!Q242</f>
        <v>31517.78</v>
      </c>
      <c r="I65" s="83">
        <f>CNT!R242</f>
        <v>31517.78</v>
      </c>
      <c r="J65" s="26"/>
      <c r="K65" s="83">
        <f t="shared" si="19"/>
        <v>7879.4449999999997</v>
      </c>
      <c r="M65" s="83">
        <f t="shared" si="20"/>
        <v>22604.629999999997</v>
      </c>
      <c r="O65" s="83">
        <f t="shared" si="21"/>
        <v>14725.184999999998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'!B71</f>
        <v>10208.789999999999</v>
      </c>
      <c r="D66" s="83">
        <f>CNT!P243</f>
        <v>28476</v>
      </c>
      <c r="E66" s="83">
        <f t="shared" si="18"/>
        <v>18267.21</v>
      </c>
      <c r="G66" s="83">
        <f>CNT!Q243</f>
        <v>37968</v>
      </c>
      <c r="I66" s="83">
        <f>CNT!R243</f>
        <v>22152.17</v>
      </c>
      <c r="J66" s="26"/>
      <c r="K66" s="83">
        <f t="shared" si="19"/>
        <v>9492</v>
      </c>
      <c r="M66" s="83">
        <f t="shared" si="20"/>
        <v>27759.21</v>
      </c>
      <c r="O66" s="83">
        <f t="shared" si="21"/>
        <v>18267.21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853458.78</v>
      </c>
      <c r="D67" s="97">
        <f t="shared" ref="D67:E67" si="22">SUM(D45:D66)</f>
        <v>1854866.8724999998</v>
      </c>
      <c r="E67" s="97">
        <f t="shared" si="22"/>
        <v>1001408.0924999999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1669697.0499999996</v>
      </c>
      <c r="O67" s="97">
        <f>SUM(O45:O66)</f>
        <v>1001408.0924999998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'!B81</f>
        <v>6102.99</v>
      </c>
      <c r="D70" s="83">
        <f>CNT!P253</f>
        <v>8026.5225000000009</v>
      </c>
      <c r="E70" s="83">
        <f>D70-C70</f>
        <v>1923.5325000000012</v>
      </c>
      <c r="G70" s="83">
        <f>CNT!Q253</f>
        <v>10702.03</v>
      </c>
      <c r="I70" s="83">
        <f>CNT!R253</f>
        <v>10702.03</v>
      </c>
      <c r="J70" s="26"/>
      <c r="K70" s="83">
        <f t="shared" ref="K70" si="24">G70-D70</f>
        <v>2675.5074999999997</v>
      </c>
      <c r="M70" s="83">
        <f t="shared" ref="M70" si="25">G70-C70</f>
        <v>4599.0400000000009</v>
      </c>
      <c r="O70" s="83">
        <f>M70-K70</f>
        <v>1923.5325000000012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'!B82</f>
        <v>738</v>
      </c>
      <c r="D71" s="83">
        <f>CNT!P251</f>
        <v>3375</v>
      </c>
      <c r="E71" s="83">
        <f t="shared" ref="E71:E89" si="26">D71-C71</f>
        <v>2637</v>
      </c>
      <c r="G71" s="83">
        <f>CNT!Q251</f>
        <v>4500</v>
      </c>
      <c r="I71" s="83">
        <f>CNT!R251</f>
        <v>4500</v>
      </c>
      <c r="J71" s="26"/>
      <c r="K71" s="83">
        <f t="shared" ref="K71:K89" si="27">G71-D71</f>
        <v>1125</v>
      </c>
      <c r="M71" s="83">
        <f t="shared" ref="M71:M89" si="28">G71-C71</f>
        <v>3762</v>
      </c>
      <c r="O71" s="83">
        <f t="shared" ref="O71:O89" si="29">M71-K71</f>
        <v>2637</v>
      </c>
    </row>
    <row r="72" spans="1:15" s="22" customFormat="1" ht="42.75" customHeight="1" x14ac:dyDescent="0.5">
      <c r="A72" s="93" t="s">
        <v>209</v>
      </c>
      <c r="B72" s="96" t="s">
        <v>532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'!B84</f>
        <v>29321.519999999997</v>
      </c>
      <c r="D73" s="83">
        <f>CNT!P254</f>
        <v>46261.931250000001</v>
      </c>
      <c r="E73" s="83">
        <f t="shared" si="26"/>
        <v>16940.411250000005</v>
      </c>
      <c r="G73" s="83">
        <f>CNT!Q254</f>
        <v>61682.574999999997</v>
      </c>
      <c r="I73" s="83">
        <f>CNT!R254</f>
        <v>123365.15</v>
      </c>
      <c r="J73" s="26"/>
      <c r="K73" s="83">
        <f t="shared" si="27"/>
        <v>15420.643749999996</v>
      </c>
      <c r="M73" s="83">
        <f t="shared" si="28"/>
        <v>32361.055</v>
      </c>
      <c r="O73" s="83">
        <f t="shared" si="29"/>
        <v>16940.411250000005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'!B86</f>
        <v>7094.8099999999995</v>
      </c>
      <c r="D75" s="83">
        <f>CNT!P256</f>
        <v>3592.6575000000003</v>
      </c>
      <c r="E75" s="83">
        <f t="shared" si="26"/>
        <v>-3502.1524999999992</v>
      </c>
      <c r="G75" s="83">
        <f>CNT!Q256</f>
        <v>4790.21</v>
      </c>
      <c r="I75" s="83">
        <f>CNT!R256</f>
        <v>4790.21</v>
      </c>
      <c r="J75" s="26"/>
      <c r="K75" s="83">
        <f t="shared" si="27"/>
        <v>1197.5524999999998</v>
      </c>
      <c r="M75" s="83">
        <f>G75-C75</f>
        <v>-2304.5999999999995</v>
      </c>
      <c r="O75" s="83">
        <f>M75-K75</f>
        <v>-3502.1524999999992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'!B87</f>
        <v>78333.320000000007</v>
      </c>
      <c r="D76" s="83">
        <f>CNT!P275</f>
        <v>180000</v>
      </c>
      <c r="E76" s="83">
        <f t="shared" si="26"/>
        <v>101666.68</v>
      </c>
      <c r="G76" s="83">
        <f>CNT!Q275</f>
        <v>240000</v>
      </c>
      <c r="I76" s="83">
        <f>CNT!R275</f>
        <v>349999.99000000005</v>
      </c>
      <c r="J76" s="26"/>
      <c r="K76" s="83">
        <f t="shared" si="27"/>
        <v>60000</v>
      </c>
      <c r="M76" s="83">
        <f t="shared" si="28"/>
        <v>161666.68</v>
      </c>
      <c r="O76" s="83">
        <f t="shared" si="29"/>
        <v>101666.68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'!B88</f>
        <v>33750</v>
      </c>
      <c r="D77" s="83">
        <f>CNT!P276</f>
        <v>67875</v>
      </c>
      <c r="E77" s="83">
        <f t="shared" si="26"/>
        <v>34125</v>
      </c>
      <c r="G77" s="83">
        <f>CNT!Q276</f>
        <v>90500</v>
      </c>
      <c r="I77" s="83">
        <f>CNT!R276</f>
        <v>90500</v>
      </c>
      <c r="J77" s="26"/>
      <c r="K77" s="83">
        <f t="shared" si="27"/>
        <v>22625</v>
      </c>
      <c r="M77" s="83">
        <f t="shared" si="28"/>
        <v>56750</v>
      </c>
      <c r="O77" s="83">
        <f t="shared" si="29"/>
        <v>34125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'!B89</f>
        <v>29156.6</v>
      </c>
      <c r="D78" s="83">
        <f>CNT!P274</f>
        <v>60000</v>
      </c>
      <c r="E78" s="83">
        <f t="shared" si="26"/>
        <v>30843.4</v>
      </c>
      <c r="G78" s="83">
        <f>CNT!Q274</f>
        <v>80000</v>
      </c>
      <c r="I78" s="83">
        <f>CNT!R274</f>
        <v>83381.570000000007</v>
      </c>
      <c r="J78" s="26"/>
      <c r="K78" s="83">
        <f t="shared" si="27"/>
        <v>20000</v>
      </c>
      <c r="M78" s="83">
        <f t="shared" si="28"/>
        <v>50843.4</v>
      </c>
      <c r="O78" s="83">
        <f t="shared" si="29"/>
        <v>30843.4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'!B90</f>
        <v>0</v>
      </c>
      <c r="D79" s="83">
        <f>CNT!P277</f>
        <v>0</v>
      </c>
      <c r="E79" s="83">
        <f t="shared" si="26"/>
        <v>0</v>
      </c>
      <c r="G79" s="83">
        <f>CNT!Q277</f>
        <v>0</v>
      </c>
      <c r="I79" s="83">
        <f>CNT!R277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'!B92</f>
        <v>4296.8599999999997</v>
      </c>
      <c r="D81" s="83">
        <f>CNT!P260+CNT!P279</f>
        <v>18773.047500000004</v>
      </c>
      <c r="E81" s="83">
        <f t="shared" si="26"/>
        <v>14476.187500000004</v>
      </c>
      <c r="G81" s="83">
        <f>CNT!Q260+CNT!Q279</f>
        <v>25030.730000000003</v>
      </c>
      <c r="I81" s="83">
        <f>CNT!R260+CNT!R279</f>
        <v>25030.730000000003</v>
      </c>
      <c r="J81" s="26"/>
      <c r="K81" s="83">
        <f t="shared" si="27"/>
        <v>6257.682499999999</v>
      </c>
      <c r="M81" s="83">
        <f t="shared" si="28"/>
        <v>20733.870000000003</v>
      </c>
      <c r="O81" s="83">
        <f t="shared" si="29"/>
        <v>14476.187500000004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'!B93</f>
        <v>3988</v>
      </c>
      <c r="D82" s="83">
        <f>CNT!P265</f>
        <v>24634.35</v>
      </c>
      <c r="E82" s="83">
        <f t="shared" si="26"/>
        <v>20646.349999999999</v>
      </c>
      <c r="G82" s="83">
        <f>CNT!Q265</f>
        <v>32845.799999999996</v>
      </c>
      <c r="I82" s="83">
        <f>CNT!R265</f>
        <v>32845.799999999996</v>
      </c>
      <c r="J82" s="26"/>
      <c r="K82" s="83">
        <f t="shared" si="27"/>
        <v>8211.4499999999971</v>
      </c>
      <c r="M82" s="83">
        <f t="shared" si="28"/>
        <v>28857.799999999996</v>
      </c>
      <c r="O82" s="83">
        <f t="shared" si="29"/>
        <v>20646.349999999999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'!B94</f>
        <v>2927.44</v>
      </c>
      <c r="D83" s="83">
        <f>CNT!P266</f>
        <v>19390.365000000002</v>
      </c>
      <c r="E83" s="83">
        <f t="shared" si="26"/>
        <v>16462.925000000003</v>
      </c>
      <c r="G83" s="83">
        <f>CNT!Q266</f>
        <v>25853.820000000003</v>
      </c>
      <c r="I83" s="83">
        <f>CNT!R266</f>
        <v>25853.820000000003</v>
      </c>
      <c r="J83" s="26"/>
      <c r="K83" s="83">
        <f t="shared" si="27"/>
        <v>6463.4550000000017</v>
      </c>
      <c r="M83" s="83">
        <f t="shared" si="28"/>
        <v>22926.380000000005</v>
      </c>
      <c r="O83" s="83">
        <f t="shared" si="29"/>
        <v>16462.925000000003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'!B95</f>
        <v>0</v>
      </c>
      <c r="D84" s="83">
        <f>CNT!P255</f>
        <v>407.76</v>
      </c>
      <c r="E84" s="83">
        <f t="shared" si="26"/>
        <v>407.76</v>
      </c>
      <c r="G84" s="83">
        <f>CNT!Q255</f>
        <v>543.67999999999995</v>
      </c>
      <c r="I84" s="83">
        <f>CNT!R255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'!B96</f>
        <v>2479.3199999999997</v>
      </c>
      <c r="D85" s="83">
        <f>CNT!P261</f>
        <v>5009.2275</v>
      </c>
      <c r="E85" s="83">
        <f t="shared" si="26"/>
        <v>2529.9075000000003</v>
      </c>
      <c r="G85" s="83">
        <f>CNT!Q261</f>
        <v>6678.97</v>
      </c>
      <c r="I85" s="83">
        <f>CNT!R261</f>
        <v>6678.97</v>
      </c>
      <c r="J85" s="26"/>
      <c r="K85" s="83">
        <f t="shared" si="27"/>
        <v>1669.7425000000003</v>
      </c>
      <c r="M85" s="83">
        <f t="shared" si="28"/>
        <v>4199.6500000000005</v>
      </c>
      <c r="O85" s="83">
        <f t="shared" si="29"/>
        <v>2529.9075000000003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'!B97</f>
        <v>8986.0499999999993</v>
      </c>
      <c r="D86" s="83">
        <f>CNT!P268</f>
        <v>11484.21</v>
      </c>
      <c r="E86" s="83">
        <f t="shared" si="26"/>
        <v>2498.16</v>
      </c>
      <c r="G86" s="83">
        <f>CNT!Q268</f>
        <v>15312.279999999999</v>
      </c>
      <c r="I86" s="83">
        <f>CNT!R268</f>
        <v>15312.279999999999</v>
      </c>
      <c r="J86" s="26"/>
      <c r="K86" s="83">
        <f t="shared" si="27"/>
        <v>3828.0699999999997</v>
      </c>
      <c r="M86" s="83">
        <f t="shared" si="28"/>
        <v>6326.23</v>
      </c>
      <c r="O86" s="83">
        <f t="shared" si="29"/>
        <v>2498.16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'!B98</f>
        <v>8351</v>
      </c>
      <c r="D87" s="83">
        <f>CNT!P269+CNT!P281</f>
        <v>15301.402499999998</v>
      </c>
      <c r="E87" s="83">
        <f t="shared" si="26"/>
        <v>6950.4024999999983</v>
      </c>
      <c r="G87" s="83">
        <f>CNT!Q269+CNT!Q281</f>
        <v>20401.87</v>
      </c>
      <c r="I87" s="83">
        <f>CNT!R269+CNT!R281</f>
        <v>20401.87</v>
      </c>
      <c r="J87" s="26"/>
      <c r="K87" s="83">
        <f t="shared" si="27"/>
        <v>5100.4675000000007</v>
      </c>
      <c r="M87" s="83">
        <f t="shared" si="28"/>
        <v>12050.869999999999</v>
      </c>
      <c r="O87" s="83">
        <f t="shared" si="29"/>
        <v>6950.4024999999983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'!B100</f>
        <v>1117.76</v>
      </c>
      <c r="D88" s="83">
        <f>CNT!P270</f>
        <v>4215.9674999999997</v>
      </c>
      <c r="E88" s="83">
        <f t="shared" si="26"/>
        <v>3098.2074999999995</v>
      </c>
      <c r="G88" s="83">
        <f>CNT!Q270</f>
        <v>5621.29</v>
      </c>
      <c r="I88" s="83">
        <f>CNT!R270</f>
        <v>5621.29</v>
      </c>
      <c r="J88" s="26"/>
      <c r="K88" s="83">
        <f t="shared" si="27"/>
        <v>1405.3225000000002</v>
      </c>
      <c r="M88" s="83">
        <f t="shared" si="28"/>
        <v>4503.53</v>
      </c>
      <c r="O88" s="83">
        <f t="shared" si="29"/>
        <v>3098.2074999999995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'!B101</f>
        <v>11015.49</v>
      </c>
      <c r="D89" s="83">
        <f>CNT!P271</f>
        <v>17399.370000000003</v>
      </c>
      <c r="E89" s="83">
        <f t="shared" si="26"/>
        <v>6383.8800000000028</v>
      </c>
      <c r="G89" s="83">
        <f>CNT!Q271</f>
        <v>23199.160000000003</v>
      </c>
      <c r="I89" s="83">
        <f>CNT!R271</f>
        <v>23199.160000000003</v>
      </c>
      <c r="J89" s="26"/>
      <c r="K89" s="83">
        <f t="shared" si="27"/>
        <v>5799.7900000000009</v>
      </c>
      <c r="M89" s="83">
        <f t="shared" si="28"/>
        <v>12183.670000000004</v>
      </c>
      <c r="O89" s="83">
        <f t="shared" si="29"/>
        <v>6383.8800000000028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227659.16</v>
      </c>
      <c r="D90" s="97">
        <f>SUM(D70:D89)</f>
        <v>485746.81125000003</v>
      </c>
      <c r="E90" s="97">
        <f>SUM(E70:E89)</f>
        <v>258087.65125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420003.255</v>
      </c>
      <c r="O90" s="97">
        <f>SUM(O70:O89)</f>
        <v>258087.65125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5556287.4600000009</v>
      </c>
      <c r="D92" s="98">
        <f t="shared" si="31"/>
        <v>4976853.9637500001</v>
      </c>
      <c r="E92" s="98">
        <f t="shared" si="31"/>
        <v>-579433.49625000032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1129517.8249999997</v>
      </c>
      <c r="O92" s="98">
        <f>O42+O67+O90</f>
        <v>-579433.49625000043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'!B107</f>
        <v>50000</v>
      </c>
      <c r="D95" s="83">
        <f>CNT!P288</f>
        <v>112500</v>
      </c>
      <c r="E95" s="83">
        <f>C95-D95</f>
        <v>-62500</v>
      </c>
      <c r="G95" s="83">
        <f>CNT!Q288</f>
        <v>150000</v>
      </c>
      <c r="I95" s="83">
        <f>CNT!R288</f>
        <v>150000</v>
      </c>
      <c r="J95" s="26"/>
      <c r="K95" s="83">
        <f t="shared" ref="K95" si="33">G95-D95</f>
        <v>37500</v>
      </c>
      <c r="M95" s="83">
        <f t="shared" ref="M95" si="34">G95-C95</f>
        <v>100000</v>
      </c>
      <c r="O95" s="83">
        <f>M95-K95</f>
        <v>62500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'!B108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'!B109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'!B110</f>
        <v>1408.25</v>
      </c>
      <c r="D98" s="83">
        <f>CNT!P290</f>
        <v>43648.845000000001</v>
      </c>
      <c r="E98" s="83">
        <f>D98-C98</f>
        <v>42240.595000000001</v>
      </c>
      <c r="G98" s="83">
        <f>CNT!Q290</f>
        <v>58198.46</v>
      </c>
      <c r="I98" s="83">
        <f>CNT!R290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'!B111</f>
        <v>52599</v>
      </c>
      <c r="D99" s="83">
        <f>CNT!P291</f>
        <v>143988.78749999998</v>
      </c>
      <c r="E99" s="83">
        <f t="shared" ref="E99:E107" si="39">D99-C99</f>
        <v>91389.787499999977</v>
      </c>
      <c r="G99" s="83">
        <f>CNT!Q291</f>
        <v>191985.05</v>
      </c>
      <c r="I99" s="83">
        <f>CNT!R291</f>
        <v>191985.05</v>
      </c>
      <c r="J99" s="26"/>
      <c r="K99" s="83">
        <f t="shared" si="36"/>
        <v>47996.262500000012</v>
      </c>
      <c r="M99" s="83">
        <f t="shared" si="37"/>
        <v>139386.04999999999</v>
      </c>
      <c r="O99" s="83">
        <f t="shared" si="38"/>
        <v>91389.787499999977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'!B112</f>
        <v>87335.18</v>
      </c>
      <c r="D100" s="83">
        <f>CNT!P292</f>
        <v>216176.70749999999</v>
      </c>
      <c r="E100" s="83">
        <f t="shared" si="39"/>
        <v>128841.5275</v>
      </c>
      <c r="G100" s="83">
        <f>CNT!Q292</f>
        <v>288235.61</v>
      </c>
      <c r="I100" s="83">
        <f>CNT!R292</f>
        <v>288235.61</v>
      </c>
      <c r="J100" s="26"/>
      <c r="K100" s="83">
        <f t="shared" si="36"/>
        <v>72058.902499999997</v>
      </c>
      <c r="M100" s="83">
        <f t="shared" si="37"/>
        <v>200900.43</v>
      </c>
      <c r="O100" s="83">
        <f t="shared" si="38"/>
        <v>128841.5275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'!B113</f>
        <v>-119592.64000000001</v>
      </c>
      <c r="D101" s="83">
        <f>CNT!P293</f>
        <v>-137722.67249999999</v>
      </c>
      <c r="E101" s="83">
        <f t="shared" si="39"/>
        <v>-18130.032499999972</v>
      </c>
      <c r="G101" s="83">
        <f>CNT!Q293</f>
        <v>-183630.22999999998</v>
      </c>
      <c r="I101" s="83">
        <f>CNT!R293</f>
        <v>-183630.22999999998</v>
      </c>
      <c r="J101" s="26"/>
      <c r="K101" s="83">
        <f t="shared" si="36"/>
        <v>-45907.557499999995</v>
      </c>
      <c r="M101" s="83">
        <f t="shared" si="37"/>
        <v>-64037.589999999967</v>
      </c>
      <c r="O101" s="83">
        <f t="shared" si="38"/>
        <v>-18130.032499999972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'!B115</f>
        <v>0</v>
      </c>
      <c r="D102" s="83">
        <f>CNT!P295</f>
        <v>710.44499999999994</v>
      </c>
      <c r="E102" s="83">
        <f t="shared" si="39"/>
        <v>710.44499999999994</v>
      </c>
      <c r="G102" s="83">
        <f>CNT!Q295</f>
        <v>947.26</v>
      </c>
      <c r="I102" s="83">
        <f>CNT!R295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'!B117</f>
        <v>76388.679999999993</v>
      </c>
      <c r="D103" s="83">
        <f>CNT!P296</f>
        <v>52375.18499999999</v>
      </c>
      <c r="E103" s="83">
        <f t="shared" si="39"/>
        <v>-24013.495000000003</v>
      </c>
      <c r="G103" s="83">
        <f>CNT!Q296</f>
        <v>69833.579999999987</v>
      </c>
      <c r="I103" s="83">
        <f>CNT!R296</f>
        <v>69833.579999999987</v>
      </c>
      <c r="J103" s="26"/>
      <c r="K103" s="83">
        <f t="shared" si="36"/>
        <v>17458.394999999997</v>
      </c>
      <c r="M103" s="83">
        <f t="shared" si="37"/>
        <v>-6555.1000000000058</v>
      </c>
      <c r="O103" s="83">
        <f t="shared" si="38"/>
        <v>-24013.495000000003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'!B118</f>
        <v>2783.0600000000004</v>
      </c>
      <c r="D104" s="83">
        <f>CNT!P297</f>
        <v>5425.5</v>
      </c>
      <c r="E104" s="83">
        <f t="shared" si="39"/>
        <v>2642.4399999999996</v>
      </c>
      <c r="G104" s="83">
        <f>CNT!Q297</f>
        <v>7234</v>
      </c>
      <c r="I104" s="83">
        <f>CNT!R297</f>
        <v>7234</v>
      </c>
      <c r="J104" s="26"/>
      <c r="K104" s="83">
        <f t="shared" si="36"/>
        <v>1808.5</v>
      </c>
      <c r="M104" s="83">
        <f t="shared" si="37"/>
        <v>4450.9399999999996</v>
      </c>
      <c r="O104" s="83">
        <f>M104-K104</f>
        <v>2642.4399999999996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'!B119</f>
        <v>1564.3600000000001</v>
      </c>
      <c r="D105" s="83">
        <f>CNT!P299</f>
        <v>45668.745000000003</v>
      </c>
      <c r="E105" s="83">
        <f t="shared" si="39"/>
        <v>44104.385000000002</v>
      </c>
      <c r="G105" s="83">
        <f>CNT!Q299</f>
        <v>60891.66</v>
      </c>
      <c r="I105" s="83">
        <f>CNT!R299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'!B120</f>
        <v>80465.759999999995</v>
      </c>
      <c r="D106" s="83">
        <f>CNT!P298</f>
        <v>22591.245000000003</v>
      </c>
      <c r="E106" s="83">
        <f t="shared" si="39"/>
        <v>-57874.514999999992</v>
      </c>
      <c r="G106" s="83">
        <f>CNT!Q298</f>
        <v>30121.660000000003</v>
      </c>
      <c r="I106" s="83">
        <f>CNT!R298</f>
        <v>30121.660000000003</v>
      </c>
      <c r="J106" s="26"/>
      <c r="K106" s="83">
        <f t="shared" si="36"/>
        <v>7530.4150000000009</v>
      </c>
      <c r="M106" s="83">
        <f t="shared" si="37"/>
        <v>-50344.099999999991</v>
      </c>
      <c r="O106" s="83">
        <f t="shared" si="38"/>
        <v>-57874.514999999992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'!B122</f>
        <v>805.72</v>
      </c>
      <c r="D107" s="83">
        <f>CNT!P300</f>
        <v>12741.21</v>
      </c>
      <c r="E107" s="83">
        <f t="shared" si="39"/>
        <v>11935.49</v>
      </c>
      <c r="G107" s="83">
        <f>CNT!Q300</f>
        <v>16988.28</v>
      </c>
      <c r="I107" s="83">
        <f>CNT!R300</f>
        <v>16988.28</v>
      </c>
      <c r="J107" s="26"/>
      <c r="K107" s="83">
        <f t="shared" si="36"/>
        <v>4247.07</v>
      </c>
      <c r="M107" s="83">
        <f t="shared" si="37"/>
        <v>16182.56</v>
      </c>
      <c r="O107" s="83">
        <f t="shared" si="38"/>
        <v>11935.49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233757.36999999997</v>
      </c>
      <c r="D108" s="97">
        <f t="shared" si="40"/>
        <v>518103.9975</v>
      </c>
      <c r="E108" s="97">
        <f t="shared" si="40"/>
        <v>159346.62750000003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457047.96</v>
      </c>
      <c r="O108" s="97">
        <f>SUM(O95:O107)</f>
        <v>284346.6275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17076751.319998417</v>
      </c>
      <c r="D110" s="99">
        <f t="shared" si="42"/>
        <v>-292099.5187492944</v>
      </c>
      <c r="E110" s="99">
        <f>E27-E92+E108</f>
        <v>-17493850.83874771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-17516217.344999541</v>
      </c>
      <c r="O110" s="99">
        <f>-M110+K110</f>
        <v>17368850.838749141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6630858.9000000004</v>
      </c>
      <c r="D114" s="89">
        <f>BPM!P8</f>
        <v>51831346.946666665</v>
      </c>
      <c r="E114" s="89">
        <f>D114-C114</f>
        <v>45200488.046666667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71116161.519999996</v>
      </c>
      <c r="O114" s="89">
        <f>M114-K114</f>
        <v>45200488.046666659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951446.44</v>
      </c>
      <c r="D115" s="89">
        <f>BPM!P9</f>
        <v>3281448.7466666666</v>
      </c>
      <c r="E115" s="89">
        <f t="shared" ref="E115:E120" si="45">D115-C115</f>
        <v>2330002.3066666666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3970726.68</v>
      </c>
      <c r="O115" s="89">
        <f t="shared" ref="O115:O120" si="48">M115-K115</f>
        <v>2330002.3066666666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15229.84</v>
      </c>
      <c r="D116" s="89">
        <f>BPM!P10</f>
        <v>307676.68</v>
      </c>
      <c r="E116" s="89">
        <f t="shared" si="45"/>
        <v>292446.83999999997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446285.18</v>
      </c>
      <c r="O116" s="89">
        <f t="shared" si="48"/>
        <v>292446.83999999997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43279.8</v>
      </c>
      <c r="D117" s="89">
        <f>BPM!P11</f>
        <v>25784.533333333336</v>
      </c>
      <c r="E117" s="89">
        <f t="shared" si="45"/>
        <v>-17495.266666666666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-4603</v>
      </c>
      <c r="O117" s="89">
        <f t="shared" si="48"/>
        <v>-17495.266666666666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75.97</v>
      </c>
      <c r="D119" s="89">
        <f>BPM!P13</f>
        <v>12663.413333333332</v>
      </c>
      <c r="E119" s="89">
        <f t="shared" si="45"/>
        <v>12587.443333333333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18919.149999999998</v>
      </c>
      <c r="O119" s="89">
        <f t="shared" si="48"/>
        <v>12587.443333333331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192002.00000000003</v>
      </c>
      <c r="D120" s="89">
        <f>BPM!P14+BPM!P15+BPM!P16</f>
        <v>2280872.2933333335</v>
      </c>
      <c r="E120" s="89">
        <f t="shared" si="45"/>
        <v>2088870.2933333335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3229306.44</v>
      </c>
      <c r="O120" s="89">
        <f t="shared" si="48"/>
        <v>2088870.2933333335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7832892.9499999993</v>
      </c>
      <c r="D121" s="90">
        <f>SUM(D114:D120)</f>
        <v>57742885.953333341</v>
      </c>
      <c r="E121" s="90">
        <f>SUM(E114:E120)</f>
        <v>49909993.003333345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78781435.980000019</v>
      </c>
      <c r="O121" s="90">
        <f>SUM(O114:O120)</f>
        <v>49909993.003333338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6468387.3300000001</v>
      </c>
      <c r="D124" s="89">
        <f>BPM!P20</f>
        <v>51545832.259999998</v>
      </c>
      <c r="E124" s="89">
        <f>D124-C124</f>
        <v>45077444.93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70850361.060000002</v>
      </c>
      <c r="O124" s="89">
        <f>M124-K124</f>
        <v>45077444.93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878069.50000000012</v>
      </c>
      <c r="D125" s="89">
        <f>BPM!P21</f>
        <v>3065361.4600000004</v>
      </c>
      <c r="E125" s="89">
        <f t="shared" ref="E125:E130" si="51">D125-C125</f>
        <v>2187291.9600000004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3719972.6900000004</v>
      </c>
      <c r="O125" s="89">
        <f t="shared" ref="O125:O130" si="52">M125-K125</f>
        <v>2187291.9600000004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13768.460000000001</v>
      </c>
      <c r="D126" s="89">
        <f>BPM!P22</f>
        <v>291667.32</v>
      </c>
      <c r="E126" s="89">
        <f t="shared" si="51"/>
        <v>277898.86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423732.52</v>
      </c>
      <c r="O126" s="89">
        <f t="shared" si="52"/>
        <v>277898.86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40652</v>
      </c>
      <c r="D127" s="89">
        <f>BPM!P23</f>
        <v>20532</v>
      </c>
      <c r="E127" s="89">
        <f t="shared" si="51"/>
        <v>-20120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-9854</v>
      </c>
      <c r="O127" s="89">
        <f t="shared" si="52"/>
        <v>-20120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66</v>
      </c>
      <c r="D129" s="89">
        <f>BPM!P25</f>
        <v>2344.3333333333335</v>
      </c>
      <c r="E129" s="89">
        <f t="shared" si="51"/>
        <v>2278.3333333333335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3450.5</v>
      </c>
      <c r="O129" s="89">
        <f t="shared" si="52"/>
        <v>2278.3333333333335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286276.52</v>
      </c>
      <c r="D130" s="89">
        <f>BPM!P26+BPM!P27+BPM!P28+BPM!P29+BPM!P30+BPM!P31+BPM!P32+BPM!P33+BPM!P35+BPM!P36</f>
        <v>1948052.0733333337</v>
      </c>
      <c r="E130" s="89">
        <f t="shared" si="51"/>
        <v>1661775.5533333337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2635801.5900000003</v>
      </c>
      <c r="O130" s="89">
        <f t="shared" si="52"/>
        <v>1661775.5533333337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7687219.8100000005</v>
      </c>
      <c r="D131" s="90">
        <f>SUM(D124:D130)</f>
        <v>56886452.859999999</v>
      </c>
      <c r="E131" s="90">
        <f>SUM(E124:E130)</f>
        <v>49199233.050000004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77642459.480000004</v>
      </c>
      <c r="O131" s="90">
        <f>SUM(O124:O130)</f>
        <v>49199233.050000004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145673.13999999873</v>
      </c>
      <c r="D133" s="91">
        <f>D121-D131</f>
        <v>856433.09333334118</v>
      </c>
      <c r="E133" s="91">
        <f>D133-C133</f>
        <v>710759.95333334245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1138976.5000000149</v>
      </c>
      <c r="O133" s="91">
        <f>-(O121-O131)</f>
        <v>-710759.95333333313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59873.320000000007</v>
      </c>
      <c r="D138" s="89">
        <f>BPM!P44</f>
        <v>400000</v>
      </c>
      <c r="E138" s="89">
        <f>D138-C138</f>
        <v>340126.68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540126.67999999993</v>
      </c>
      <c r="O138" s="89">
        <f>M138-K138</f>
        <v>340126.67999999993</v>
      </c>
    </row>
    <row r="139" spans="1:15" s="22" customFormat="1" ht="42.75" customHeight="1" x14ac:dyDescent="0.5">
      <c r="A139" s="85" t="s">
        <v>211</v>
      </c>
      <c r="B139" s="88" t="s">
        <v>530</v>
      </c>
      <c r="C139" s="89">
        <f>'Comp YTD 2020-2019 '!C38</f>
        <v>7339.8899999999994</v>
      </c>
      <c r="D139" s="89">
        <f>BPM!P45</f>
        <v>35133.360000000001</v>
      </c>
      <c r="E139" s="89">
        <f t="shared" ref="E139:E147" si="54">D139-C139</f>
        <v>27793.47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45360.15</v>
      </c>
      <c r="O139" s="89">
        <f t="shared" ref="O139:O147" si="57">M139-K139</f>
        <v>27793.47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510.21</v>
      </c>
      <c r="D140" s="89">
        <f>0</f>
        <v>0</v>
      </c>
      <c r="E140" s="89">
        <f t="shared" si="54"/>
        <v>-510.21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-510.21</v>
      </c>
      <c r="O140" s="89">
        <f t="shared" si="57"/>
        <v>-510.21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6067.9600000000009</v>
      </c>
      <c r="D141" s="89">
        <f>BPM!P47</f>
        <v>37172.379999999997</v>
      </c>
      <c r="E141" s="89">
        <f t="shared" si="54"/>
        <v>31104.42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49690.61</v>
      </c>
      <c r="O141" s="89">
        <f t="shared" si="57"/>
        <v>31104.42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11442.710000000001</v>
      </c>
      <c r="D142" s="89">
        <f>BPM!P48</f>
        <v>40776.080000000002</v>
      </c>
      <c r="E142" s="89">
        <f t="shared" si="54"/>
        <v>29333.370000000003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49721.41</v>
      </c>
      <c r="O142" s="89">
        <f t="shared" si="57"/>
        <v>29333.370000000003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1736.52</v>
      </c>
      <c r="D143" s="89">
        <f>BPM!P49</f>
        <v>6400</v>
      </c>
      <c r="E143" s="89">
        <f t="shared" si="54"/>
        <v>4663.4799999999996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7863.48</v>
      </c>
      <c r="O143" s="89">
        <f t="shared" si="57"/>
        <v>4663.4799999999996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2948.5800000000004</v>
      </c>
      <c r="D144" s="89">
        <f>BPM!P50</f>
        <v>18400</v>
      </c>
      <c r="E144" s="89">
        <f t="shared" si="54"/>
        <v>15451.42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24651.42</v>
      </c>
      <c r="O144" s="89">
        <f t="shared" si="57"/>
        <v>15451.419999999998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750</v>
      </c>
      <c r="D147" s="89">
        <f>BPM!P52</f>
        <v>4043.2466666666664</v>
      </c>
      <c r="E147" s="89">
        <f t="shared" si="54"/>
        <v>3293.2466666666664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5314.87</v>
      </c>
      <c r="O147" s="89">
        <f t="shared" si="57"/>
        <v>3293.2466666666664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90669.190000000031</v>
      </c>
      <c r="D148" s="90">
        <f t="shared" ref="D148" si="58">SUM(D138:D147)</f>
        <v>541925.06666666677</v>
      </c>
      <c r="E148" s="90">
        <f>SUM(E138:E147)</f>
        <v>451255.87666666659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722218.41</v>
      </c>
      <c r="O148" s="90">
        <f>SUM(O138:O147)</f>
        <v>451255.87666666647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15000</v>
      </c>
      <c r="D151" s="89">
        <f>BPM!P57</f>
        <v>40000</v>
      </c>
      <c r="E151" s="89">
        <f>D151-C151</f>
        <v>25000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45000</v>
      </c>
      <c r="O151" s="89">
        <f>M151-K151</f>
        <v>25000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300</v>
      </c>
      <c r="D161" s="89">
        <f>BPM!P59</f>
        <v>3960.7400000000002</v>
      </c>
      <c r="E161" s="89">
        <f t="shared" si="61"/>
        <v>3660.7400000000002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5641.1100000000006</v>
      </c>
      <c r="O161" s="89">
        <f t="shared" si="64"/>
        <v>3660.7400000000002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'!C67</f>
        <v>0</v>
      </c>
      <c r="D162" s="89">
        <f>BPM!P76</f>
        <v>312.5866666666667</v>
      </c>
      <c r="E162" s="89">
        <f t="shared" si="61"/>
        <v>312.5866666666667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468.88000000000005</v>
      </c>
      <c r="O162" s="89">
        <f t="shared" si="64"/>
        <v>312.5866666666667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'!C65</f>
        <v>1673.16</v>
      </c>
      <c r="D167" s="89">
        <f>BPM!P60</f>
        <v>3162.4066666666663</v>
      </c>
      <c r="E167" s="89">
        <f t="shared" si="61"/>
        <v>1489.2466666666662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3070.45</v>
      </c>
      <c r="O167" s="89">
        <f t="shared" si="64"/>
        <v>1489.2466666666664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'!C68</f>
        <v>477</v>
      </c>
      <c r="D169" s="89">
        <f>BPM!P77</f>
        <v>1880.2533333333333</v>
      </c>
      <c r="E169" s="89">
        <f t="shared" si="61"/>
        <v>1403.2533333333333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2343.38</v>
      </c>
      <c r="O169" s="89">
        <f t="shared" si="64"/>
        <v>1403.2533333333333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'!C69</f>
        <v>1350</v>
      </c>
      <c r="D170" s="89">
        <f>BPM!P71</f>
        <v>12480</v>
      </c>
      <c r="E170" s="89">
        <f t="shared" si="61"/>
        <v>11130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17370</v>
      </c>
      <c r="O170" s="89">
        <f t="shared" si="64"/>
        <v>11130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'!C71</f>
        <v>4750.5999999999995</v>
      </c>
      <c r="D172" s="89">
        <f>BPM!P69</f>
        <v>4838.5933333333332</v>
      </c>
      <c r="E172" s="89">
        <f t="shared" si="61"/>
        <v>87.993333333333794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2507.2900000000009</v>
      </c>
      <c r="O172" s="89">
        <f t="shared" si="64"/>
        <v>87.993333333333794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23550.76</v>
      </c>
      <c r="D173" s="90">
        <f t="shared" ref="D173" si="65">SUM(D151:D172)</f>
        <v>68447.733333333337</v>
      </c>
      <c r="E173" s="90">
        <f t="shared" ref="E173" si="66">SUM(E151:E172)</f>
        <v>44896.973333333328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79120.84</v>
      </c>
      <c r="O173" s="90">
        <f>SUM(O151:O172)</f>
        <v>44896.973333333328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532</v>
      </c>
      <c r="C178" s="89">
        <f>'Comp YTD 2020-2019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'!C84</f>
        <v>391.37</v>
      </c>
      <c r="D179" s="89">
        <f>BPM!P65</f>
        <v>3328.8666666666668</v>
      </c>
      <c r="E179" s="89">
        <f t="shared" si="69"/>
        <v>2937.4966666666669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4601.93</v>
      </c>
      <c r="O179" s="89">
        <f t="shared" si="72"/>
        <v>2937.4966666666669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'!C87</f>
        <v>1540</v>
      </c>
      <c r="D182" s="89">
        <f>BPM!P73</f>
        <v>2683.3333333333335</v>
      </c>
      <c r="E182" s="89">
        <f t="shared" si="69"/>
        <v>1143.3333333333335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2485</v>
      </c>
      <c r="O182" s="89">
        <f t="shared" si="72"/>
        <v>1143.3333333333335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'!C88</f>
        <v>11434.29</v>
      </c>
      <c r="D183" s="89">
        <f>BPM!P74</f>
        <v>30040.066666666666</v>
      </c>
      <c r="E183" s="89">
        <f t="shared" si="69"/>
        <v>18605.776666666665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33625.81</v>
      </c>
      <c r="O183" s="89">
        <f t="shared" si="72"/>
        <v>18605.776666666665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'!C89</f>
        <v>8510</v>
      </c>
      <c r="D184" s="89">
        <f>BPM!P72</f>
        <v>5018.0466666666671</v>
      </c>
      <c r="E184" s="89">
        <f t="shared" si="69"/>
        <v>-3491.9533333333329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-982.92999999999938</v>
      </c>
      <c r="O184" s="89">
        <f t="shared" si="72"/>
        <v>-3491.9533333333329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'!C92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'!C93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'!C94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'!C95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'!C96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'!C97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'!C98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'!C100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'!C101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21904.35</v>
      </c>
      <c r="D196" s="90">
        <f>SUM(D176:D195)</f>
        <v>48771.993333333332</v>
      </c>
      <c r="E196" s="90">
        <f>SUM(E176:E195)</f>
        <v>26867.643333333337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51253.639999999992</v>
      </c>
      <c r="O196" s="90">
        <f>SUM(O176:O195)</f>
        <v>26867.643333333337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136124.30000000002</v>
      </c>
      <c r="D198" s="91">
        <f t="shared" si="73"/>
        <v>659144.79333333333</v>
      </c>
      <c r="E198" s="91">
        <f t="shared" si="73"/>
        <v>523020.49333333323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852592.89</v>
      </c>
      <c r="O198" s="91">
        <f t="shared" si="73"/>
        <v>523020.49333333311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'!C107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'!C108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'!C109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'!C110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'!C111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'!C112</f>
        <v>1190</v>
      </c>
      <c r="D206" s="89">
        <f>-BPM!P85</f>
        <v>9329.8133333333335</v>
      </c>
      <c r="E206" s="89">
        <f t="shared" si="76"/>
        <v>8139.8133333333335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12804.72</v>
      </c>
      <c r="O206" s="89">
        <f t="shared" si="79"/>
        <v>8139.8133333333335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'!C113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'!C115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'!C117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'!C118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'!C119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'!C120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'!C121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-218.25</v>
      </c>
      <c r="D214" s="90">
        <f t="shared" si="80"/>
        <v>-29469.160000000003</v>
      </c>
      <c r="E214" s="90">
        <f t="shared" si="80"/>
        <v>-29250.910000000003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-43985.49</v>
      </c>
      <c r="O214" s="90">
        <f>SUM(O201:O213)</f>
        <v>-29250.910000000003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9330.5899999987159</v>
      </c>
      <c r="D216" s="92">
        <f>D133-D198+D214</f>
        <v>167819.14000000784</v>
      </c>
      <c r="E216" s="92">
        <f>E133-E198+E214</f>
        <v>158488.55000000921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242398.1200000149</v>
      </c>
      <c r="O216" s="92">
        <f>-M216+K216</f>
        <v>-158488.55000001099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CNT!P335+CNT!P336+CNT!P347</f>
        <v>0</v>
      </c>
      <c r="E220" s="83">
        <f>D220-C220</f>
        <v>0</v>
      </c>
      <c r="G220" s="83">
        <f>DEP!Q326+DEP!Q327+DEP!Q338</f>
        <v>0</v>
      </c>
      <c r="I220" s="83">
        <f>DEP!U326+DEP!U327+DEP!U338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CNT!P337+CNT!P348</f>
        <v>0</v>
      </c>
      <c r="E221" s="83">
        <f>D221-C221</f>
        <v>0</v>
      </c>
      <c r="G221" s="83">
        <f>DEP!Q328+DEP!Q339</f>
        <v>0</v>
      </c>
      <c r="I221" s="83">
        <f>DEP!U328+DEP!U339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CNT!P338+CNT!P349</f>
        <v>0</v>
      </c>
      <c r="E222" s="83">
        <f t="shared" ref="E222:E224" si="87">D222-C222</f>
        <v>0</v>
      </c>
      <c r="G222" s="83">
        <f>DEP!Q329+DEP!Q340</f>
        <v>0</v>
      </c>
      <c r="I222" s="83">
        <f>DEP!U329+DEP!U340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CNT!P339+CNT!P350</f>
        <v>0</v>
      </c>
      <c r="E223" s="83">
        <f t="shared" si="87"/>
        <v>0</v>
      </c>
      <c r="G223" s="83">
        <f>DEP!Q330+DEP!Q341</f>
        <v>0</v>
      </c>
      <c r="I223" s="83">
        <f>DEP!U330+DEP!U341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CNT!P343+CNT!P353</f>
        <v>0</v>
      </c>
      <c r="E224" s="83">
        <f t="shared" si="87"/>
        <v>0</v>
      </c>
      <c r="G224" s="83">
        <f>DEP!Q334+DEP!Q344</f>
        <v>0</v>
      </c>
      <c r="I224" s="83">
        <f>DEP!U334+DEP!U344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CNT!P354+CNT!P355+CNT!P356+CNT!P357</f>
        <v>0</v>
      </c>
      <c r="E225" s="83">
        <f>D225-C225</f>
        <v>0</v>
      </c>
      <c r="G225" s="83">
        <f>DEP!Q345+DEP!Q346+DEP!Q347+DEP!Q348</f>
        <v>0</v>
      </c>
      <c r="I225" s="83">
        <f>DEP!U345+DEP!U346+DEP!U347+DEP!U348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2070342.7200000002</v>
      </c>
      <c r="D226" s="83">
        <f>DEP!P17</f>
        <v>2715544.4925000002</v>
      </c>
      <c r="E226" s="83">
        <f>D226-C226</f>
        <v>645201.77249999996</v>
      </c>
      <c r="G226" s="83">
        <f>DEP!Q17</f>
        <v>3620725.9899999998</v>
      </c>
      <c r="I226" s="83">
        <f>DEP!R17</f>
        <v>3620725.9899999998</v>
      </c>
      <c r="K226" s="83">
        <f>G226-D226</f>
        <v>905181.49749999959</v>
      </c>
      <c r="M226" s="83">
        <f>G226-C226</f>
        <v>1550383.2699999996</v>
      </c>
      <c r="O226" s="83">
        <f t="shared" si="86"/>
        <v>645201.77249999996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2070342.7200000002</v>
      </c>
      <c r="D227" s="97">
        <f>SUM(D220:D226)</f>
        <v>2715544.4925000002</v>
      </c>
      <c r="E227" s="97">
        <f>SUM(E220:E226)</f>
        <v>645201.77249999996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1550383.2699999996</v>
      </c>
      <c r="O227" s="97">
        <f>SUM(O219:O226)</f>
        <v>645201.77249999996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CNT!P362+CNT!P367+CNT!P379+CNT!P383+CNT!P384+CNT!P388+CNT!P392+CNT!P399</f>
        <v>0</v>
      </c>
      <c r="E230" s="83">
        <f>D230-C230</f>
        <v>0</v>
      </c>
      <c r="G230" s="83">
        <f>DEP!Q353+DEP!Q358+DEP!Q370+DEP!Q374+DEP!Q375+DEP!Q379+DEP!Q383+DEP!Q390</f>
        <v>0</v>
      </c>
      <c r="I230" s="83">
        <f>DEP!R353+DEP!R358+DEP!R370+DEP!R374+DEP!R375+DEP!R379+DEP!R383+DEP!R390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CNT!P363+CNT!P368+CNT!P380+CNT!P385+CNT!P389+CNT!P393+CNT!P400+CNT!P396</f>
        <v>0</v>
      </c>
      <c r="E231" s="83">
        <f t="shared" ref="E231:E236" si="90">D231-C231</f>
        <v>0</v>
      </c>
      <c r="G231" s="83">
        <f>DEP!Q354+DEP!Q359+DEP!Q371+DEP!Q376+DEP!Q380+DEP!Q384+DEP!Q391+DEP!Q387</f>
        <v>0</v>
      </c>
      <c r="I231" s="83">
        <f>DEP!R354+DEP!R359+DEP!R371+DEP!R376+DEP!R380+DEP!R384+DEP!R391+DEP!R387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CNT!P364+CNT!P369+CNT!P381+CNT!P386+CNT!P390+CNT!P394+CNT!P401+CNT!P398</f>
        <v>0</v>
      </c>
      <c r="E232" s="83">
        <f t="shared" si="90"/>
        <v>0</v>
      </c>
      <c r="G232" s="83">
        <f>DEP!Q355+DEP!Q360+DEP!Q372+DEP!Q377+DEP!Q381+DEP!Q385+DEP!Q392+DEP!Q389</f>
        <v>0</v>
      </c>
      <c r="I232" s="83">
        <f>DEP!R355+DEP!R360+DEP!R372+DEP!R377+DEP!R381+DEP!R385+DEP!R392+DEP!R389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CNT!P365+CNT!P370+CNT!P382+CNT!P387+CNT!P391+CNT!P395+CNT!P402+CNT!P403</f>
        <v>0</v>
      </c>
      <c r="E233" s="83">
        <f t="shared" si="90"/>
        <v>0</v>
      </c>
      <c r="G233" s="83">
        <f>DEP!Q356+DEP!Q361+DEP!Q373+DEP!Q378+DEP!Q382+DEP!Q386+DEP!Q393+DEP!Q394</f>
        <v>0</v>
      </c>
      <c r="I233" s="83">
        <f>DEP!R356+DEP!R361+DEP!R373+DEP!R378+DEP!R382+DEP!R386+DEP!R393+DEP!R394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CNT!P366+CNT!P373+CNT!P397+CNT!P408</f>
        <v>0</v>
      </c>
      <c r="E234" s="83">
        <f t="shared" si="90"/>
        <v>0</v>
      </c>
      <c r="G234" s="83">
        <f>DEP!Q357+DEP!Q364+DEP!Q388+DEP!Q399</f>
        <v>0</v>
      </c>
      <c r="I234" s="83">
        <f>DEP!R357+DEP!R364+DEP!R388+DEP!R399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CNT!P419+CNT!P420+CNT!P421+CNT!P422+CNT!P423+CNT!P424+CNT!P425+CNT!P426+CNT!P427</f>
        <v>0</v>
      </c>
      <c r="E235" s="83">
        <f t="shared" si="90"/>
        <v>0</v>
      </c>
      <c r="G235" s="83">
        <f>DEP!Q410+DEP!Q411+DEP!Q412+DEP!Q413+DEP!Q414+DEP!Q415+DEP!Q416+DEP!Q417+DEP!Q418</f>
        <v>0</v>
      </c>
      <c r="I235" s="83">
        <f>DEP!R410+DEP!R411+DEP!R412+DEP!R413+DEP!R414+DEP!R415+DEP!R416+DEP!R417+DEP!R418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49342.94</v>
      </c>
      <c r="D236" s="83">
        <f>DEP!P23</f>
        <v>389870.85750000004</v>
      </c>
      <c r="E236" s="83">
        <f t="shared" si="90"/>
        <v>340527.91750000004</v>
      </c>
      <c r="G236" s="83">
        <f>DEP!Q23</f>
        <v>519827.81000000006</v>
      </c>
      <c r="I236" s="83">
        <f>DEP!R23</f>
        <v>519827.81000000006</v>
      </c>
      <c r="K236" s="83">
        <f t="shared" si="91"/>
        <v>129956.95250000001</v>
      </c>
      <c r="M236" s="83">
        <f t="shared" si="92"/>
        <v>470484.87000000005</v>
      </c>
      <c r="O236" s="83">
        <f t="shared" si="93"/>
        <v>340527.91750000004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49342.94</v>
      </c>
      <c r="D237" s="97">
        <f>SUM(D230:D236)</f>
        <v>389870.85750000004</v>
      </c>
      <c r="E237" s="97">
        <f>SUM(E230:E236)</f>
        <v>340527.91750000004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470484.87000000005</v>
      </c>
      <c r="O237" s="97">
        <f>SUM(O230:O236)</f>
        <v>340527.91750000004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2020999.7800000003</v>
      </c>
      <c r="D239" s="98">
        <f>D227-D237</f>
        <v>2325673.6350000002</v>
      </c>
      <c r="E239" s="98">
        <f>C239-D239</f>
        <v>-304673.85499999998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1079898.3999999994</v>
      </c>
      <c r="O239" s="98">
        <f>-(K239-M239)</f>
        <v>304673.85499999986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363940.02</v>
      </c>
      <c r="D244" s="83">
        <f>DEP!P29</f>
        <v>648000</v>
      </c>
      <c r="E244" s="83">
        <f>D244-C244</f>
        <v>284059.98</v>
      </c>
      <c r="G244" s="83">
        <f>DEP!Q29</f>
        <v>864000</v>
      </c>
      <c r="I244" s="83">
        <f>DEP!R29</f>
        <v>848837.41</v>
      </c>
      <c r="K244" s="83">
        <f t="shared" ref="K244" si="95">G244-D244</f>
        <v>216000</v>
      </c>
      <c r="M244" s="83">
        <f>G244-C244</f>
        <v>500059.98</v>
      </c>
      <c r="O244" s="83">
        <f>M244-K244</f>
        <v>284059.98</v>
      </c>
    </row>
    <row r="245" spans="1:15" s="22" customFormat="1" ht="42.75" customHeight="1" x14ac:dyDescent="0.5">
      <c r="A245" s="93" t="s">
        <v>210</v>
      </c>
      <c r="B245" s="96" t="s">
        <v>530</v>
      </c>
      <c r="C245" s="83">
        <f>'Comp YTD 2020-2019 '!D38</f>
        <v>29220.82</v>
      </c>
      <c r="D245" s="83">
        <f>DEP!P30</f>
        <v>33356.25</v>
      </c>
      <c r="E245" s="83">
        <f t="shared" ref="E245:E253" si="96">D245-C245</f>
        <v>4135.43</v>
      </c>
      <c r="G245" s="83">
        <f>DEP!Q30</f>
        <v>44475</v>
      </c>
      <c r="I245" s="83">
        <f>DEP!R30</f>
        <v>0</v>
      </c>
      <c r="K245" s="83">
        <f t="shared" ref="K245:K253" si="97">G245-D245</f>
        <v>11118.75</v>
      </c>
      <c r="M245" s="83">
        <f t="shared" ref="M245:M253" si="98">G245-C245</f>
        <v>15254.18</v>
      </c>
      <c r="O245" s="83">
        <f t="shared" ref="O245:O253" si="99">M245-K245</f>
        <v>4135.43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1430.3199999999997</v>
      </c>
      <c r="D246" s="83">
        <v>0</v>
      </c>
      <c r="E246" s="83">
        <f t="shared" si="96"/>
        <v>-1430.3199999999997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-1430.3199999999997</v>
      </c>
      <c r="O246" s="83">
        <f t="shared" si="99"/>
        <v>-1430.3199999999997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34727.46</v>
      </c>
      <c r="D247" s="83">
        <f>DEP!P32</f>
        <v>49301.257500000007</v>
      </c>
      <c r="E247" s="83">
        <f t="shared" si="96"/>
        <v>14573.797500000008</v>
      </c>
      <c r="G247" s="83">
        <f>DEP!Q32</f>
        <v>65735.010000000009</v>
      </c>
      <c r="I247" s="83">
        <f>DEP!R32</f>
        <v>65735.010000000009</v>
      </c>
      <c r="K247" s="83">
        <f>G247-D247</f>
        <v>16433.752500000002</v>
      </c>
      <c r="M247" s="83">
        <f>G247-C247</f>
        <v>31007.55000000001</v>
      </c>
      <c r="O247" s="83">
        <f t="shared" si="99"/>
        <v>14573.797500000008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52500.259999999995</v>
      </c>
      <c r="D248" s="83">
        <f>DEP!P33</f>
        <v>83250</v>
      </c>
      <c r="E248" s="83">
        <f t="shared" si="96"/>
        <v>30749.740000000005</v>
      </c>
      <c r="G248" s="83">
        <f>DEP!Q33</f>
        <v>111000</v>
      </c>
      <c r="I248" s="83">
        <f>DEP!R33</f>
        <v>100999.13</v>
      </c>
      <c r="K248" s="83">
        <f t="shared" si="97"/>
        <v>27750</v>
      </c>
      <c r="M248" s="83">
        <f t="shared" si="98"/>
        <v>58499.740000000005</v>
      </c>
      <c r="O248" s="83">
        <f t="shared" si="99"/>
        <v>30749.740000000005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6673.9800000000005</v>
      </c>
      <c r="D249" s="83">
        <f>DEP!P34</f>
        <v>9450</v>
      </c>
      <c r="E249" s="83">
        <f t="shared" si="96"/>
        <v>2776.0199999999995</v>
      </c>
      <c r="G249" s="83">
        <f>DEP!Q34</f>
        <v>12600</v>
      </c>
      <c r="I249" s="83">
        <f>DEP!R34</f>
        <v>4711.1099999999997</v>
      </c>
      <c r="K249" s="83">
        <f t="shared" si="97"/>
        <v>3150</v>
      </c>
      <c r="M249" s="83">
        <f t="shared" si="98"/>
        <v>5926.0199999999995</v>
      </c>
      <c r="O249" s="83">
        <f t="shared" si="99"/>
        <v>2776.0199999999995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11820.53</v>
      </c>
      <c r="D250" s="83">
        <f>DEP!P35</f>
        <v>23400</v>
      </c>
      <c r="E250" s="83">
        <f t="shared" si="96"/>
        <v>11579.47</v>
      </c>
      <c r="G250" s="83">
        <f>DEP!Q35</f>
        <v>31200</v>
      </c>
      <c r="I250" s="83">
        <f>DEP!R35</f>
        <v>21975.360000000001</v>
      </c>
      <c r="K250" s="83">
        <f t="shared" si="97"/>
        <v>7800</v>
      </c>
      <c r="M250" s="83">
        <f t="shared" si="98"/>
        <v>19379.47</v>
      </c>
      <c r="O250" s="83">
        <f t="shared" si="99"/>
        <v>11579.470000000001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980.75</v>
      </c>
      <c r="D251" s="83">
        <f>DEP!P36</f>
        <v>1585.0050000000001</v>
      </c>
      <c r="E251" s="83">
        <f t="shared" si="96"/>
        <v>604.25500000000011</v>
      </c>
      <c r="G251" s="83">
        <f>DEP!Q36</f>
        <v>2113.34</v>
      </c>
      <c r="I251" s="83">
        <f>DEP!R36</f>
        <v>2113.34</v>
      </c>
      <c r="K251" s="83">
        <f t="shared" si="97"/>
        <v>528.33500000000004</v>
      </c>
      <c r="M251" s="83">
        <f t="shared" si="98"/>
        <v>1132.5900000000001</v>
      </c>
      <c r="O251" s="83">
        <f t="shared" si="99"/>
        <v>604.25500000000011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8812.2000000000007</v>
      </c>
      <c r="D253" s="83">
        <f>DEP!P37</f>
        <v>11371.635</v>
      </c>
      <c r="E253" s="83">
        <f t="shared" si="96"/>
        <v>2559.4349999999995</v>
      </c>
      <c r="G253" s="83">
        <f>DEP!Q37</f>
        <v>15162.18</v>
      </c>
      <c r="I253" s="83">
        <f>DEP!R37</f>
        <v>15162.18</v>
      </c>
      <c r="K253" s="83">
        <f t="shared" si="97"/>
        <v>3790.5450000000001</v>
      </c>
      <c r="M253" s="83">
        <f t="shared" si="98"/>
        <v>6349.98</v>
      </c>
      <c r="O253" s="83">
        <f t="shared" si="99"/>
        <v>2559.4349999999995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510106.34000000008</v>
      </c>
      <c r="D254" s="97">
        <f t="shared" ref="D254:E254" si="100">SUM(D244:D253)</f>
        <v>859714.14750000008</v>
      </c>
      <c r="E254" s="97">
        <f t="shared" si="100"/>
        <v>349607.80749999994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636179.18999999994</v>
      </c>
      <c r="O254" s="97">
        <f>SUM(O244:O253)</f>
        <v>349607.80749999994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150000</v>
      </c>
      <c r="D257" s="83">
        <f>DEP!P42</f>
        <v>337500</v>
      </c>
      <c r="E257" s="83">
        <f>D257-C257</f>
        <v>187500</v>
      </c>
      <c r="G257" s="83">
        <f>DEP!Q42</f>
        <v>450000</v>
      </c>
      <c r="I257" s="83">
        <f>DEP!R42</f>
        <v>450000</v>
      </c>
      <c r="K257" s="83">
        <f t="shared" ref="K257" si="101">G257-D257</f>
        <v>112500</v>
      </c>
      <c r="M257" s="83">
        <f t="shared" ref="M257" si="102">G257-C257</f>
        <v>300000</v>
      </c>
      <c r="O257" s="83">
        <f>M257-K257</f>
        <v>187500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-3572.62</v>
      </c>
      <c r="D258" s="83">
        <f>DEP!P43</f>
        <v>24816.747000000007</v>
      </c>
      <c r="E258" s="83">
        <f t="shared" ref="E258:E278" si="103">D258-C258</f>
        <v>28389.367000000006</v>
      </c>
      <c r="G258" s="83">
        <f>DEP!Q43</f>
        <v>33088.996000000006</v>
      </c>
      <c r="I258" s="83">
        <f>DEP!R43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36661.616000000009</v>
      </c>
      <c r="O258" s="83">
        <f t="shared" ref="O258:O278" si="106">M258-K258</f>
        <v>28389.367000000009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5892.38</v>
      </c>
      <c r="D259" s="83">
        <v>0</v>
      </c>
      <c r="E259" s="83">
        <f t="shared" si="103"/>
        <v>-5892.38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-5892.38</v>
      </c>
      <c r="O259" s="83">
        <f t="shared" si="106"/>
        <v>-5892.38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215.28</v>
      </c>
      <c r="D260" s="83">
        <v>0</v>
      </c>
      <c r="E260" s="83">
        <f t="shared" si="103"/>
        <v>-215.28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-215.28</v>
      </c>
      <c r="O260" s="83">
        <f t="shared" si="106"/>
        <v>-215.28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1100</v>
      </c>
      <c r="D261" s="83">
        <f>DEP!P45</f>
        <v>1350</v>
      </c>
      <c r="E261" s="83">
        <f t="shared" si="103"/>
        <v>250</v>
      </c>
      <c r="G261" s="83">
        <f>DEP!Q45</f>
        <v>1800</v>
      </c>
      <c r="I261" s="83">
        <f>DEP!R45</f>
        <v>1800</v>
      </c>
      <c r="K261" s="83">
        <f t="shared" si="104"/>
        <v>450</v>
      </c>
      <c r="M261" s="83">
        <f t="shared" si="105"/>
        <v>700</v>
      </c>
      <c r="O261" s="83">
        <f t="shared" si="106"/>
        <v>250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8400</v>
      </c>
      <c r="D262" s="83">
        <f>DEP!P46</f>
        <v>21756.9</v>
      </c>
      <c r="E262" s="83">
        <f t="shared" si="103"/>
        <v>13356.900000000001</v>
      </c>
      <c r="G262" s="83">
        <f>DEP!Q46</f>
        <v>29009.200000000001</v>
      </c>
      <c r="I262" s="83">
        <f>DEP!R46</f>
        <v>29009.200000000001</v>
      </c>
      <c r="K262" s="83">
        <f t="shared" si="104"/>
        <v>7252.2999999999993</v>
      </c>
      <c r="M262" s="83">
        <f t="shared" si="105"/>
        <v>20609.2</v>
      </c>
      <c r="O262" s="83">
        <f t="shared" si="106"/>
        <v>13356.900000000001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11027.880000000001</v>
      </c>
      <c r="D263" s="83">
        <f>DEP!P47</f>
        <v>34523.272499999999</v>
      </c>
      <c r="E263" s="83">
        <f t="shared" si="103"/>
        <v>23495.392499999998</v>
      </c>
      <c r="G263" s="83">
        <f>DEP!Q47</f>
        <v>46031.03</v>
      </c>
      <c r="I263" s="83">
        <f>DEP!R47</f>
        <v>46031.03</v>
      </c>
      <c r="K263" s="83">
        <f t="shared" si="104"/>
        <v>11507.7575</v>
      </c>
      <c r="M263" s="83">
        <f t="shared" si="105"/>
        <v>35003.149999999994</v>
      </c>
      <c r="O263" s="83">
        <f t="shared" si="106"/>
        <v>23495.392499999994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24051.72</v>
      </c>
      <c r="D265" s="83">
        <f>DEP!P48</f>
        <v>60930</v>
      </c>
      <c r="E265" s="83">
        <f t="shared" si="103"/>
        <v>36878.28</v>
      </c>
      <c r="G265" s="83">
        <f>DEP!Q48</f>
        <v>81240</v>
      </c>
      <c r="I265" s="83">
        <f>DEP!R48</f>
        <v>62935.24000000002</v>
      </c>
      <c r="K265" s="83">
        <f t="shared" si="104"/>
        <v>20310</v>
      </c>
      <c r="M265" s="83">
        <f t="shared" si="105"/>
        <v>57188.28</v>
      </c>
      <c r="O265" s="83">
        <f t="shared" si="106"/>
        <v>36878.28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1673.7399999999998</v>
      </c>
      <c r="D266" s="83">
        <f>DEP!P50</f>
        <v>10777.162499999999</v>
      </c>
      <c r="E266" s="83">
        <f t="shared" si="103"/>
        <v>9103.4224999999988</v>
      </c>
      <c r="G266" s="83">
        <f>DEP!Q50</f>
        <v>14369.55</v>
      </c>
      <c r="I266" s="83">
        <f>DEP!R50</f>
        <v>14369.55</v>
      </c>
      <c r="K266" s="83">
        <f t="shared" si="104"/>
        <v>3592.3875000000007</v>
      </c>
      <c r="M266" s="83">
        <f t="shared" si="105"/>
        <v>12695.81</v>
      </c>
      <c r="O266" s="83">
        <f t="shared" si="106"/>
        <v>9103.4224999999988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90625.04</v>
      </c>
      <c r="D267" s="83">
        <f>DEP!P51</f>
        <v>225900</v>
      </c>
      <c r="E267" s="83">
        <f t="shared" si="103"/>
        <v>135274.96000000002</v>
      </c>
      <c r="G267" s="83">
        <f>DEP!Q51</f>
        <v>301200</v>
      </c>
      <c r="I267" s="83">
        <f>DEP!R51</f>
        <v>217684.57</v>
      </c>
      <c r="K267" s="83">
        <f t="shared" si="104"/>
        <v>75300</v>
      </c>
      <c r="M267" s="83">
        <f t="shared" si="105"/>
        <v>210574.96000000002</v>
      </c>
      <c r="O267" s="83">
        <f t="shared" si="106"/>
        <v>135274.96000000002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DEP!P76</f>
        <v>336.75</v>
      </c>
      <c r="E268" s="83">
        <f t="shared" si="103"/>
        <v>336.75</v>
      </c>
      <c r="G268" s="83">
        <f>DEP!Q76</f>
        <v>449</v>
      </c>
      <c r="I268" s="83">
        <f>DEP!R76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'!D63</f>
        <v>1602.28</v>
      </c>
      <c r="D270" s="83">
        <f>DEP!P52</f>
        <v>298.77</v>
      </c>
      <c r="E270" s="83">
        <f t="shared" si="103"/>
        <v>-1303.51</v>
      </c>
      <c r="G270" s="83">
        <f>DEP!Q52</f>
        <v>398.36</v>
      </c>
      <c r="I270" s="83">
        <f>DEP!R52</f>
        <v>398.36</v>
      </c>
      <c r="K270" s="83">
        <f t="shared" si="104"/>
        <v>99.590000000000032</v>
      </c>
      <c r="M270" s="83">
        <f t="shared" si="105"/>
        <v>-1203.92</v>
      </c>
      <c r="O270" s="83">
        <f t="shared" si="106"/>
        <v>-1303.5100000000002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'!D64</f>
        <v>0</v>
      </c>
      <c r="D271" s="83">
        <f>DEP!P55</f>
        <v>3338.7224999999994</v>
      </c>
      <c r="E271" s="83">
        <f t="shared" si="103"/>
        <v>3338.7224999999994</v>
      </c>
      <c r="G271" s="83">
        <f>DEP!Q55</f>
        <v>4451.6299999999992</v>
      </c>
      <c r="I271" s="83">
        <f>DEP!R55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'!D65</f>
        <v>53828.75</v>
      </c>
      <c r="D273" s="83">
        <f>DEP!P56</f>
        <v>94636.117499999993</v>
      </c>
      <c r="E273" s="83">
        <f t="shared" si="103"/>
        <v>40807.367499999993</v>
      </c>
      <c r="G273" s="83">
        <f>DEP!Q56</f>
        <v>126181.48999999999</v>
      </c>
      <c r="I273" s="83">
        <f>DEP!R56</f>
        <v>126181.48999999999</v>
      </c>
      <c r="K273" s="83">
        <f t="shared" si="104"/>
        <v>31545.372499999998</v>
      </c>
      <c r="M273" s="83">
        <f t="shared" si="105"/>
        <v>72352.739999999991</v>
      </c>
      <c r="O273" s="83">
        <f t="shared" si="106"/>
        <v>40807.367499999993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'!D67</f>
        <v>110</v>
      </c>
      <c r="D274" s="83">
        <v>0</v>
      </c>
      <c r="E274" s="83">
        <f t="shared" si="103"/>
        <v>-110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-110</v>
      </c>
      <c r="O274" s="83">
        <f t="shared" si="106"/>
        <v>-110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'!D68</f>
        <v>5448.72</v>
      </c>
      <c r="D275" s="83">
        <f>DEP!P58</f>
        <v>14091.157499999996</v>
      </c>
      <c r="E275" s="83">
        <f t="shared" si="103"/>
        <v>8642.4374999999964</v>
      </c>
      <c r="G275" s="83">
        <f>DEP!Q58</f>
        <v>18788.209999999995</v>
      </c>
      <c r="I275" s="83">
        <f>DEP!R58</f>
        <v>18788.209999999995</v>
      </c>
      <c r="K275" s="83">
        <f t="shared" si="104"/>
        <v>4697.0524999999998</v>
      </c>
      <c r="M275" s="83">
        <f t="shared" si="105"/>
        <v>13339.489999999994</v>
      </c>
      <c r="O275" s="83">
        <f t="shared" si="106"/>
        <v>8642.4374999999945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'!D69</f>
        <v>29810.33</v>
      </c>
      <c r="D276" s="83">
        <f>DEP!P54</f>
        <v>65632.319999999992</v>
      </c>
      <c r="E276" s="83">
        <f t="shared" si="103"/>
        <v>35821.989999999991</v>
      </c>
      <c r="G276" s="83">
        <f>DEP!Q54</f>
        <v>87509.759999999995</v>
      </c>
      <c r="I276" s="83">
        <f>DEP!R54</f>
        <v>87509.759999999995</v>
      </c>
      <c r="K276" s="83">
        <f t="shared" si="104"/>
        <v>21877.440000000002</v>
      </c>
      <c r="M276" s="83">
        <f t="shared" si="105"/>
        <v>57699.429999999993</v>
      </c>
      <c r="O276" s="83">
        <f t="shared" si="106"/>
        <v>35821.989999999991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'!D70</f>
        <v>116.71</v>
      </c>
      <c r="D277" s="83">
        <f>DEP!P59</f>
        <v>5607.6975000000002</v>
      </c>
      <c r="E277" s="83">
        <f t="shared" si="103"/>
        <v>5490.9875000000002</v>
      </c>
      <c r="G277" s="83">
        <f>DEP!Q59</f>
        <v>7476.93</v>
      </c>
      <c r="I277" s="83">
        <f>DEP!R59</f>
        <v>7476.93</v>
      </c>
      <c r="K277" s="83">
        <f t="shared" si="104"/>
        <v>1869.2325000000001</v>
      </c>
      <c r="M277" s="83">
        <f t="shared" si="105"/>
        <v>7360.22</v>
      </c>
      <c r="O277" s="83">
        <f t="shared" si="106"/>
        <v>5490.9875000000002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'!D71</f>
        <v>1350.94</v>
      </c>
      <c r="D278" s="83">
        <f>DEP!P60</f>
        <v>14400</v>
      </c>
      <c r="E278" s="83">
        <f t="shared" si="103"/>
        <v>13049.06</v>
      </c>
      <c r="G278" s="83">
        <f>DEP!Q60</f>
        <v>19200</v>
      </c>
      <c r="I278" s="83">
        <f>DEP!R60</f>
        <v>10196.419999999998</v>
      </c>
      <c r="K278" s="83">
        <f t="shared" si="104"/>
        <v>4800</v>
      </c>
      <c r="M278" s="83">
        <f t="shared" si="105"/>
        <v>17849.060000000001</v>
      </c>
      <c r="O278" s="83">
        <f t="shared" si="106"/>
        <v>13049.060000000001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381681.15</v>
      </c>
      <c r="D279" s="97">
        <f t="shared" ref="D279" si="107">SUM(D257:D278)</f>
        <v>915895.61699999997</v>
      </c>
      <c r="E279" s="97">
        <f t="shared" ref="E279" si="108">SUM(E257:E278)</f>
        <v>534214.46699999995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839513.00600000005</v>
      </c>
      <c r="O279" s="97">
        <f>SUM(O257:O278)</f>
        <v>534214.46699999995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'!D81</f>
        <v>711.54000000000008</v>
      </c>
      <c r="D282" s="83">
        <f>DEP!P64</f>
        <v>1372.5374999999999</v>
      </c>
      <c r="E282" s="83">
        <f>D282-C282</f>
        <v>660.99749999999983</v>
      </c>
      <c r="G282" s="83">
        <f>DEP!Q64</f>
        <v>1830.05</v>
      </c>
      <c r="I282" s="83">
        <f>DEP!R64</f>
        <v>1830.05</v>
      </c>
      <c r="K282" s="83">
        <f t="shared" ref="K282" si="109">G282-D282</f>
        <v>457.51250000000005</v>
      </c>
      <c r="M282" s="83">
        <f t="shared" ref="M282" si="110">G282-C282</f>
        <v>1118.5099999999998</v>
      </c>
      <c r="O282" s="83">
        <f>M282-K282</f>
        <v>660.99749999999972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532</v>
      </c>
      <c r="C284" s="83">
        <f>'Comp YTD 2020-2019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'!D84</f>
        <v>1097.3600000000001</v>
      </c>
      <c r="D285" s="83">
        <f>DEP!P65</f>
        <v>3282.0862499999998</v>
      </c>
      <c r="E285" s="83">
        <f t="shared" si="111"/>
        <v>2184.7262499999997</v>
      </c>
      <c r="G285" s="83">
        <f>DEP!Q65</f>
        <v>4376.1149999999998</v>
      </c>
      <c r="I285" s="83">
        <f>DEP!R65</f>
        <v>8752.2300000000014</v>
      </c>
      <c r="K285" s="83">
        <f t="shared" si="112"/>
        <v>1094.0287499999999</v>
      </c>
      <c r="M285" s="83">
        <f t="shared" si="113"/>
        <v>3278.7549999999997</v>
      </c>
      <c r="O285" s="83">
        <f t="shared" si="114"/>
        <v>2184.7262499999997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'!D86</f>
        <v>0</v>
      </c>
      <c r="D287" s="83">
        <f>DEP!P75</f>
        <v>6924.4274999999998</v>
      </c>
      <c r="E287" s="83">
        <f t="shared" si="111"/>
        <v>6924.4274999999998</v>
      </c>
      <c r="G287" s="83">
        <f>DEP!Q75</f>
        <v>9232.57</v>
      </c>
      <c r="I287" s="83">
        <f>DEP!R75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'!D87</f>
        <v>13000</v>
      </c>
      <c r="D288" s="83">
        <f>DEP!P69</f>
        <v>29250</v>
      </c>
      <c r="E288" s="83">
        <f t="shared" si="111"/>
        <v>16250</v>
      </c>
      <c r="G288" s="83">
        <f>DEP!Q69</f>
        <v>39000</v>
      </c>
      <c r="I288" s="83">
        <f>DEP!R69</f>
        <v>50400</v>
      </c>
      <c r="K288" s="83">
        <f t="shared" si="112"/>
        <v>9750</v>
      </c>
      <c r="M288" s="83">
        <f t="shared" si="113"/>
        <v>26000</v>
      </c>
      <c r="O288" s="83">
        <f t="shared" si="114"/>
        <v>16250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'!D88</f>
        <v>10500</v>
      </c>
      <c r="D289" s="83">
        <f>DEP!P70</f>
        <v>20250</v>
      </c>
      <c r="E289" s="83">
        <f t="shared" si="111"/>
        <v>9750</v>
      </c>
      <c r="G289" s="83">
        <f>DEP!Q70</f>
        <v>27000</v>
      </c>
      <c r="I289" s="83">
        <f>DEP!R70</f>
        <v>27000</v>
      </c>
      <c r="K289" s="83">
        <f t="shared" si="112"/>
        <v>6750</v>
      </c>
      <c r="M289" s="83">
        <f t="shared" si="113"/>
        <v>16500</v>
      </c>
      <c r="O289" s="83">
        <f t="shared" si="114"/>
        <v>9750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'!D89</f>
        <v>1333.32</v>
      </c>
      <c r="D290" s="83">
        <f>DEP!P68</f>
        <v>9000</v>
      </c>
      <c r="E290" s="83">
        <f t="shared" si="111"/>
        <v>7666.68</v>
      </c>
      <c r="G290" s="83">
        <f>DEP!Q68</f>
        <v>12000</v>
      </c>
      <c r="I290" s="83">
        <f>DEP!R68</f>
        <v>16848.52</v>
      </c>
      <c r="K290" s="83">
        <f t="shared" si="112"/>
        <v>3000</v>
      </c>
      <c r="M290" s="83">
        <f t="shared" si="113"/>
        <v>10666.68</v>
      </c>
      <c r="O290" s="83">
        <f t="shared" si="114"/>
        <v>7666.68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'!D90</f>
        <v>0</v>
      </c>
      <c r="D291" s="83">
        <f>DEP!P72</f>
        <v>0</v>
      </c>
      <c r="E291" s="83">
        <f t="shared" si="111"/>
        <v>0</v>
      </c>
      <c r="G291" s="83">
        <f>DEP!Q72</f>
        <v>0</v>
      </c>
      <c r="I291" s="83">
        <f>DEP!R72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'!D91</f>
        <v>3666.67</v>
      </c>
      <c r="D292" s="83">
        <f>DEP!P71</f>
        <v>6468.7724999999991</v>
      </c>
      <c r="E292" s="83">
        <f t="shared" si="111"/>
        <v>2802.1024999999991</v>
      </c>
      <c r="G292" s="83">
        <f>DEP!Q71</f>
        <v>8625.0299999999988</v>
      </c>
      <c r="I292" s="83">
        <f>DEP!R71</f>
        <v>8625.0299999999988</v>
      </c>
      <c r="K292" s="83">
        <f t="shared" si="112"/>
        <v>2156.2574999999997</v>
      </c>
      <c r="M292" s="83">
        <f t="shared" si="113"/>
        <v>4958.3599999999988</v>
      </c>
      <c r="O292" s="83">
        <f t="shared" si="114"/>
        <v>2802.1024999999991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'!D92</f>
        <v>0</v>
      </c>
      <c r="D293" s="83">
        <f>DEP!P67</f>
        <v>750</v>
      </c>
      <c r="E293" s="83">
        <f t="shared" si="111"/>
        <v>750</v>
      </c>
      <c r="G293" s="83">
        <f>DEP!Q67</f>
        <v>1000</v>
      </c>
      <c r="I293" s="83">
        <f>DEP!R67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'!D93</f>
        <v>225</v>
      </c>
      <c r="D294" s="83">
        <f>DEP!P77</f>
        <v>1858.125</v>
      </c>
      <c r="E294" s="83">
        <f t="shared" si="111"/>
        <v>1633.125</v>
      </c>
      <c r="G294" s="83">
        <f>DEP!Q77</f>
        <v>2477.5</v>
      </c>
      <c r="I294" s="83">
        <f>DEP!R77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'!D94</f>
        <v>2205.44</v>
      </c>
      <c r="D295" s="83">
        <f>DEP!P74</f>
        <v>6495.2550000000001</v>
      </c>
      <c r="E295" s="83">
        <f t="shared" si="111"/>
        <v>4289.8150000000005</v>
      </c>
      <c r="G295" s="83">
        <f>DEP!Q74</f>
        <v>8660.34</v>
      </c>
      <c r="I295" s="83">
        <f>DEP!R74</f>
        <v>8660.34</v>
      </c>
      <c r="K295" s="83">
        <f t="shared" si="112"/>
        <v>2165.085</v>
      </c>
      <c r="M295" s="83">
        <f t="shared" si="113"/>
        <v>6454.9</v>
      </c>
      <c r="O295" s="83">
        <f t="shared" si="114"/>
        <v>4289.8149999999996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'!D95</f>
        <v>300</v>
      </c>
      <c r="D296" s="83">
        <f>DEP!P66</f>
        <v>3982.9425000000001</v>
      </c>
      <c r="E296" s="83">
        <f t="shared" si="111"/>
        <v>3682.9425000000001</v>
      </c>
      <c r="G296" s="83">
        <f>DEP!Q66</f>
        <v>5310.59</v>
      </c>
      <c r="I296" s="83">
        <f>DEP!R66</f>
        <v>5310.59</v>
      </c>
      <c r="K296" s="83">
        <f t="shared" si="112"/>
        <v>1327.6475</v>
      </c>
      <c r="M296" s="83">
        <f t="shared" si="113"/>
        <v>5010.59</v>
      </c>
      <c r="O296" s="83">
        <f t="shared" si="114"/>
        <v>3682.9425000000001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'!D96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'!D97</f>
        <v>0</v>
      </c>
      <c r="D298" s="83">
        <f>DEP!P73</f>
        <v>5018.204999999999</v>
      </c>
      <c r="E298" s="83">
        <f t="shared" si="111"/>
        <v>5018.204999999999</v>
      </c>
      <c r="G298" s="83">
        <f>DEP!Q73</f>
        <v>6690.94</v>
      </c>
      <c r="I298" s="83">
        <f>DEP!R73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'!D98</f>
        <v>365.96</v>
      </c>
      <c r="D299" s="83">
        <v>0</v>
      </c>
      <c r="E299" s="83">
        <f t="shared" si="111"/>
        <v>-365.96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-365.96</v>
      </c>
      <c r="O299" s="83">
        <f t="shared" si="114"/>
        <v>-365.96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'!D100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'!D101</f>
        <v>746.21</v>
      </c>
      <c r="D301" s="83">
        <v>0</v>
      </c>
      <c r="E301" s="83">
        <f t="shared" si="111"/>
        <v>-746.21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-746.21</v>
      </c>
      <c r="O301" s="83">
        <f t="shared" si="114"/>
        <v>-746.21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34151.5</v>
      </c>
      <c r="D302" s="97">
        <f>SUM(D282:D301)</f>
        <v>94652.351250000022</v>
      </c>
      <c r="E302" s="97">
        <f>SUM(E282:E301)</f>
        <v>60500.85125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92051.63499999998</v>
      </c>
      <c r="O302" s="97">
        <f>SUM(O282:O301)</f>
        <v>60500.85125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925938.99000000011</v>
      </c>
      <c r="D304" s="98">
        <f t="shared" si="115"/>
        <v>1870262.1157500001</v>
      </c>
      <c r="E304" s="98">
        <f t="shared" si="115"/>
        <v>944323.12574999977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1567743.831</v>
      </c>
      <c r="O304" s="98">
        <f>O254+O279+O302</f>
        <v>944323.12574999977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'!D107</f>
        <v>50000</v>
      </c>
      <c r="D307" s="83">
        <f>DEP!P83</f>
        <v>112500</v>
      </c>
      <c r="E307" s="83">
        <f>D307-C307</f>
        <v>62500</v>
      </c>
      <c r="G307" s="83">
        <f>DEP!Q83</f>
        <v>150000</v>
      </c>
      <c r="I307" s="83">
        <f>DEP!R83</f>
        <v>150000</v>
      </c>
      <c r="K307" s="83">
        <f>G307-D307</f>
        <v>37500</v>
      </c>
      <c r="M307" s="83">
        <f>G307-C307</f>
        <v>100000</v>
      </c>
      <c r="O307" s="83">
        <f>M307-K307</f>
        <v>62500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'!D108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'!D109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'!D110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'!D111</f>
        <v>6587.7199999999993</v>
      </c>
      <c r="D311" s="83">
        <v>0</v>
      </c>
      <c r="E311" s="83">
        <f t="shared" si="116"/>
        <v>-6587.7199999999993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-6587.7199999999993</v>
      </c>
      <c r="O311" s="83">
        <f t="shared" si="119"/>
        <v>-6587.7199999999993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'!D112</f>
        <v>57475</v>
      </c>
      <c r="D312" s="83">
        <f>DEP!P85</f>
        <v>26089.117499999997</v>
      </c>
      <c r="E312" s="83">
        <f t="shared" si="116"/>
        <v>-31385.882500000003</v>
      </c>
      <c r="G312" s="83">
        <f>DEP!Q85</f>
        <v>34785.49</v>
      </c>
      <c r="I312" s="83">
        <f>DEP!R85</f>
        <v>34785.49</v>
      </c>
      <c r="K312" s="83">
        <f>G312-D312</f>
        <v>8696.3725000000013</v>
      </c>
      <c r="M312" s="83">
        <f>G312-C312</f>
        <v>-22689.510000000002</v>
      </c>
      <c r="O312" s="83">
        <f>M312-K312</f>
        <v>-31385.882500000003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'!D113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'!D115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'!D117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'!D118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'!D119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'!D120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'!D121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114062.72</v>
      </c>
      <c r="D320" s="97">
        <f>SUM(D307:D319)</f>
        <v>138589.11749999999</v>
      </c>
      <c r="E320" s="97">
        <f t="shared" si="120"/>
        <v>24526.397499999995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70722.76999999999</v>
      </c>
      <c r="O320" s="97">
        <f>SUM(O307:O319)</f>
        <v>24526.397499999995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1209123.51</v>
      </c>
      <c r="D322" s="99">
        <f t="shared" si="121"/>
        <v>594000.63675000006</v>
      </c>
      <c r="E322" s="99">
        <f>E239-E304+E320</f>
        <v>-1224470.5832499997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-417122.66100000055</v>
      </c>
      <c r="O322" s="99">
        <f>O239+O304-O320</f>
        <v>1224470.5832499997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283910.69</v>
      </c>
      <c r="D331" s="104">
        <f>'BSC (Dome)'!P15</f>
        <v>594652.90500000003</v>
      </c>
      <c r="E331" s="104">
        <f t="shared" si="124"/>
        <v>310742.21500000003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508959.85000000015</v>
      </c>
      <c r="O331" s="104">
        <f t="shared" si="127"/>
        <v>310742.21500000003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283910.69</v>
      </c>
      <c r="D332" s="105">
        <f>SUM(D325:D331)</f>
        <v>594652.90500000003</v>
      </c>
      <c r="E332" s="105">
        <f>SUM(E325:E331)</f>
        <v>310742.21500000003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508959.85000000015</v>
      </c>
      <c r="O332" s="105">
        <f>SUM(O325:O331)</f>
        <v>310742.21500000003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959.06000000000006</v>
      </c>
      <c r="D341" s="104">
        <f>'BSC (Dome)'!P19</f>
        <v>1447.0574999999999</v>
      </c>
      <c r="E341" s="104">
        <f t="shared" si="130"/>
        <v>487.99749999999983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970.3499999999998</v>
      </c>
      <c r="O341" s="104">
        <f t="shared" si="133"/>
        <v>487.99749999999983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959.06000000000006</v>
      </c>
      <c r="D342" s="105">
        <f>SUM(D335:D341)</f>
        <v>1447.0574999999999</v>
      </c>
      <c r="E342" s="105">
        <f>SUM(E335:E341)</f>
        <v>487.99749999999983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970.3499999999998</v>
      </c>
      <c r="O342" s="105">
        <f>SUM(O335:O341)</f>
        <v>487.99749999999983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282951.63</v>
      </c>
      <c r="D344" s="106">
        <f>D332-D342</f>
        <v>593205.84750000003</v>
      </c>
      <c r="E344" s="106">
        <f>C344-D344</f>
        <v>-310254.21750000003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507989.50000000017</v>
      </c>
      <c r="O344" s="106">
        <f>(M344-K344)</f>
        <v>310254.21750000003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110428.29000000001</v>
      </c>
      <c r="D349" s="104">
        <f>'BSC (Dome)'!P25+'BSC (Dome)'!P33</f>
        <v>235829.96999999997</v>
      </c>
      <c r="E349" s="104">
        <f>D349-C349</f>
        <v>125401.67999999996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204011.66999999995</v>
      </c>
      <c r="O349" s="104">
        <f>M349-K349</f>
        <v>125401.67999999996</v>
      </c>
    </row>
    <row r="350" spans="1:15" s="22" customFormat="1" ht="42.75" customHeight="1" x14ac:dyDescent="0.5">
      <c r="A350" s="100" t="s">
        <v>213</v>
      </c>
      <c r="B350" s="103" t="s">
        <v>530</v>
      </c>
      <c r="C350" s="104">
        <f>'Comp YTD 2020-2019 '!F38</f>
        <v>2250</v>
      </c>
      <c r="D350" s="104">
        <f>'BSC (Dome)'!P26</f>
        <v>4404.375</v>
      </c>
      <c r="E350" s="104">
        <f t="shared" ref="E350:E358" si="137">D350-C350</f>
        <v>2154.375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3622.5</v>
      </c>
      <c r="O350" s="104">
        <f t="shared" ref="O350:O358" si="140">M350-K350</f>
        <v>2154.375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8223.2099999999991</v>
      </c>
      <c r="D352" s="104">
        <f>'BSC (Dome)'!P27</f>
        <v>15688.710000000003</v>
      </c>
      <c r="E352" s="104">
        <f t="shared" si="137"/>
        <v>7465.5000000000036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12695.070000000003</v>
      </c>
      <c r="O352" s="104">
        <f t="shared" si="140"/>
        <v>7465.5000000000036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14795.34</v>
      </c>
      <c r="D353" s="104">
        <f>'BSC (Dome)'!P28</f>
        <v>44129.16</v>
      </c>
      <c r="E353" s="104">
        <f t="shared" si="137"/>
        <v>29333.820000000003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44043.540000000008</v>
      </c>
      <c r="O353" s="104">
        <f t="shared" si="140"/>
        <v>29333.820000000007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1025.82</v>
      </c>
      <c r="D354" s="104">
        <f>'BSC (Dome)'!P29</f>
        <v>2803.1850000000004</v>
      </c>
      <c r="E354" s="104">
        <f t="shared" si="137"/>
        <v>1777.3650000000005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2711.76</v>
      </c>
      <c r="O354" s="104">
        <f t="shared" si="140"/>
        <v>1777.3650000000002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1500</v>
      </c>
      <c r="D355" s="104">
        <f>'BSC (Dome)'!P31</f>
        <v>4515.7050000000008</v>
      </c>
      <c r="E355" s="104">
        <f t="shared" si="137"/>
        <v>3015.7050000000008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-221.48000000000002</v>
      </c>
      <c r="O355" s="104">
        <f t="shared" si="140"/>
        <v>3015.7050000000008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522.96</v>
      </c>
      <c r="D356" s="104">
        <f>'BSC (Dome)'!P30</f>
        <v>958.89</v>
      </c>
      <c r="E356" s="104">
        <f t="shared" si="137"/>
        <v>435.92999999999995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5497.9800000000005</v>
      </c>
      <c r="O356" s="104">
        <f t="shared" si="140"/>
        <v>435.93000000000029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138745.62</v>
      </c>
      <c r="D359" s="105">
        <f t="shared" ref="D359:E359" si="141">SUM(D349:D358)</f>
        <v>309511.65749999997</v>
      </c>
      <c r="E359" s="105">
        <f t="shared" si="141"/>
        <v>170766.03749999995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273936.58999999997</v>
      </c>
      <c r="O359" s="105">
        <f>SUM(O349:O358)</f>
        <v>170766.03749999995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4000</v>
      </c>
      <c r="D362" s="104">
        <f>'BSC (Dome)'!P37</f>
        <v>9000</v>
      </c>
      <c r="E362" s="104">
        <f>D362-C362</f>
        <v>5000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8000</v>
      </c>
      <c r="O362" s="104">
        <f>M362-K362</f>
        <v>5000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3287.5</v>
      </c>
      <c r="D363" s="104">
        <f>'BSC (Dome)'!P39</f>
        <v>5338.125</v>
      </c>
      <c r="E363" s="104">
        <f t="shared" ref="E363:E383" si="144">D363-C363</f>
        <v>2050.625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3830</v>
      </c>
      <c r="O363" s="104">
        <f t="shared" ref="O363:O383" si="147">M363-K363</f>
        <v>2050.625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35941.71</v>
      </c>
      <c r="D364" s="104">
        <f>'BSC (Dome)'!P38</f>
        <v>55827.277500000011</v>
      </c>
      <c r="E364" s="104">
        <f t="shared" si="144"/>
        <v>19885.567500000012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38494.660000000011</v>
      </c>
      <c r="O364" s="104">
        <f t="shared" si="147"/>
        <v>19885.567500000012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1092.7</v>
      </c>
      <c r="D365" s="104">
        <f>'BSC (Dome)'!P40</f>
        <v>1665.825</v>
      </c>
      <c r="E365" s="104">
        <f t="shared" si="144"/>
        <v>573.125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1128.3999999999999</v>
      </c>
      <c r="O365" s="104">
        <f t="shared" si="147"/>
        <v>573.125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2912.1800000000003</v>
      </c>
      <c r="D366" s="104">
        <f>'BSC (Dome)'!P41</f>
        <v>5994.6525000000001</v>
      </c>
      <c r="E366" s="104">
        <f t="shared" si="144"/>
        <v>3082.4724999999999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5080.6899999999996</v>
      </c>
      <c r="O366" s="104">
        <f t="shared" si="147"/>
        <v>3082.4724999999999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1347.65</v>
      </c>
      <c r="D368" s="104">
        <f>'BSC (Dome)'!P43</f>
        <v>8594.73</v>
      </c>
      <c r="E368" s="104">
        <f t="shared" si="144"/>
        <v>7247.08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10111.99</v>
      </c>
      <c r="O368" s="104">
        <f t="shared" si="147"/>
        <v>7247.08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2576.14</v>
      </c>
      <c r="D369" s="104">
        <f>'BSC (Dome)'!P44+'BSC (Dome)'!P50</f>
        <v>11980.5975</v>
      </c>
      <c r="E369" s="104">
        <f t="shared" si="144"/>
        <v>9404.4575000000004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13397.99</v>
      </c>
      <c r="O369" s="104">
        <f t="shared" si="147"/>
        <v>9404.4575000000004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919.43000000000006</v>
      </c>
      <c r="D370" s="104">
        <f>'BSC (Dome)'!P46</f>
        <v>554.75249999999994</v>
      </c>
      <c r="E370" s="104">
        <f t="shared" si="144"/>
        <v>-364.67750000000012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-179.7600000000001</v>
      </c>
      <c r="O370" s="104">
        <f t="shared" si="147"/>
        <v>-364.67750000000012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10594.33</v>
      </c>
      <c r="D372" s="104">
        <f>'BSC (Dome)'!P48</f>
        <v>21944.497499999998</v>
      </c>
      <c r="E372" s="104">
        <f t="shared" si="144"/>
        <v>11350.167499999998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18665</v>
      </c>
      <c r="O372" s="104">
        <f t="shared" si="147"/>
        <v>11350.1675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'!F67</f>
        <v>110</v>
      </c>
      <c r="D373" s="104">
        <f>'BSC (Dome)'!P49</f>
        <v>1248.75</v>
      </c>
      <c r="E373" s="104">
        <f t="shared" si="144"/>
        <v>1138.75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1555</v>
      </c>
      <c r="O373" s="104">
        <f t="shared" si="147"/>
        <v>1138.75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9098.15</v>
      </c>
      <c r="D374" s="104">
        <f>'BSC (Dome)'!P45</f>
        <v>14905.484999999997</v>
      </c>
      <c r="E374" s="104">
        <f t="shared" si="144"/>
        <v>5807.3349999999973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10775.829999999996</v>
      </c>
      <c r="O374" s="104">
        <f t="shared" si="147"/>
        <v>5807.3349999999973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'!F65</f>
        <v>33649.08</v>
      </c>
      <c r="D378" s="104">
        <f>'BSC (Dome)'!P54</f>
        <v>83006.242500000008</v>
      </c>
      <c r="E378" s="104">
        <f t="shared" si="144"/>
        <v>49357.162500000006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77025.91</v>
      </c>
      <c r="O378" s="104">
        <f t="shared" si="147"/>
        <v>49357.162500000006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'!F71</f>
        <v>3230.44</v>
      </c>
      <c r="D383" s="104">
        <f>'BSC (Dome)'!P57</f>
        <v>4966.6499999999996</v>
      </c>
      <c r="E383" s="104">
        <f t="shared" si="144"/>
        <v>1736.2099999999996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3391.7599999999989</v>
      </c>
      <c r="O383" s="104">
        <f t="shared" si="147"/>
        <v>1736.2099999999996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108759.31</v>
      </c>
      <c r="D384" s="105">
        <f t="shared" ref="D384" si="148">SUM(D362:D383)</f>
        <v>227870.31</v>
      </c>
      <c r="E384" s="105">
        <f>SUM(E362:E383)</f>
        <v>119111.00000000003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195067.77000000005</v>
      </c>
      <c r="O384" s="105">
        <f>SUM(O362:O383)</f>
        <v>119111.00000000003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'!F81</f>
        <v>1551.92</v>
      </c>
      <c r="D387" s="104">
        <f>'BSC (Dome)'!P61</f>
        <v>2798.19</v>
      </c>
      <c r="E387" s="104">
        <f>D387-C387</f>
        <v>1246.27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2179</v>
      </c>
      <c r="O387" s="104">
        <f>M387-K387</f>
        <v>1246.27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532</v>
      </c>
      <c r="C389" s="104">
        <f>'Comp YTD 2020-2019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'!F84</f>
        <v>0</v>
      </c>
      <c r="D390" s="104">
        <f>'BSC (Dome)'!P62</f>
        <v>2579.3024999999993</v>
      </c>
      <c r="E390" s="104">
        <f t="shared" si="151"/>
        <v>2579.3024999999993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'!F85</f>
        <v>3386.15</v>
      </c>
      <c r="D391" s="104">
        <f>'BSC (Dome)'!P63</f>
        <v>3588.6675</v>
      </c>
      <c r="E391" s="104">
        <f t="shared" si="151"/>
        <v>202.51749999999993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1398.7400000000002</v>
      </c>
      <c r="O391" s="104">
        <f t="shared" si="154"/>
        <v>202.51749999999993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'!F86</f>
        <v>179.83</v>
      </c>
      <c r="D392" s="104">
        <f>'BSC (Dome)'!P67</f>
        <v>801.15</v>
      </c>
      <c r="E392" s="104">
        <f t="shared" si="151"/>
        <v>621.31999999999994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888.37</v>
      </c>
      <c r="O392" s="104">
        <f t="shared" si="154"/>
        <v>621.31999999999994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'!F87</f>
        <v>1000</v>
      </c>
      <c r="D393" s="104">
        <f>'BSC (Dome)'!P68</f>
        <v>1800</v>
      </c>
      <c r="E393" s="104">
        <f t="shared" si="151"/>
        <v>800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1400</v>
      </c>
      <c r="O393" s="104">
        <f t="shared" si="154"/>
        <v>800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'!F88</f>
        <v>4500</v>
      </c>
      <c r="D394" s="104">
        <f>'BSC (Dome)'!P69</f>
        <v>13500</v>
      </c>
      <c r="E394" s="104">
        <f t="shared" si="151"/>
        <v>9000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13500</v>
      </c>
      <c r="O394" s="104">
        <f t="shared" si="154"/>
        <v>9000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'!F92</f>
        <v>2123.89</v>
      </c>
      <c r="D398" s="104">
        <f>'BSC (Dome)'!P65</f>
        <v>1294.8974999999998</v>
      </c>
      <c r="E398" s="104">
        <f t="shared" si="151"/>
        <v>-828.99250000000006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-397.36000000000035</v>
      </c>
      <c r="O398" s="104">
        <f t="shared" si="154"/>
        <v>-828.99250000000006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'!F93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'!F94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'!F95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'!F96</f>
        <v>8438.91</v>
      </c>
      <c r="D402" s="104">
        <f>'BSC (Dome)'!P66</f>
        <v>10520.550000000001</v>
      </c>
      <c r="E402" s="104">
        <f t="shared" si="151"/>
        <v>2081.6400000000012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'!F97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'!F98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'!F100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'!F101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21180.699999999997</v>
      </c>
      <c r="D407" s="105">
        <f>SUM(D387:D406)</f>
        <v>39314.2575</v>
      </c>
      <c r="E407" s="105">
        <f>SUM(E387:E406)</f>
        <v>18133.557500000003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31238.309999999998</v>
      </c>
      <c r="O407" s="105">
        <f>SUM(O387:O406)</f>
        <v>18133.557500000003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268685.63</v>
      </c>
      <c r="D409" s="106">
        <f>D359+D384+D407</f>
        <v>576696.22499999998</v>
      </c>
      <c r="E409" s="106">
        <f t="shared" si="155"/>
        <v>308010.59499999997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500242.67</v>
      </c>
      <c r="O409" s="106">
        <f>O359+O384+O407</f>
        <v>308010.59499999997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'!F107</f>
        <v>21000</v>
      </c>
      <c r="D412" s="104">
        <f>'BSC (Dome)'!P77+'BSC (Dome)'!P78</f>
        <v>48750</v>
      </c>
      <c r="E412" s="104">
        <f>D412-C412</f>
        <v>27750</v>
      </c>
      <c r="G412" s="104">
        <f>'BSC (Dome)'!Q77+'BSC (Dome)'!Q78</f>
        <v>65000</v>
      </c>
      <c r="I412" s="104">
        <f>'BSC (Dome)'!R77+'BSC (Dome)'!R78</f>
        <v>65000</v>
      </c>
      <c r="K412" s="104">
        <f>G412-D412</f>
        <v>16250</v>
      </c>
      <c r="M412" s="104">
        <f t="shared" ref="M412" si="156">G412-C412</f>
        <v>44000</v>
      </c>
      <c r="O412" s="104">
        <f>M412-K412</f>
        <v>27750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'!F108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'!F109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'!F110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'!F111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'!F112</f>
        <v>2520.83</v>
      </c>
      <c r="D417" s="104">
        <v>0</v>
      </c>
      <c r="E417" s="104">
        <f t="shared" si="157"/>
        <v>-2520.83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-2520.83</v>
      </c>
      <c r="O417" s="104">
        <f t="shared" si="160"/>
        <v>-2520.83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'!F113</f>
        <v>-37133.229999999996</v>
      </c>
      <c r="D418" s="104">
        <f>'BSC (Dome)'!P81+'BSC (Dome)'!P82</f>
        <v>-86864.625</v>
      </c>
      <c r="E418" s="104">
        <f t="shared" si="157"/>
        <v>-49731.395000000004</v>
      </c>
      <c r="G418" s="104">
        <f>'BSC (Dome)'!Q81+'BSC (Dome)'!Q82</f>
        <v>-115819.5</v>
      </c>
      <c r="I418" s="104">
        <f>'BSC (Dome)'!R81+'BSC (Dome)'!R82</f>
        <v>-115819.5</v>
      </c>
      <c r="K418" s="104">
        <f t="shared" si="158"/>
        <v>-28954.875</v>
      </c>
      <c r="M418" s="104">
        <f t="shared" si="159"/>
        <v>-78686.27</v>
      </c>
      <c r="O418" s="104">
        <f t="shared" si="160"/>
        <v>-49731.395000000004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'!F115</f>
        <v>0</v>
      </c>
      <c r="D419" s="104">
        <f>'BSC (Dome)'!P80</f>
        <v>1434.7349999999999</v>
      </c>
      <c r="E419" s="104">
        <f t="shared" si="157"/>
        <v>1434.7349999999999</v>
      </c>
      <c r="G419" s="104">
        <f>'BSC (Dome)'!Q80</f>
        <v>1912.98</v>
      </c>
      <c r="I419" s="104">
        <f>'BSC (Dome)'!R80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'!F117</f>
        <v>0</v>
      </c>
      <c r="D420" s="104">
        <f>CNT!P614</f>
        <v>0</v>
      </c>
      <c r="E420" s="104">
        <f t="shared" si="157"/>
        <v>0</v>
      </c>
      <c r="G420" s="104">
        <f>CNT!Q614</f>
        <v>0</v>
      </c>
      <c r="I420" s="104">
        <f>CNT!R614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'!F118</f>
        <v>0</v>
      </c>
      <c r="D421" s="104">
        <f>CNT!P615</f>
        <v>0</v>
      </c>
      <c r="E421" s="104">
        <f t="shared" si="157"/>
        <v>0</v>
      </c>
      <c r="G421" s="104">
        <f>CNT!Q615</f>
        <v>0</v>
      </c>
      <c r="I421" s="104">
        <f>CNT!R615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'!F119</f>
        <v>0</v>
      </c>
      <c r="D422" s="104">
        <f>CNT!P617</f>
        <v>0</v>
      </c>
      <c r="E422" s="104">
        <f t="shared" si="157"/>
        <v>0</v>
      </c>
      <c r="G422" s="104">
        <f>CNT!Q617</f>
        <v>0</v>
      </c>
      <c r="I422" s="104">
        <f>CNT!R617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'!F120</f>
        <v>0</v>
      </c>
      <c r="D423" s="104">
        <f>CNT!P616</f>
        <v>0</v>
      </c>
      <c r="E423" s="104">
        <f t="shared" si="157"/>
        <v>0</v>
      </c>
      <c r="G423" s="104">
        <f>CNT!Q616</f>
        <v>0</v>
      </c>
      <c r="I423" s="104">
        <f>CNT!R616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'!F121</f>
        <v>0</v>
      </c>
      <c r="D424" s="104">
        <f>CNT!P618</f>
        <v>0</v>
      </c>
      <c r="E424" s="104">
        <f t="shared" si="157"/>
        <v>0</v>
      </c>
      <c r="G424" s="104">
        <f>CNT!Q618</f>
        <v>0</v>
      </c>
      <c r="I424" s="104">
        <f>CNT!R618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-13612.399999999994</v>
      </c>
      <c r="D425" s="105">
        <f>SUM(D412:D424)</f>
        <v>-36679.89</v>
      </c>
      <c r="E425" s="105">
        <f t="shared" si="161"/>
        <v>-23067.490000000005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-35294.120000000003</v>
      </c>
      <c r="O425" s="105">
        <f>SUM(O412:O424)</f>
        <v>-23067.490000000005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653.60000000000582</v>
      </c>
      <c r="D427" s="107">
        <f>D344-D409+D425</f>
        <v>-20170.267499999944</v>
      </c>
      <c r="E427" s="107">
        <f>E344-E409+E425</f>
        <v>-641332.30249999999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-27547.289999999812</v>
      </c>
      <c r="O427" s="107">
        <f>-(-O344-O409+O425)</f>
        <v>641332.30249999999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530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532</v>
      </c>
      <c r="C495" s="113">
        <f>'Comp YTD 2020-2019 '!E83</f>
        <v>0</v>
      </c>
      <c r="D495" s="113">
        <f>Lending!P9</f>
        <v>3225</v>
      </c>
      <c r="E495" s="113">
        <f t="shared" si="193"/>
        <v>3225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4300</v>
      </c>
      <c r="O495" s="113">
        <f t="shared" si="196"/>
        <v>3225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'!E84</f>
        <v>7.8900000000000006</v>
      </c>
      <c r="D496" s="113">
        <f>Lending!P10</f>
        <v>907.12124999999992</v>
      </c>
      <c r="E496" s="113">
        <f t="shared" si="193"/>
        <v>899.23124999999993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1201.6049999999998</v>
      </c>
      <c r="O496" s="113">
        <f t="shared" si="196"/>
        <v>899.23124999999982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'!E87</f>
        <v>1000</v>
      </c>
      <c r="D499" s="113">
        <f>Lending!P13</f>
        <v>1440</v>
      </c>
      <c r="E499" s="113">
        <f t="shared" si="193"/>
        <v>440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920</v>
      </c>
      <c r="O499" s="113">
        <f t="shared" si="196"/>
        <v>440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1007.89</v>
      </c>
      <c r="D513" s="114">
        <f>SUM(D493:D512)</f>
        <v>5572.1212500000001</v>
      </c>
      <c r="E513" s="114">
        <f>SUM(E493:E512)</f>
        <v>4564.2312499999998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6421.6049999999996</v>
      </c>
      <c r="O513" s="114">
        <f>SUM(O493:O512)</f>
        <v>4564.2312499999998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1117.8899999999999</v>
      </c>
      <c r="D515" s="115">
        <f t="shared" si="197"/>
        <v>5653.8712500000001</v>
      </c>
      <c r="E515" s="115">
        <f t="shared" si="197"/>
        <v>4535.9812499999998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6420.6049999999996</v>
      </c>
      <c r="O515" s="115">
        <f t="shared" si="197"/>
        <v>4535.9812499999998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'!E112</f>
        <v>22848.980000000003</v>
      </c>
      <c r="D523" s="113">
        <f>Lending!P17</f>
        <v>38946.944999999992</v>
      </c>
      <c r="E523" s="113">
        <f t="shared" si="200"/>
        <v>16097.964999999989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29080.279999999992</v>
      </c>
      <c r="O523" s="113">
        <f t="shared" si="203"/>
        <v>16097.964999999989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'!E113</f>
        <v>-5255.35</v>
      </c>
      <c r="D524" s="113">
        <f>Lending!P18</f>
        <v>-4059.1950000000002</v>
      </c>
      <c r="E524" s="113">
        <f>D524-C524</f>
        <v>1196.1550000000002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-156.90999999999985</v>
      </c>
      <c r="O524" s="113">
        <f t="shared" si="203"/>
        <v>1196.1550000000002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17593.630000000005</v>
      </c>
      <c r="D531" s="114">
        <f t="shared" si="204"/>
        <v>34887.749999999993</v>
      </c>
      <c r="E531" s="114">
        <f t="shared" si="204"/>
        <v>17294.119999999988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28923.369999999992</v>
      </c>
      <c r="O531" s="114">
        <f>SUM(O518:O530)</f>
        <v>17294.119999999988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16475.740000000005</v>
      </c>
      <c r="D533" s="116">
        <f t="shared" si="205"/>
        <v>29233.878749999993</v>
      </c>
      <c r="E533" s="116">
        <f>E450-E515+E531</f>
        <v>12758.138749999987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22502.764999999992</v>
      </c>
      <c r="O533" s="116">
        <f t="shared" ref="O533" si="210">O450-O515+O531</f>
        <v>12758.138749999987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CNT!P652+CNT!P653+CNT!P664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CNT!P654+CNT!P665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CNT!P655+CNT!P666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CNT!P656+CNT!P667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CNT!P660+CNT!P670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CNT!P671+CNT!P672+CNT!P673+CNT!P674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CNT!P657+CNT!P658+CNT!P659+CNT!P661+CNT!P662+CNT!P663+CNT!P668+CNT!P669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CNT!P679+CNT!P684+CNT!P696+CNT!P700+CNT!P701+CNT!P705+CNT!P709+CNT!P716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CNT!P680+CNT!P685+CNT!P697+CNT!P702+CNT!P706+CNT!P710+CNT!P717+CNT!P713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CNT!P681+CNT!P686+CNT!P698+CNT!P703+CNT!P707+CNT!P711+CNT!P718+CNT!P715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CNT!P682+CNT!P687+CNT!P699+CNT!P704+CNT!P708+CNT!P712+CNT!P719+CNT!P720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CNT!P683+CNT!P690+CNT!P714+CNT!P725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CNT!P736+CNT!P737+CNT!P738+CNT!P739+CNT!P740+CNT!P741+CNT!P742+CNT!P743+CNT!P744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CNT!P677+CNT!P688+CNT!P689+CNT!P691+CNT!P692+CNT!P693+CNT!P694+CNT!P695+CNT!P721+CNT!P722+CNT!P723+CNT!P724+CNT!P726+CNT!P727+CNT!P728+CNT!P729+CNT!P730+CNT!P731+CNT!P732+CNT!P733+CNT!P734+CNT!P735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D554-CNT!P745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CNT!P748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530</v>
      </c>
      <c r="C562" s="104">
        <v>0</v>
      </c>
      <c r="D562" s="104">
        <f>CNT!P749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CNT!P750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CNT!P751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CNT!P752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CNT!P753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CNT!P754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CNT!P755+CNT!P756+CNT!P759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CNT!P758+CNT!P757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+CNT!P787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CNT!P763+CNT!P762+CNT!P783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CNT!P764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CNT!P765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CNT!P766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CNT!P767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CNT!P768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CNT!P769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CNT!P780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CNT!P770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CNT!P771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CNT!P772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'!H67</f>
        <v>0</v>
      </c>
      <c r="D585" s="104">
        <f>'722 Bedford St'!P10</f>
        <v>390</v>
      </c>
      <c r="E585" s="104">
        <f t="shared" si="233"/>
        <v>390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520</v>
      </c>
      <c r="O585" s="104">
        <f t="shared" si="236"/>
        <v>390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'!B598</f>
        <v>0</v>
      </c>
      <c r="D586" s="104">
        <f>CNT!P815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'!B599</f>
        <v>0</v>
      </c>
      <c r="D587" s="104">
        <f>CNT!P773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'!B600</f>
        <v>0</v>
      </c>
      <c r="D588" s="104">
        <f>CNT!P774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'!B601</f>
        <v>0</v>
      </c>
      <c r="D589" s="104">
        <f>CNT!P776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'!H65</f>
        <v>58185.68</v>
      </c>
      <c r="D590" s="104">
        <f>'722 Bedford St'!P11</f>
        <v>132625.47000000003</v>
      </c>
      <c r="E590" s="104">
        <f t="shared" si="233"/>
        <v>74439.790000000037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118648.28000000003</v>
      </c>
      <c r="O590" s="104">
        <f t="shared" si="236"/>
        <v>74439.790000000037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'!B603</f>
        <v>0</v>
      </c>
      <c r="D591" s="104">
        <f>CNT!P798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'!B605</f>
        <v>0</v>
      </c>
      <c r="D592" s="104">
        <f>CNT!P797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'!B606</f>
        <v>0</v>
      </c>
      <c r="D593" s="104">
        <f>CNT!P775+CNT!P781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'!B607</f>
        <v>0</v>
      </c>
      <c r="D594" s="104">
        <f>CNT!P778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'!B608</f>
        <v>0</v>
      </c>
      <c r="D595" s="104">
        <f>CNT!P779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58185.68</v>
      </c>
      <c r="D596" s="105">
        <f t="shared" ref="D596" si="237">SUM(D574:D595)</f>
        <v>133015.47000000003</v>
      </c>
      <c r="E596" s="105">
        <f t="shared" ref="E596" si="238">SUM(E574:E595)</f>
        <v>74829.790000000037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119168.28000000003</v>
      </c>
      <c r="O596" s="105">
        <f>SUM(O574:O595)</f>
        <v>74829.790000000037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'!B618</f>
        <v>0</v>
      </c>
      <c r="D599" s="104">
        <f>CNT!P788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'!B619</f>
        <v>0</v>
      </c>
      <c r="D600" s="104">
        <f>CNT!P786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532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'!B622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'!B623</f>
        <v>0</v>
      </c>
      <c r="D604" s="104">
        <f>CNT!P791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'!H87</f>
        <v>1333.32</v>
      </c>
      <c r="D605" s="104">
        <f>CNT!P809</f>
        <v>0</v>
      </c>
      <c r="E605" s="104">
        <f t="shared" si="241"/>
        <v>-1333.32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-1333.32</v>
      </c>
      <c r="O605" s="104">
        <f t="shared" si="244"/>
        <v>-1333.32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'!B625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'!B626</f>
        <v>0</v>
      </c>
      <c r="D607" s="104">
        <f>CNT!P808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'!B627</f>
        <v>0</v>
      </c>
      <c r="D608" s="104">
        <f>CNT!P811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'!B628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'!B629</f>
        <v>0</v>
      </c>
      <c r="D610" s="104">
        <f>CNT!P795+CNT!P813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'!B630</f>
        <v>0</v>
      </c>
      <c r="D611" s="104">
        <f>CNT!P799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'!B631</f>
        <v>0</v>
      </c>
      <c r="D612" s="104">
        <f>CNT!P800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'!B632</f>
        <v>0</v>
      </c>
      <c r="D613" s="104">
        <f>CNT!P790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'!B633</f>
        <v>0</v>
      </c>
      <c r="D614" s="104">
        <f>CNT!P796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'!B634</f>
        <v>0</v>
      </c>
      <c r="D615" s="104">
        <f>CNT!P802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'!B635</f>
        <v>0</v>
      </c>
      <c r="D616" s="104">
        <f>CNT!P803+CNT!P814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'!B636</f>
        <v>0</v>
      </c>
      <c r="D617" s="104">
        <f>CNT!P804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'!B637</f>
        <v>0</v>
      </c>
      <c r="D618" s="104">
        <f>CNT!P805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1333.32</v>
      </c>
      <c r="D619" s="105">
        <f>SUM(D599:D618)</f>
        <v>2628.9375</v>
      </c>
      <c r="E619" s="105">
        <f>SUM(E599:E618)</f>
        <v>1295.6175000000001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2171.9300000000003</v>
      </c>
      <c r="O619" s="105">
        <f>SUM(O599:O618)</f>
        <v>1295.6175000000001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59519</v>
      </c>
      <c r="D621" s="106">
        <f>D571+D596+D619</f>
        <v>135644.40750000003</v>
      </c>
      <c r="E621" s="106">
        <f t="shared" si="245"/>
        <v>76125.40750000003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121340.21000000002</v>
      </c>
      <c r="O621" s="106">
        <f>O571+O596+O619</f>
        <v>76125.40750000003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'!H107</f>
        <v>130000</v>
      </c>
      <c r="D624" s="104">
        <f>'722 Bedford St'!P22+'722 Bedford St'!P23</f>
        <v>292500</v>
      </c>
      <c r="E624" s="104">
        <f>D624-C624</f>
        <v>162500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260000</v>
      </c>
      <c r="O624" s="104">
        <f>M624-K624</f>
        <v>162500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'!B644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'!B645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'!B646</f>
        <v>0</v>
      </c>
      <c r="D627" s="104">
        <f>CNT!P821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'!B647</f>
        <v>0</v>
      </c>
      <c r="D628" s="104">
        <f>CNT!P822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'!B648</f>
        <v>0</v>
      </c>
      <c r="D629" s="104">
        <f>CNT!P823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'!H113</f>
        <v>0</v>
      </c>
      <c r="D630" s="104">
        <f>'722 Bedford St'!P27</f>
        <v>-117000</v>
      </c>
      <c r="E630" s="104">
        <f t="shared" si="248"/>
        <v>-117000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-156000</v>
      </c>
      <c r="O630" s="104">
        <f t="shared" si="251"/>
        <v>-117000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'!B650</f>
        <v>0</v>
      </c>
      <c r="D631" s="104">
        <f>CNT!P825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'!B651</f>
        <v>0</v>
      </c>
      <c r="D632" s="104">
        <f>CNT!P826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'!B652</f>
        <v>0</v>
      </c>
      <c r="D633" s="104">
        <f>CNT!P827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'!B653</f>
        <v>0</v>
      </c>
      <c r="D634" s="104">
        <f>CNT!P829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'!B654</f>
        <v>0</v>
      </c>
      <c r="D635" s="104">
        <f>CNT!P828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'!B656</f>
        <v>0</v>
      </c>
      <c r="D636" s="104">
        <f>CNT!P830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130000</v>
      </c>
      <c r="D637" s="105">
        <f t="shared" si="252"/>
        <v>175500</v>
      </c>
      <c r="E637" s="105">
        <f t="shared" si="252"/>
        <v>45500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104000</v>
      </c>
      <c r="O637" s="105">
        <f>SUM(O624:O636)</f>
        <v>45500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70481</v>
      </c>
      <c r="D639" s="107">
        <f t="shared" si="253"/>
        <v>39855.59249999997</v>
      </c>
      <c r="E639" s="107">
        <f>E556-E621+E637</f>
        <v>-30625.40750000003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-17340.210000000021</v>
      </c>
      <c r="O639" s="107">
        <f t="shared" ref="O639" si="258">O556-O621+O637</f>
        <v>-30625.40750000003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'!B655</f>
        <v>0</v>
      </c>
      <c r="D643" s="89">
        <f>CNT!P758+CNT!P759+CNT!P770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'!B656</f>
        <v>0</v>
      </c>
      <c r="D644" s="89">
        <f>CNT!P760+CNT!P771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'!B657</f>
        <v>0</v>
      </c>
      <c r="D645" s="89">
        <f>CNT!P761+CNT!P772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'!B658</f>
        <v>0</v>
      </c>
      <c r="D646" s="89">
        <f>CNT!P762+CNT!P773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'!B659</f>
        <v>0</v>
      </c>
      <c r="D647" s="89">
        <f>CNT!P766+CNT!P776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'!B660</f>
        <v>0</v>
      </c>
      <c r="D648" s="89">
        <f>CNT!P777+CNT!P778+CNT!P779+CNT!P780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'!B661</f>
        <v>0</v>
      </c>
      <c r="D649" s="89">
        <f>CNT!P763+CNT!P764+CNT!P765+CNT!P767+CNT!P768+CNT!P769+CNT!P774+CNT!P775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'!B665</f>
        <v>0</v>
      </c>
      <c r="D653" s="89">
        <f>CNT!P785+CNT!P790+CNT!P802+CNT!P806+CNT!P807+CNT!P811+CNT!P815+CNT!P822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'!B666</f>
        <v>0</v>
      </c>
      <c r="D654" s="89">
        <f>CNT!P786+CNT!P791+CNT!P803+CNT!P808+CNT!P812+CNT!P816+CNT!P823+CNT!P819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'!B667</f>
        <v>0</v>
      </c>
      <c r="D655" s="89">
        <f>CNT!P787+CNT!P792+CNT!P804+CNT!P809+CNT!P813+CNT!P817+CNT!P824+CNT!P821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'!B668</f>
        <v>0</v>
      </c>
      <c r="D656" s="89">
        <f>CNT!P788+CNT!P793+CNT!P805+CNT!P810+CNT!P814+CNT!P818+CNT!P825+CNT!P826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'!B669</f>
        <v>0</v>
      </c>
      <c r="D657" s="89">
        <f>CNT!P789+CNT!P796+CNT!P820+CNT!P831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'!B670</f>
        <v>0</v>
      </c>
      <c r="D658" s="89">
        <f>CNT!P842+CNT!P843+CNT!P844+CNT!P845+CNT!P846+CNT!P847+CNT!P848+CNT!P849+CNT!P850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'!B671</f>
        <v>0</v>
      </c>
      <c r="D659" s="89">
        <f>CNT!P783+CNT!P794+CNT!P795+CNT!P797+CNT!P798+CNT!P799+CNT!P800+CNT!P801+CNT!P827+CNT!P828+CNT!P829+CNT!P830+CNT!P832+CNT!P833+CNT!P834+CNT!P835+CNT!P836+CNT!P837+CNT!P838+CNT!P839+CNT!P840+CNT!P841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D660-CNT!P851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'!B680</f>
        <v>0</v>
      </c>
      <c r="D667" s="89">
        <f>CNT!P854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530</v>
      </c>
      <c r="C668" s="89">
        <f>'Comp YTD 2020-2019 '!B681</f>
        <v>0</v>
      </c>
      <c r="D668" s="89">
        <f>CNT!P855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'!B682</f>
        <v>0</v>
      </c>
      <c r="D669" s="89">
        <f>CNT!P856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'!B683</f>
        <v>0</v>
      </c>
      <c r="D670" s="89">
        <f>CNT!P857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'!B684</f>
        <v>0</v>
      </c>
      <c r="D671" s="89">
        <f>CNT!P858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'!B685</f>
        <v>0</v>
      </c>
      <c r="D672" s="89">
        <f>CNT!P859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'!B686</f>
        <v>0</v>
      </c>
      <c r="D673" s="89">
        <f>CNT!P860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'!B687</f>
        <v>0</v>
      </c>
      <c r="D674" s="89">
        <f>CNT!P861+CNT!P862+CNT!P865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'!B688</f>
        <v>0</v>
      </c>
      <c r="D675" s="89">
        <f>CNT!P864+CNT!P863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'!B689</f>
        <v>0</v>
      </c>
      <c r="D676" s="89">
        <f>+CNT!P893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'!B693</f>
        <v>0</v>
      </c>
      <c r="D680" s="89">
        <f>CNT!P869+CNT!P868+CNT!P889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'!B694</f>
        <v>0</v>
      </c>
      <c r="D681" s="89">
        <f>CNT!P870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'!B695</f>
        <v>0</v>
      </c>
      <c r="D682" s="89">
        <f>CNT!P871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'!B696</f>
        <v>0</v>
      </c>
      <c r="D683" s="89">
        <f>CNT!P872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'!B697</f>
        <v>0</v>
      </c>
      <c r="D684" s="89">
        <f>CNT!P873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'!B698</f>
        <v>0</v>
      </c>
      <c r="D685" s="89">
        <f>CNT!P874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'!B699</f>
        <v>0</v>
      </c>
      <c r="D686" s="89">
        <f>CNT!P875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'!B700</f>
        <v>0</v>
      </c>
      <c r="D687" s="89">
        <f>CNT!P886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'!B701</f>
        <v>0</v>
      </c>
      <c r="D688" s="89">
        <f>CNT!P876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'!B702</f>
        <v>0</v>
      </c>
      <c r="D689" s="89">
        <f>CNT!P877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'!B703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'!B710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'!B704</f>
        <v>0</v>
      </c>
      <c r="D692" s="89">
        <f>CNT!P921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'!B705</f>
        <v>0</v>
      </c>
      <c r="D693" s="89">
        <f>CNT!P879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'!B706</f>
        <v>0</v>
      </c>
      <c r="D694" s="89">
        <f>CNT!P880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'!B707</f>
        <v>0</v>
      </c>
      <c r="D695" s="89">
        <f>CNT!P882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'!G65</f>
        <v>37007.090000000004</v>
      </c>
      <c r="D696" s="89">
        <f>'Oliari Co.'!P14</f>
        <v>83259.892500000016</v>
      </c>
      <c r="E696" s="89">
        <f t="shared" si="281"/>
        <v>46252.802500000013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74006.100000000035</v>
      </c>
      <c r="O696" s="89">
        <f t="shared" si="284"/>
        <v>46252.80250000002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'!B709</f>
        <v>0</v>
      </c>
      <c r="D697" s="89">
        <f>CNT!P904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'!B711</f>
        <v>0</v>
      </c>
      <c r="D698" s="89">
        <f>CNT!P903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'!B712</f>
        <v>0</v>
      </c>
      <c r="D699" s="89">
        <f>CNT!P881+CNT!P887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'!B713</f>
        <v>0</v>
      </c>
      <c r="D700" s="89">
        <f>CNT!P884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'!B714</f>
        <v>0</v>
      </c>
      <c r="D701" s="89">
        <f>CNT!P885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37007.090000000004</v>
      </c>
      <c r="D702" s="90">
        <f t="shared" ref="D702" si="285">SUM(D680:D701)</f>
        <v>83649.892500000016</v>
      </c>
      <c r="E702" s="90">
        <f t="shared" ref="E702" si="286">SUM(E680:E701)</f>
        <v>46642.802500000013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74526.100000000035</v>
      </c>
      <c r="O702" s="90">
        <f>SUM(O680:O701)</f>
        <v>46642.80250000002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'!B724</f>
        <v>0</v>
      </c>
      <c r="D705" s="89">
        <f>CNT!P894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'!B725</f>
        <v>0</v>
      </c>
      <c r="D706" s="89">
        <f>CNT!P892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532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'!B727</f>
        <v>0</v>
      </c>
      <c r="D708" s="89">
        <f>CNT!P895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'!B728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'!B729</f>
        <v>0</v>
      </c>
      <c r="D710" s="89">
        <f>CNT!P897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'!G87</f>
        <v>1000</v>
      </c>
      <c r="D711" s="89">
        <f>'Oliari Co.'!P18</f>
        <v>2583.75</v>
      </c>
      <c r="E711" s="89">
        <f t="shared" si="289"/>
        <v>1583.75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2445</v>
      </c>
      <c r="O711" s="89">
        <f t="shared" si="292"/>
        <v>1583.75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'!B731</f>
        <v>0</v>
      </c>
      <c r="D712" s="89">
        <f>CNT!P916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'!B732</f>
        <v>0</v>
      </c>
      <c r="D713" s="89">
        <f>CNT!P914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'!B733</f>
        <v>0</v>
      </c>
      <c r="D714" s="89">
        <f>CNT!P917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'!B734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'!B735</f>
        <v>0</v>
      </c>
      <c r="D716" s="89">
        <f>CNT!P901+CNT!P919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'!B736</f>
        <v>0</v>
      </c>
      <c r="D717" s="89">
        <f>CNT!P905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'!B737</f>
        <v>0</v>
      </c>
      <c r="D718" s="89">
        <f>CNT!P906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'!B738</f>
        <v>0</v>
      </c>
      <c r="D719" s="89">
        <f>CNT!P896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'!B739</f>
        <v>0</v>
      </c>
      <c r="D720" s="89">
        <f>CNT!P902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'!B740</f>
        <v>0</v>
      </c>
      <c r="D721" s="89">
        <f>CNT!P908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'!B741</f>
        <v>0</v>
      </c>
      <c r="D722" s="89">
        <f>CNT!P909+CNT!P920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'!B742</f>
        <v>0</v>
      </c>
      <c r="D723" s="89">
        <f>CNT!P910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'!B743</f>
        <v>0</v>
      </c>
      <c r="D724" s="89">
        <f>CNT!P911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1000</v>
      </c>
      <c r="D725" s="90">
        <f>SUM(D705:D724)</f>
        <v>2583.75</v>
      </c>
      <c r="E725" s="90">
        <f>SUM(E705:E724)</f>
        <v>1583.75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2445</v>
      </c>
      <c r="O725" s="90">
        <f>SUM(O705:O724)</f>
        <v>1583.75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38007.090000000004</v>
      </c>
      <c r="D727" s="91">
        <f t="shared" si="293"/>
        <v>86233.642500000016</v>
      </c>
      <c r="E727" s="91">
        <f t="shared" si="293"/>
        <v>48226.552500000013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76971.100000000035</v>
      </c>
      <c r="O727" s="91">
        <f t="shared" si="293"/>
        <v>48226.55250000002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'!G107</f>
        <v>85800</v>
      </c>
      <c r="D730" s="89">
        <f>'Oliari Co.'!P24+'Oliari Co.'!P25+'Oliari Co.'!P26</f>
        <v>204300</v>
      </c>
      <c r="E730" s="89">
        <f>D730-C730</f>
        <v>118500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186600</v>
      </c>
      <c r="O730" s="89">
        <f>M730-K730</f>
        <v>118500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'!B750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'!B751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'!B752</f>
        <v>0</v>
      </c>
      <c r="D733" s="89">
        <f>CNT!P927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'!B753</f>
        <v>0</v>
      </c>
      <c r="D734" s="89">
        <f>CNT!P928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'!G112</f>
        <v>17940.059999999998</v>
      </c>
      <c r="D735" s="89">
        <f>'Oliari Co.'!P29</f>
        <v>32758.110000000004</v>
      </c>
      <c r="E735" s="89">
        <f t="shared" si="296"/>
        <v>14818.050000000007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25737.420000000006</v>
      </c>
      <c r="O735" s="89">
        <f t="shared" si="299"/>
        <v>14818.050000000007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'!G113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'!B756</f>
        <v>0</v>
      </c>
      <c r="D737" s="89">
        <f>CNT!P931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'!B757</f>
        <v>0</v>
      </c>
      <c r="D738" s="89">
        <f>CNT!P932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'!B758</f>
        <v>0</v>
      </c>
      <c r="D739" s="89">
        <f>CNT!P933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'!B759</f>
        <v>0</v>
      </c>
      <c r="D740" s="89">
        <f>CNT!P935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'!B760</f>
        <v>0</v>
      </c>
      <c r="D741" s="89">
        <f>CNT!P934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'!B762</f>
        <v>0</v>
      </c>
      <c r="D742" s="89">
        <f>CNT!P936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103740.06</v>
      </c>
      <c r="D743" s="90">
        <f t="shared" ref="D743:E743" si="300">SUM(D730:D742)</f>
        <v>229309.74000000002</v>
      </c>
      <c r="E743" s="90">
        <f t="shared" si="300"/>
        <v>125569.68000000002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202006.26</v>
      </c>
      <c r="O743" s="90">
        <f>SUM(O730:O742)</f>
        <v>125569.68000000002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65732.97</v>
      </c>
      <c r="D745" s="92">
        <f t="shared" si="301"/>
        <v>143076.0975</v>
      </c>
      <c r="E745" s="92">
        <f>E662-E727+E743</f>
        <v>77343.127500000002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125035.15999999997</v>
      </c>
      <c r="O745" s="92">
        <f t="shared" ref="O745" si="306">O662-O727+O743</f>
        <v>77343.127500000002</v>
      </c>
    </row>
    <row r="746" spans="1:15" ht="15.75" thickTop="1" x14ac:dyDescent="0.25"/>
    <row r="747" spans="1:15" s="22" customFormat="1" ht="42.75" customHeight="1" x14ac:dyDescent="0.5">
      <c r="A747" s="117" t="s">
        <v>551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551</v>
      </c>
      <c r="B748" s="120" t="s">
        <v>214</v>
      </c>
      <c r="C748" s="121">
        <f>C8+C114+C220+C325+C431+C537+C643</f>
        <v>1103921218.0500002</v>
      </c>
      <c r="D748" s="121">
        <f>D8+D114+D220+D325+D431+D537+D643</f>
        <v>958417694.37416673</v>
      </c>
      <c r="E748" s="121">
        <f>D748-C748</f>
        <v>-145503523.67583346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182607598.93999982</v>
      </c>
      <c r="O748" s="121">
        <f>M748-K748</f>
        <v>-145503523.67583346</v>
      </c>
    </row>
    <row r="749" spans="1:15" s="22" customFormat="1" ht="42.75" customHeight="1" x14ac:dyDescent="0.5">
      <c r="A749" s="117" t="s">
        <v>551</v>
      </c>
      <c r="B749" s="120" t="s">
        <v>215</v>
      </c>
      <c r="C749" s="121">
        <f t="shared" ref="C749:D749" si="307">C9+C115+C221+C326+C432+C538+C644</f>
        <v>1229191032.1300001</v>
      </c>
      <c r="D749" s="121">
        <f t="shared" si="307"/>
        <v>2568831076.2266669</v>
      </c>
      <c r="E749" s="121">
        <f t="shared" ref="E749:E752" si="308">D749-C749</f>
        <v>1339640044.0966668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2196463977.6300001</v>
      </c>
      <c r="O749" s="121">
        <f>M749-K749</f>
        <v>1339640044.0966668</v>
      </c>
    </row>
    <row r="750" spans="1:15" s="22" customFormat="1" ht="42.75" customHeight="1" x14ac:dyDescent="0.5">
      <c r="A750" s="117" t="s">
        <v>551</v>
      </c>
      <c r="B750" s="120" t="s">
        <v>216</v>
      </c>
      <c r="C750" s="121">
        <f t="shared" ref="C750:D750" si="313">C10+C116+C222+C327+C433+C539+C645</f>
        <v>15127411.789999999</v>
      </c>
      <c r="D750" s="121">
        <f t="shared" si="313"/>
        <v>12880069.705</v>
      </c>
      <c r="E750" s="121">
        <f t="shared" si="308"/>
        <v>-2247342.084999999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2097293.9300000034</v>
      </c>
      <c r="O750" s="121">
        <f t="shared" ref="O750:O754" si="314">M750-K750</f>
        <v>-2247342.084999999</v>
      </c>
    </row>
    <row r="751" spans="1:15" s="22" customFormat="1" ht="42.75" customHeight="1" x14ac:dyDescent="0.5">
      <c r="A751" s="117" t="s">
        <v>551</v>
      </c>
      <c r="B751" s="120" t="s">
        <v>413</v>
      </c>
      <c r="C751" s="121">
        <f t="shared" ref="C751:D751" si="315">C11+C117+C223+C328+C434+C540+C646</f>
        <v>52697182.769999996</v>
      </c>
      <c r="D751" s="121">
        <f t="shared" si="315"/>
        <v>16289248.325833334</v>
      </c>
      <c r="E751" s="121">
        <f t="shared" si="308"/>
        <v>-36407934.44416666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-30973887.579999994</v>
      </c>
      <c r="O751" s="121">
        <f t="shared" si="314"/>
        <v>-36407934.44416666</v>
      </c>
    </row>
    <row r="752" spans="1:15" s="22" customFormat="1" ht="42.75" customHeight="1" x14ac:dyDescent="0.5">
      <c r="A752" s="117" t="s">
        <v>551</v>
      </c>
      <c r="B752" s="120" t="s">
        <v>217</v>
      </c>
      <c r="C752" s="121">
        <f t="shared" ref="C752:D752" si="316">C12+C118+C224+C329+C435+C541+C647</f>
        <v>20715619.399999999</v>
      </c>
      <c r="D752" s="121">
        <f t="shared" si="316"/>
        <v>5047279.0674999999</v>
      </c>
      <c r="E752" s="121">
        <f t="shared" si="308"/>
        <v>-15668340.3325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-13985398.419999998</v>
      </c>
      <c r="O752" s="121">
        <f>M752-K752</f>
        <v>-15668340.3325</v>
      </c>
    </row>
    <row r="753" spans="1:15" s="22" customFormat="1" ht="42.75" customHeight="1" x14ac:dyDescent="0.5">
      <c r="A753" s="117" t="s">
        <v>551</v>
      </c>
      <c r="B753" s="120" t="s">
        <v>218</v>
      </c>
      <c r="C753" s="121">
        <f t="shared" ref="C753:D753" si="317">C13+C119+C225+C330+C436+C542+C648</f>
        <v>36663046.119999997</v>
      </c>
      <c r="D753" s="121">
        <f t="shared" si="317"/>
        <v>7812557.333333333</v>
      </c>
      <c r="E753" s="121">
        <f>D753-C753</f>
        <v>-28850488.786666665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-26244192.439999998</v>
      </c>
      <c r="O753" s="121">
        <f t="shared" si="314"/>
        <v>-28850488.786666662</v>
      </c>
    </row>
    <row r="754" spans="1:15" s="22" customFormat="1" ht="42.75" customHeight="1" x14ac:dyDescent="0.5">
      <c r="A754" s="117" t="s">
        <v>551</v>
      </c>
      <c r="B754" s="120" t="s">
        <v>219</v>
      </c>
      <c r="C754" s="121">
        <f t="shared" ref="C754:D754" si="318">C14+C120+C226+C331+C437+C543+C649</f>
        <v>3060404.7800000003</v>
      </c>
      <c r="D754" s="121">
        <f t="shared" si="318"/>
        <v>6495265.2283333344</v>
      </c>
      <c r="E754" s="121">
        <f t="shared" ref="E754" si="319">D754-C754</f>
        <v>3434860.4483333342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5980094.2400000012</v>
      </c>
      <c r="O754" s="121">
        <f t="shared" si="314"/>
        <v>3434860.4483333342</v>
      </c>
    </row>
    <row r="755" spans="1:15" s="22" customFormat="1" ht="42.75" customHeight="1" x14ac:dyDescent="0.5">
      <c r="A755" s="117" t="s">
        <v>551</v>
      </c>
      <c r="B755" s="118" t="s">
        <v>220</v>
      </c>
      <c r="C755" s="122">
        <f>SUM(C748:C754)</f>
        <v>2461375915.0400004</v>
      </c>
      <c r="D755" s="122">
        <f>SUM(D748:D754)</f>
        <v>3575773190.2608342</v>
      </c>
      <c r="E755" s="122">
        <f>SUM(E748:E754)</f>
        <v>1114397275.2208333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2315945486.2999992</v>
      </c>
      <c r="O755" s="122">
        <f>SUM(O748:O754)</f>
        <v>1114397275.2208333</v>
      </c>
    </row>
    <row r="756" spans="1:15" s="22" customFormat="1" ht="42.75" customHeight="1" x14ac:dyDescent="0.5">
      <c r="A756" s="117" t="s">
        <v>551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551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551</v>
      </c>
      <c r="B758" s="120" t="s">
        <v>214</v>
      </c>
      <c r="C758" s="121">
        <f>C18+C124+C230+C335+C441+C547+C653</f>
        <v>1095220149.3499999</v>
      </c>
      <c r="D758" s="121">
        <f>D18+D124+D230+D335+D441+D547+D653</f>
        <v>970262366.27000034</v>
      </c>
      <c r="E758" s="121">
        <f>D758-C758</f>
        <v>-124957783.07999957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207053977.72000027</v>
      </c>
      <c r="O758" s="121">
        <f>M758-K758</f>
        <v>-124957783.07999957</v>
      </c>
    </row>
    <row r="759" spans="1:15" s="22" customFormat="1" ht="42.75" customHeight="1" x14ac:dyDescent="0.5">
      <c r="A759" s="117" t="s">
        <v>551</v>
      </c>
      <c r="B759" s="120" t="s">
        <v>215</v>
      </c>
      <c r="C759" s="121">
        <f t="shared" ref="C759:D764" si="320">C19+C125+C231+C336+C442+C548+C654</f>
        <v>1217923973.7600012</v>
      </c>
      <c r="D759" s="121">
        <f t="shared" si="320"/>
        <v>2564566293.6324997</v>
      </c>
      <c r="E759" s="121">
        <f t="shared" ref="E759:E764" si="321">D759-C759</f>
        <v>1346642319.8724985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2202008644.6599994</v>
      </c>
      <c r="O759" s="121">
        <f t="shared" ref="O759:O764" si="326">M759-K759</f>
        <v>1346642319.8724985</v>
      </c>
    </row>
    <row r="760" spans="1:15" s="22" customFormat="1" ht="42.75" customHeight="1" x14ac:dyDescent="0.5">
      <c r="A760" s="117" t="s">
        <v>551</v>
      </c>
      <c r="B760" s="120" t="s">
        <v>216</v>
      </c>
      <c r="C760" s="121">
        <f t="shared" si="320"/>
        <v>14767403.570000004</v>
      </c>
      <c r="D760" s="121">
        <f t="shared" si="320"/>
        <v>12312649.102500001</v>
      </c>
      <c r="E760" s="121">
        <f t="shared" si="321"/>
        <v>-2454754.4675000031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1698073.120000001</v>
      </c>
      <c r="O760" s="121">
        <f t="shared" si="326"/>
        <v>-2454754.4675000031</v>
      </c>
    </row>
    <row r="761" spans="1:15" s="22" customFormat="1" ht="42.75" customHeight="1" x14ac:dyDescent="0.5">
      <c r="A761" s="117" t="s">
        <v>551</v>
      </c>
      <c r="B761" s="120" t="s">
        <v>413</v>
      </c>
      <c r="C761" s="121">
        <f t="shared" si="320"/>
        <v>51937467.360000007</v>
      </c>
      <c r="D761" s="121">
        <f t="shared" si="320"/>
        <v>16393649.340000004</v>
      </c>
      <c r="E761" s="121">
        <f t="shared" si="321"/>
        <v>-35543818.020000003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-30075846.240000002</v>
      </c>
      <c r="O761" s="121">
        <f t="shared" si="326"/>
        <v>-35543818.020000003</v>
      </c>
    </row>
    <row r="762" spans="1:15" s="22" customFormat="1" ht="42.75" customHeight="1" x14ac:dyDescent="0.5">
      <c r="A762" s="117" t="s">
        <v>551</v>
      </c>
      <c r="B762" s="120" t="s">
        <v>217</v>
      </c>
      <c r="C762" s="121">
        <f t="shared" si="320"/>
        <v>19906002.350000001</v>
      </c>
      <c r="D762" s="121">
        <f t="shared" si="320"/>
        <v>4913896.7408333328</v>
      </c>
      <c r="E762" s="121">
        <f t="shared" si="321"/>
        <v>-14992105.609166669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-13352029.460000003</v>
      </c>
      <c r="O762" s="121">
        <f t="shared" si="326"/>
        <v>-14992105.609166669</v>
      </c>
    </row>
    <row r="763" spans="1:15" s="22" customFormat="1" ht="42.75" customHeight="1" x14ac:dyDescent="0.5">
      <c r="A763" s="117" t="s">
        <v>551</v>
      </c>
      <c r="B763" s="120" t="s">
        <v>218</v>
      </c>
      <c r="C763" s="121">
        <f t="shared" si="320"/>
        <v>34996642.359999999</v>
      </c>
      <c r="D763" s="121">
        <f t="shared" si="320"/>
        <v>7644281.833333333</v>
      </c>
      <c r="E763" s="121">
        <f t="shared" si="321"/>
        <v>-27352360.526666667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-24803875.859999999</v>
      </c>
      <c r="O763" s="121">
        <f t="shared" si="326"/>
        <v>-27352360.526666667</v>
      </c>
    </row>
    <row r="764" spans="1:15" s="22" customFormat="1" ht="42.75" customHeight="1" x14ac:dyDescent="0.5">
      <c r="A764" s="117" t="s">
        <v>551</v>
      </c>
      <c r="B764" s="120" t="s">
        <v>219</v>
      </c>
      <c r="C764" s="121">
        <f t="shared" si="320"/>
        <v>1775370.3299999998</v>
      </c>
      <c r="D764" s="121">
        <f t="shared" si="320"/>
        <v>-8261909.6816666676</v>
      </c>
      <c r="E764" s="121">
        <f t="shared" si="321"/>
        <v>-10037280.011666667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-12466574.560000002</v>
      </c>
      <c r="O764" s="121">
        <f t="shared" si="326"/>
        <v>-10037280.011666667</v>
      </c>
    </row>
    <row r="765" spans="1:15" s="22" customFormat="1" ht="42.75" customHeight="1" x14ac:dyDescent="0.5">
      <c r="A765" s="117" t="s">
        <v>551</v>
      </c>
      <c r="B765" s="118" t="s">
        <v>221</v>
      </c>
      <c r="C765" s="122">
        <f>SUM(C758:C764)</f>
        <v>2436527009.0800014</v>
      </c>
      <c r="D765" s="122">
        <f>SUM(D758:D764)</f>
        <v>3567831227.2375002</v>
      </c>
      <c r="E765" s="122">
        <f>SUM(E758:E764)</f>
        <v>1131304218.1574991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2330062369.3799996</v>
      </c>
      <c r="O765" s="122">
        <f>SUM(O758:O764)</f>
        <v>1131304218.1574991</v>
      </c>
    </row>
    <row r="766" spans="1:15" s="22" customFormat="1" ht="42.75" customHeight="1" x14ac:dyDescent="0.5">
      <c r="A766" s="117" t="s">
        <v>551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551</v>
      </c>
      <c r="B767" s="118" t="s">
        <v>208</v>
      </c>
      <c r="C767" s="123">
        <f>C755-C765</f>
        <v>24848905.959999084</v>
      </c>
      <c r="D767" s="123">
        <f>D755-D765</f>
        <v>7941963.0233340263</v>
      </c>
      <c r="E767" s="123">
        <f>D767-C767</f>
        <v>-16906942.936665058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-14116883.080000401</v>
      </c>
      <c r="O767" s="123">
        <f>O755-O765</f>
        <v>-16906942.936665773</v>
      </c>
    </row>
    <row r="768" spans="1:15" s="22" customFormat="1" ht="42.75" customHeight="1" x14ac:dyDescent="0.5">
      <c r="A768" s="117" t="s">
        <v>551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551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551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551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551</v>
      </c>
      <c r="B772" s="120" t="s">
        <v>223</v>
      </c>
      <c r="C772" s="121">
        <f>C32+C138+C244+C349+C455+C561+C667</f>
        <v>1582372.89</v>
      </c>
      <c r="D772" s="121">
        <f>D32+D138+D244+D349+D455+D561+D667</f>
        <v>3238886.6574999997</v>
      </c>
      <c r="E772" s="121">
        <f>D772-C772</f>
        <v>1656513.7674999998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2802809.3200000003</v>
      </c>
      <c r="O772" s="121">
        <f>M772-K772</f>
        <v>1656513.7675000001</v>
      </c>
    </row>
    <row r="773" spans="1:15" s="22" customFormat="1" ht="42.75" customHeight="1" x14ac:dyDescent="0.5">
      <c r="A773" s="117" t="s">
        <v>551</v>
      </c>
      <c r="B773" s="120" t="s">
        <v>530</v>
      </c>
      <c r="C773" s="121">
        <f t="shared" ref="C773:D773" si="331">C33+C139+C245+C350+C456+C562+C668</f>
        <v>3116608.3200000003</v>
      </c>
      <c r="D773" s="121">
        <f t="shared" si="331"/>
        <v>192575.715</v>
      </c>
      <c r="E773" s="121">
        <f t="shared" ref="E773:E781" si="332">D773-C773</f>
        <v>-2924032.6050000004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-2853985.14</v>
      </c>
      <c r="O773" s="121">
        <f t="shared" ref="O773:O781" si="335">M773-K773</f>
        <v>-2924032.605</v>
      </c>
    </row>
    <row r="774" spans="1:15" s="22" customFormat="1" ht="42.75" customHeight="1" x14ac:dyDescent="0.5">
      <c r="A774" s="117" t="s">
        <v>551</v>
      </c>
      <c r="B774" s="120" t="s">
        <v>224</v>
      </c>
      <c r="C774" s="121">
        <f t="shared" ref="C774:D774" si="336">C34+C140+C246+C351+C457+C563+C669</f>
        <v>8413</v>
      </c>
      <c r="D774" s="121">
        <f t="shared" si="336"/>
        <v>28710.75</v>
      </c>
      <c r="E774" s="121">
        <f t="shared" si="332"/>
        <v>20297.75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29868</v>
      </c>
      <c r="O774" s="121">
        <f t="shared" si="335"/>
        <v>20297.75</v>
      </c>
    </row>
    <row r="775" spans="1:15" s="22" customFormat="1" ht="42.75" customHeight="1" x14ac:dyDescent="0.5">
      <c r="A775" s="117" t="s">
        <v>551</v>
      </c>
      <c r="B775" s="120" t="s">
        <v>225</v>
      </c>
      <c r="C775" s="121">
        <f t="shared" ref="C775:D775" si="337">C35+C141+C247+C352+C458+C564+C670</f>
        <v>132728.35999999999</v>
      </c>
      <c r="D775" s="121">
        <f t="shared" si="337"/>
        <v>259490.08</v>
      </c>
      <c r="E775" s="121">
        <f t="shared" si="332"/>
        <v>126761.72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219453.81</v>
      </c>
      <c r="O775" s="121">
        <f t="shared" si="335"/>
        <v>126761.72</v>
      </c>
    </row>
    <row r="776" spans="1:15" s="22" customFormat="1" ht="42.75" customHeight="1" x14ac:dyDescent="0.5">
      <c r="A776" s="117" t="s">
        <v>551</v>
      </c>
      <c r="B776" s="120" t="s">
        <v>226</v>
      </c>
      <c r="C776" s="121">
        <f t="shared" ref="C776:D776" si="338">C36+C142+C248+C353+C459+C565+C671</f>
        <v>178182.47</v>
      </c>
      <c r="D776" s="121">
        <f t="shared" si="338"/>
        <v>370466.24</v>
      </c>
      <c r="E776" s="121">
        <f t="shared" si="332"/>
        <v>192283.77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322568.53000000003</v>
      </c>
      <c r="O776" s="121">
        <f t="shared" si="335"/>
        <v>192283.77000000002</v>
      </c>
    </row>
    <row r="777" spans="1:15" s="22" customFormat="1" ht="42.75" customHeight="1" x14ac:dyDescent="0.5">
      <c r="A777" s="117" t="s">
        <v>551</v>
      </c>
      <c r="B777" s="120" t="s">
        <v>227</v>
      </c>
      <c r="C777" s="121">
        <f t="shared" ref="C777:D777" si="339">C37+C143+C249+C354+C460+C566+C672</f>
        <v>27505.379999999997</v>
      </c>
      <c r="D777" s="121">
        <f t="shared" si="339"/>
        <v>47903.184999999998</v>
      </c>
      <c r="E777" s="121">
        <f t="shared" si="332"/>
        <v>20397.805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37432.200000000004</v>
      </c>
      <c r="O777" s="121">
        <f t="shared" si="335"/>
        <v>20397.805</v>
      </c>
    </row>
    <row r="778" spans="1:15" s="22" customFormat="1" ht="42.75" customHeight="1" x14ac:dyDescent="0.5">
      <c r="A778" s="117" t="s">
        <v>551</v>
      </c>
      <c r="B778" s="120" t="s">
        <v>228</v>
      </c>
      <c r="C778" s="121">
        <f t="shared" ref="C778:D778" si="340">C38+C144+C250+C355+C461+C567+C673</f>
        <v>98602.01</v>
      </c>
      <c r="D778" s="121">
        <f t="shared" si="340"/>
        <v>136315.70499999999</v>
      </c>
      <c r="E778" s="121">
        <f t="shared" si="332"/>
        <v>37713.694999999992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81476.509999999995</v>
      </c>
      <c r="O778" s="121">
        <f t="shared" si="335"/>
        <v>37713.694999999992</v>
      </c>
    </row>
    <row r="779" spans="1:15" s="22" customFormat="1" ht="42.75" customHeight="1" x14ac:dyDescent="0.5">
      <c r="A779" s="117" t="s">
        <v>551</v>
      </c>
      <c r="B779" s="120" t="s">
        <v>304</v>
      </c>
      <c r="C779" s="121">
        <f t="shared" ref="C779:D779" si="341">C39+C145+C251+C356+C462+C568+C674</f>
        <v>34467.24</v>
      </c>
      <c r="D779" s="121">
        <f t="shared" si="341"/>
        <v>22688.2425</v>
      </c>
      <c r="E779" s="121">
        <f t="shared" si="332"/>
        <v>-11778.997499999998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526.17000000000553</v>
      </c>
      <c r="O779" s="121">
        <f t="shared" si="335"/>
        <v>-11778.997499999998</v>
      </c>
    </row>
    <row r="780" spans="1:15" s="22" customFormat="1" ht="42.75" customHeight="1" x14ac:dyDescent="0.5">
      <c r="A780" s="117" t="s">
        <v>551</v>
      </c>
      <c r="B780" s="120" t="s">
        <v>229</v>
      </c>
      <c r="C780" s="121">
        <f t="shared" ref="C780:D780" si="342">C40+C146+C252+C357+C463+C569+C675</f>
        <v>365</v>
      </c>
      <c r="D780" s="121">
        <f t="shared" si="342"/>
        <v>6620.4675000000007</v>
      </c>
      <c r="E780" s="121">
        <f t="shared" si="332"/>
        <v>6255.4675000000007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8462.2899999999991</v>
      </c>
      <c r="O780" s="121">
        <f t="shared" si="335"/>
        <v>6255.4675000000007</v>
      </c>
    </row>
    <row r="781" spans="1:15" s="22" customFormat="1" ht="42.75" customHeight="1" x14ac:dyDescent="0.5">
      <c r="A781" s="117" t="s">
        <v>551</v>
      </c>
      <c r="B781" s="120" t="s">
        <v>243</v>
      </c>
      <c r="C781" s="121">
        <f t="shared" ref="C781:D781" si="343">C41+C147+C253+C358+C464+C570+C676</f>
        <v>35446</v>
      </c>
      <c r="D781" s="121">
        <f t="shared" si="343"/>
        <v>43734.109166666669</v>
      </c>
      <c r="E781" s="121">
        <f t="shared" si="332"/>
        <v>8288.1091666666689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23540.020000000004</v>
      </c>
      <c r="O781" s="121">
        <f t="shared" si="335"/>
        <v>8288.1091666666689</v>
      </c>
    </row>
    <row r="782" spans="1:15" s="22" customFormat="1" ht="42.75" customHeight="1" x14ac:dyDescent="0.5">
      <c r="A782" s="117" t="s">
        <v>551</v>
      </c>
      <c r="B782" s="118" t="s">
        <v>230</v>
      </c>
      <c r="C782" s="122">
        <f>SUM(C772:C781)</f>
        <v>5214690.67</v>
      </c>
      <c r="D782" s="122">
        <f t="shared" ref="D782:E782" si="344">SUM(D772:D781)</f>
        <v>4347391.1516666664</v>
      </c>
      <c r="E782" s="122">
        <f t="shared" si="344"/>
        <v>-867299.51833333401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672151.71000000031</v>
      </c>
      <c r="O782" s="122">
        <f>SUM(O772:O781)</f>
        <v>-867299.51833333331</v>
      </c>
    </row>
    <row r="783" spans="1:15" s="22" customFormat="1" ht="42.75" customHeight="1" x14ac:dyDescent="0.5">
      <c r="A783" s="117" t="s">
        <v>551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551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551</v>
      </c>
      <c r="B785" s="120" t="s">
        <v>231</v>
      </c>
      <c r="C785" s="121">
        <f>C45+C151+C257+C362+C468+C574+C680</f>
        <v>335800</v>
      </c>
      <c r="D785" s="121">
        <f>D45+D151+D257+D362+D468+D574+D680</f>
        <v>761800</v>
      </c>
      <c r="E785" s="121">
        <f>D785-C785</f>
        <v>426000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736600</v>
      </c>
      <c r="O785" s="121">
        <f>M785-K785</f>
        <v>426000</v>
      </c>
    </row>
    <row r="786" spans="1:15" s="22" customFormat="1" ht="42.75" customHeight="1" x14ac:dyDescent="0.5">
      <c r="A786" s="117" t="s">
        <v>551</v>
      </c>
      <c r="B786" s="120" t="s">
        <v>232</v>
      </c>
      <c r="C786" s="121">
        <f t="shared" ref="C786:D786" si="348">C46+C152+C258+C363+C469+C575+C681</f>
        <v>12216.489999999998</v>
      </c>
      <c r="D786" s="121">
        <f t="shared" si="348"/>
        <v>38154.409500000009</v>
      </c>
      <c r="E786" s="121">
        <f t="shared" ref="E786:E806" si="349">D786-C786</f>
        <v>25937.919500000011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38656.056000000011</v>
      </c>
      <c r="O786" s="121">
        <f t="shared" ref="O786:O806" si="353">M786-K786</f>
        <v>25937.919500000011</v>
      </c>
    </row>
    <row r="787" spans="1:15" s="22" customFormat="1" ht="42.75" customHeight="1" x14ac:dyDescent="0.5">
      <c r="A787" s="117" t="s">
        <v>551</v>
      </c>
      <c r="B787" s="120" t="s">
        <v>233</v>
      </c>
      <c r="C787" s="121">
        <f t="shared" ref="C787:D787" si="354">C47+C153+C259+C364+C470+C576+C682</f>
        <v>47091.83</v>
      </c>
      <c r="D787" s="121">
        <f t="shared" si="354"/>
        <v>63770.122500000012</v>
      </c>
      <c r="E787" s="121">
        <f t="shared" si="349"/>
        <v>16678.29250000001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37935.000000000015</v>
      </c>
      <c r="O787" s="121">
        <f t="shared" si="353"/>
        <v>16678.29250000001</v>
      </c>
    </row>
    <row r="788" spans="1:15" s="22" customFormat="1" ht="42.75" customHeight="1" x14ac:dyDescent="0.5">
      <c r="A788" s="117" t="s">
        <v>551</v>
      </c>
      <c r="B788" s="120" t="s">
        <v>332</v>
      </c>
      <c r="C788" s="121">
        <f t="shared" ref="C788:D788" si="355">C48+C154+C260+C365+C471+C577+C683</f>
        <v>1972.6</v>
      </c>
      <c r="D788" s="121">
        <f t="shared" si="355"/>
        <v>2474.67</v>
      </c>
      <c r="E788" s="121">
        <f t="shared" si="349"/>
        <v>502.07000000000016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1326.96</v>
      </c>
      <c r="O788" s="121">
        <f t="shared" si="353"/>
        <v>502.07000000000016</v>
      </c>
    </row>
    <row r="789" spans="1:15" s="22" customFormat="1" ht="42.75" customHeight="1" x14ac:dyDescent="0.5">
      <c r="A789" s="117" t="s">
        <v>551</v>
      </c>
      <c r="B789" s="120" t="s">
        <v>287</v>
      </c>
      <c r="C789" s="121">
        <f t="shared" ref="C789:D789" si="356">C49+C155+C261+C366+C472+C578+C684</f>
        <v>4902.3</v>
      </c>
      <c r="D789" s="121">
        <f t="shared" si="356"/>
        <v>7746.165</v>
      </c>
      <c r="E789" s="121">
        <f t="shared" si="349"/>
        <v>2843.8649999999998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5425.9199999999992</v>
      </c>
      <c r="O789" s="121">
        <f t="shared" si="353"/>
        <v>2843.8649999999998</v>
      </c>
    </row>
    <row r="790" spans="1:15" s="22" customFormat="1" ht="42.75" customHeight="1" x14ac:dyDescent="0.5">
      <c r="A790" s="117" t="s">
        <v>551</v>
      </c>
      <c r="B790" s="120" t="s">
        <v>436</v>
      </c>
      <c r="C790" s="121">
        <f t="shared" ref="C790:D790" si="357">C50+C156+C262+C367+C473+C579+C685</f>
        <v>18400</v>
      </c>
      <c r="D790" s="121">
        <f t="shared" si="357"/>
        <v>41999.4</v>
      </c>
      <c r="E790" s="121">
        <f t="shared" si="349"/>
        <v>23599.4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37599.199999999997</v>
      </c>
      <c r="O790" s="121">
        <f t="shared" si="353"/>
        <v>23599.4</v>
      </c>
    </row>
    <row r="791" spans="1:15" s="22" customFormat="1" ht="42.75" customHeight="1" x14ac:dyDescent="0.5">
      <c r="A791" s="117" t="s">
        <v>551</v>
      </c>
      <c r="B791" s="120" t="s">
        <v>369</v>
      </c>
      <c r="C791" s="121">
        <f t="shared" ref="C791:D791" si="358">C51+C157+C263+C368+C474+C580+C686</f>
        <v>56473.35</v>
      </c>
      <c r="D791" s="121">
        <f t="shared" si="358"/>
        <v>139728.88500000001</v>
      </c>
      <c r="E791" s="121">
        <f t="shared" si="349"/>
        <v>83255.535000000003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129831.82999999999</v>
      </c>
      <c r="O791" s="121">
        <f t="shared" si="353"/>
        <v>83255.535000000003</v>
      </c>
    </row>
    <row r="792" spans="1:15" s="22" customFormat="1" ht="42.75" customHeight="1" x14ac:dyDescent="0.5">
      <c r="A792" s="117" t="s">
        <v>551</v>
      </c>
      <c r="B792" s="120" t="s">
        <v>367</v>
      </c>
      <c r="C792" s="121">
        <f t="shared" ref="C792:D792" si="359">C52+C158+C264+C369+C475+C581+C687</f>
        <v>2576.14</v>
      </c>
      <c r="D792" s="121">
        <f t="shared" si="359"/>
        <v>34064.80333333333</v>
      </c>
      <c r="E792" s="121">
        <f t="shared" si="349"/>
        <v>31488.66333333333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43145.789999999994</v>
      </c>
      <c r="O792" s="121">
        <f t="shared" si="353"/>
        <v>31488.66333333333</v>
      </c>
    </row>
    <row r="793" spans="1:15" s="22" customFormat="1" ht="42.75" customHeight="1" x14ac:dyDescent="0.5">
      <c r="A793" s="117" t="s">
        <v>551</v>
      </c>
      <c r="B793" s="120" t="s">
        <v>236</v>
      </c>
      <c r="C793" s="121">
        <f t="shared" ref="C793:D793" si="360">C53+C159+C265+C370+C476+C582+C688</f>
        <v>62043.35</v>
      </c>
      <c r="D793" s="121">
        <f t="shared" si="360"/>
        <v>143771.7525</v>
      </c>
      <c r="E793" s="121">
        <f t="shared" si="349"/>
        <v>81728.402499999997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129652.32</v>
      </c>
      <c r="O793" s="121">
        <f t="shared" si="353"/>
        <v>81728.402499999997</v>
      </c>
    </row>
    <row r="794" spans="1:15" s="22" customFormat="1" ht="42.75" customHeight="1" x14ac:dyDescent="0.5">
      <c r="A794" s="117" t="s">
        <v>551</v>
      </c>
      <c r="B794" s="120" t="s">
        <v>237</v>
      </c>
      <c r="C794" s="121">
        <f t="shared" ref="C794:D794" si="361">C54+C160+C266+C371+C477+C583+C689</f>
        <v>13103.51</v>
      </c>
      <c r="D794" s="121">
        <f t="shared" si="361"/>
        <v>24531.862499999996</v>
      </c>
      <c r="E794" s="121">
        <f t="shared" si="349"/>
        <v>11428.352499999995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19605.64</v>
      </c>
      <c r="O794" s="121">
        <f t="shared" si="353"/>
        <v>11428.352499999997</v>
      </c>
    </row>
    <row r="795" spans="1:15" s="22" customFormat="1" ht="42.75" customHeight="1" x14ac:dyDescent="0.5">
      <c r="A795" s="117" t="s">
        <v>551</v>
      </c>
      <c r="B795" s="120" t="s">
        <v>235</v>
      </c>
      <c r="C795" s="121">
        <f t="shared" ref="C795:D795" si="362">C55+C161+C267+C372+C478+C584+C690</f>
        <v>123873.03</v>
      </c>
      <c r="D795" s="121">
        <f t="shared" si="362"/>
        <v>292835.8175</v>
      </c>
      <c r="E795" s="121">
        <f t="shared" si="349"/>
        <v>168962.78750000001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267234.84999999998</v>
      </c>
      <c r="O795" s="121">
        <f t="shared" si="353"/>
        <v>168962.78749999998</v>
      </c>
    </row>
    <row r="796" spans="1:15" s="22" customFormat="1" ht="42.75" customHeight="1" x14ac:dyDescent="0.5">
      <c r="A796" s="117" t="s">
        <v>551</v>
      </c>
      <c r="B796" s="120" t="s">
        <v>349</v>
      </c>
      <c r="C796" s="121">
        <f t="shared" ref="C796:D796" si="363">C56+C162+C268+C373+C479+C585+C691</f>
        <v>330</v>
      </c>
      <c r="D796" s="121">
        <f t="shared" si="363"/>
        <v>5134.7116666666661</v>
      </c>
      <c r="E796" s="121">
        <f t="shared" si="349"/>
        <v>4804.7116666666661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6568.38</v>
      </c>
      <c r="O796" s="121">
        <f t="shared" si="353"/>
        <v>4804.7116666666661</v>
      </c>
    </row>
    <row r="797" spans="1:15" s="22" customFormat="1" ht="42.75" customHeight="1" x14ac:dyDescent="0.5">
      <c r="A797" s="117" t="s">
        <v>551</v>
      </c>
      <c r="B797" s="120" t="s">
        <v>352</v>
      </c>
      <c r="C797" s="121">
        <f t="shared" ref="C797:D797" si="364">C57+C163+C269+C374+C480+C586+C692</f>
        <v>9098.15</v>
      </c>
      <c r="D797" s="121">
        <f t="shared" si="364"/>
        <v>37890.239999999998</v>
      </c>
      <c r="E797" s="121">
        <f t="shared" si="349"/>
        <v>28792.089999999997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41422.169999999991</v>
      </c>
      <c r="O797" s="121">
        <f t="shared" si="353"/>
        <v>28792.089999999997</v>
      </c>
    </row>
    <row r="798" spans="1:15" s="22" customFormat="1" ht="42.75" customHeight="1" x14ac:dyDescent="0.5">
      <c r="A798" s="117" t="s">
        <v>551</v>
      </c>
      <c r="B798" s="120" t="s">
        <v>238</v>
      </c>
      <c r="C798" s="121">
        <f t="shared" ref="C798:D798" si="365">C58+C164+C270+C375+C481+C587+C693</f>
        <v>45721.46</v>
      </c>
      <c r="D798" s="121">
        <f t="shared" si="365"/>
        <v>9850.6875</v>
      </c>
      <c r="E798" s="121">
        <f t="shared" si="349"/>
        <v>-35870.772499999999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-32587.21</v>
      </c>
      <c r="O798" s="121">
        <f t="shared" si="353"/>
        <v>-35870.772499999999</v>
      </c>
    </row>
    <row r="799" spans="1:15" s="22" customFormat="1" ht="42.75" customHeight="1" x14ac:dyDescent="0.5">
      <c r="A799" s="117" t="s">
        <v>551</v>
      </c>
      <c r="B799" s="120" t="s">
        <v>239</v>
      </c>
      <c r="C799" s="121">
        <f t="shared" ref="C799:D799" si="366">C59+C165+C271+C376+C482+C588+C694</f>
        <v>6576.24</v>
      </c>
      <c r="D799" s="121">
        <f t="shared" si="366"/>
        <v>12490.462499999998</v>
      </c>
      <c r="E799" s="121">
        <f t="shared" si="349"/>
        <v>5914.222499999998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10077.709999999997</v>
      </c>
      <c r="O799" s="121">
        <f t="shared" si="353"/>
        <v>5914.222499999998</v>
      </c>
    </row>
    <row r="800" spans="1:15" s="22" customFormat="1" ht="42.75" customHeight="1" x14ac:dyDescent="0.5">
      <c r="A800" s="117" t="s">
        <v>551</v>
      </c>
      <c r="B800" s="120" t="s">
        <v>240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551</v>
      </c>
      <c r="B801" s="120" t="s">
        <v>241</v>
      </c>
      <c r="C801" s="121">
        <f t="shared" ref="C801:D801" si="368">C61+C167+C273+C378+C484+C590+C696</f>
        <v>611547.79</v>
      </c>
      <c r="D801" s="121">
        <f t="shared" si="368"/>
        <v>1393440.1291666667</v>
      </c>
      <c r="E801" s="121">
        <f t="shared" si="349"/>
        <v>781892.33916666661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1246899.45</v>
      </c>
      <c r="O801" s="121">
        <f t="shared" si="353"/>
        <v>781892.33916666661</v>
      </c>
    </row>
    <row r="802" spans="1:15" s="22" customFormat="1" ht="42.75" customHeight="1" x14ac:dyDescent="0.5">
      <c r="A802" s="117" t="s">
        <v>551</v>
      </c>
      <c r="B802" s="120" t="s">
        <v>251</v>
      </c>
      <c r="C802" s="121">
        <f t="shared" ref="C802:D802" si="369">C62+C168+C274+C379+C485+C591+C697</f>
        <v>4414.5599999999995</v>
      </c>
      <c r="D802" s="121">
        <f t="shared" si="369"/>
        <v>1170.4575</v>
      </c>
      <c r="E802" s="121">
        <f t="shared" si="349"/>
        <v>-3244.1024999999995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-2853.9499999999994</v>
      </c>
      <c r="O802" s="121">
        <f t="shared" si="353"/>
        <v>-3244.1024999999995</v>
      </c>
    </row>
    <row r="803" spans="1:15" s="22" customFormat="1" ht="42.75" customHeight="1" x14ac:dyDescent="0.5">
      <c r="A803" s="117" t="s">
        <v>551</v>
      </c>
      <c r="B803" s="120" t="s">
        <v>244</v>
      </c>
      <c r="C803" s="121">
        <f t="shared" ref="C803:D803" si="370">C63+C169+C275+C380+C486+C592+C698</f>
        <v>12571.93</v>
      </c>
      <c r="D803" s="121">
        <f t="shared" si="370"/>
        <v>29021.410833333328</v>
      </c>
      <c r="E803" s="121">
        <f t="shared" si="349"/>
        <v>16449.480833333328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26436.659999999996</v>
      </c>
      <c r="O803" s="121">
        <f t="shared" si="353"/>
        <v>16449.480833333328</v>
      </c>
    </row>
    <row r="804" spans="1:15" s="22" customFormat="1" ht="42.75" customHeight="1" x14ac:dyDescent="0.5">
      <c r="A804" s="117" t="s">
        <v>551</v>
      </c>
      <c r="B804" s="120" t="s">
        <v>245</v>
      </c>
      <c r="C804" s="121">
        <f t="shared" ref="C804:D804" si="371">C64+C170+C276+C381+C487+C593+C699</f>
        <v>65469.41</v>
      </c>
      <c r="D804" s="121">
        <f t="shared" si="371"/>
        <v>157244.82</v>
      </c>
      <c r="E804" s="121">
        <f t="shared" si="349"/>
        <v>91775.41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146270.35</v>
      </c>
      <c r="O804" s="121">
        <f t="shared" si="353"/>
        <v>91775.41</v>
      </c>
    </row>
    <row r="805" spans="1:15" s="22" customFormat="1" ht="42.75" customHeight="1" x14ac:dyDescent="0.5">
      <c r="A805" s="117" t="s">
        <v>551</v>
      </c>
      <c r="B805" s="120" t="s">
        <v>361</v>
      </c>
      <c r="C805" s="121">
        <f t="shared" ref="C805:D805" si="372">C65+C171+C277+C382+C488+C594+C700</f>
        <v>9029.8599999999988</v>
      </c>
      <c r="D805" s="121">
        <f t="shared" si="372"/>
        <v>31025.625</v>
      </c>
      <c r="E805" s="121">
        <f t="shared" si="349"/>
        <v>21995.764999999999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32337.64</v>
      </c>
      <c r="O805" s="121">
        <f t="shared" si="353"/>
        <v>21995.764999999999</v>
      </c>
    </row>
    <row r="806" spans="1:15" s="22" customFormat="1" ht="42.75" customHeight="1" x14ac:dyDescent="0.5">
      <c r="A806" s="117" t="s">
        <v>551</v>
      </c>
      <c r="B806" s="120" t="s">
        <v>362</v>
      </c>
      <c r="C806" s="121">
        <f t="shared" ref="C806:D806" si="373">C66+C172+C278+C383+C489+C595+C701</f>
        <v>19540.77</v>
      </c>
      <c r="D806" s="121">
        <f t="shared" si="373"/>
        <v>52681.243333333332</v>
      </c>
      <c r="E806" s="121">
        <f t="shared" si="349"/>
        <v>33140.473333333328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51507.319999999992</v>
      </c>
      <c r="O806" s="121">
        <f t="shared" si="353"/>
        <v>33140.473333333328</v>
      </c>
    </row>
    <row r="807" spans="1:15" s="22" customFormat="1" ht="42.75" customHeight="1" x14ac:dyDescent="0.5">
      <c r="A807" s="117" t="s">
        <v>551</v>
      </c>
      <c r="B807" s="118" t="s">
        <v>246</v>
      </c>
      <c r="C807" s="122">
        <f>SUM(C785:C806)</f>
        <v>1462752.77</v>
      </c>
      <c r="D807" s="122">
        <f t="shared" ref="D807:E807" si="374">SUM(D785:D806)</f>
        <v>3283827.6453333329</v>
      </c>
      <c r="E807" s="122">
        <f t="shared" si="374"/>
        <v>1821074.8753333329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2977092.0459999996</v>
      </c>
      <c r="O807" s="122">
        <f>SUM(O785:O806)</f>
        <v>1821074.8753333329</v>
      </c>
    </row>
    <row r="808" spans="1:15" s="22" customFormat="1" ht="42.75" customHeight="1" x14ac:dyDescent="0.5">
      <c r="A808" s="117" t="s">
        <v>551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551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551</v>
      </c>
      <c r="B810" s="120" t="s">
        <v>248</v>
      </c>
      <c r="C810" s="121">
        <f>C70+C176+C282+C387+C493+C599+C705</f>
        <v>8366.4500000000007</v>
      </c>
      <c r="D810" s="121">
        <f>D70+D176+D282+D387+D493+D599+D705</f>
        <v>12197.250000000002</v>
      </c>
      <c r="E810" s="121">
        <f>D810-C810</f>
        <v>3830.8000000000011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7896.5499999999993</v>
      </c>
      <c r="O810" s="121">
        <f>M810-K810</f>
        <v>3830.8000000000011</v>
      </c>
    </row>
    <row r="811" spans="1:15" s="22" customFormat="1" ht="42.75" customHeight="1" x14ac:dyDescent="0.5">
      <c r="A811" s="117" t="s">
        <v>551</v>
      </c>
      <c r="B811" s="120" t="s">
        <v>384</v>
      </c>
      <c r="C811" s="121">
        <f t="shared" ref="C811:D811" si="379">C71+C177+C283+C388+C494+C600+C706</f>
        <v>738</v>
      </c>
      <c r="D811" s="121">
        <f t="shared" si="379"/>
        <v>3375</v>
      </c>
      <c r="E811" s="121">
        <f t="shared" ref="E811:E829" si="380">D811-C811</f>
        <v>2637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3762</v>
      </c>
      <c r="O811" s="121">
        <f t="shared" ref="O811:O829" si="383">M811-K811</f>
        <v>2637</v>
      </c>
    </row>
    <row r="812" spans="1:15" s="22" customFormat="1" ht="42.75" customHeight="1" x14ac:dyDescent="0.5">
      <c r="A812" s="117" t="s">
        <v>551</v>
      </c>
      <c r="B812" s="120" t="s">
        <v>532</v>
      </c>
      <c r="C812" s="121">
        <f t="shared" ref="C812:D812" si="384">C72+C178+C284+C389+C495+C601+C707</f>
        <v>0</v>
      </c>
      <c r="D812" s="121">
        <f t="shared" si="384"/>
        <v>3225</v>
      </c>
      <c r="E812" s="121">
        <f t="shared" si="380"/>
        <v>3225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4300</v>
      </c>
      <c r="O812" s="121">
        <f t="shared" si="383"/>
        <v>3225</v>
      </c>
    </row>
    <row r="813" spans="1:15" s="22" customFormat="1" ht="42.75" customHeight="1" x14ac:dyDescent="0.5">
      <c r="A813" s="117" t="s">
        <v>551</v>
      </c>
      <c r="B813" s="120" t="s">
        <v>249</v>
      </c>
      <c r="C813" s="121">
        <f t="shared" ref="C813:D813" si="385">C73+C179+C285+C390+C496+C602+C708</f>
        <v>30818.139999999996</v>
      </c>
      <c r="D813" s="121">
        <f t="shared" si="385"/>
        <v>57075.745416666665</v>
      </c>
      <c r="E813" s="121">
        <f t="shared" si="380"/>
        <v>26257.605416666669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45837.664999999994</v>
      </c>
      <c r="O813" s="121">
        <f t="shared" si="383"/>
        <v>26257.605416666665</v>
      </c>
    </row>
    <row r="814" spans="1:15" s="22" customFormat="1" ht="42.75" customHeight="1" x14ac:dyDescent="0.5">
      <c r="A814" s="117" t="s">
        <v>551</v>
      </c>
      <c r="B814" s="120" t="s">
        <v>356</v>
      </c>
      <c r="C814" s="121">
        <f t="shared" ref="C814:D814" si="386">C74+C180+C286+C391+C497+C603+C709</f>
        <v>3386.15</v>
      </c>
      <c r="D814" s="121">
        <f t="shared" si="386"/>
        <v>3588.6675</v>
      </c>
      <c r="E814" s="121">
        <f t="shared" si="380"/>
        <v>202.51749999999993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1398.7400000000002</v>
      </c>
      <c r="O814" s="121">
        <f t="shared" si="383"/>
        <v>202.51749999999993</v>
      </c>
    </row>
    <row r="815" spans="1:15" s="22" customFormat="1" ht="42.75" customHeight="1" x14ac:dyDescent="0.5">
      <c r="A815" s="117" t="s">
        <v>551</v>
      </c>
      <c r="B815" s="120" t="s">
        <v>250</v>
      </c>
      <c r="C815" s="121">
        <f t="shared" ref="C815:D815" si="387">C75+C181+C287+C392+C498+C604+C710</f>
        <v>7274.6399999999994</v>
      </c>
      <c r="D815" s="121">
        <f t="shared" si="387"/>
        <v>11318.234999999999</v>
      </c>
      <c r="E815" s="121">
        <f t="shared" si="380"/>
        <v>4043.5949999999993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7816.34</v>
      </c>
      <c r="O815" s="121">
        <f t="shared" si="383"/>
        <v>4043.5949999999993</v>
      </c>
    </row>
    <row r="816" spans="1:15" s="22" customFormat="1" ht="42.75" customHeight="1" x14ac:dyDescent="0.5">
      <c r="A816" s="117" t="s">
        <v>551</v>
      </c>
      <c r="B816" s="120" t="s">
        <v>353</v>
      </c>
      <c r="C816" s="121">
        <f t="shared" ref="C816:D816" si="388">C76+C182+C288+C393+C499+C605+C711</f>
        <v>97206.640000000014</v>
      </c>
      <c r="D816" s="121">
        <f t="shared" si="388"/>
        <v>217757.08333333334</v>
      </c>
      <c r="E816" s="121">
        <f t="shared" si="380"/>
        <v>120550.44333333333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193583.35999999999</v>
      </c>
      <c r="O816" s="121">
        <f t="shared" si="383"/>
        <v>120550.44333333333</v>
      </c>
    </row>
    <row r="817" spans="1:15" s="22" customFormat="1" ht="42.75" customHeight="1" x14ac:dyDescent="0.5">
      <c r="A817" s="117" t="s">
        <v>551</v>
      </c>
      <c r="B817" s="120" t="s">
        <v>354</v>
      </c>
      <c r="C817" s="121">
        <f t="shared" ref="C817:D817" si="389">C77+C183+C289+C394+C500+C606+C712</f>
        <v>60184.29</v>
      </c>
      <c r="D817" s="121">
        <f t="shared" si="389"/>
        <v>133577.56666666665</v>
      </c>
      <c r="E817" s="121">
        <f t="shared" si="380"/>
        <v>73393.276666666643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122925.81</v>
      </c>
      <c r="O817" s="121">
        <f t="shared" si="383"/>
        <v>73393.276666666643</v>
      </c>
    </row>
    <row r="818" spans="1:15" s="22" customFormat="1" ht="42.75" customHeight="1" x14ac:dyDescent="0.5">
      <c r="A818" s="117" t="s">
        <v>551</v>
      </c>
      <c r="B818" s="120" t="s">
        <v>355</v>
      </c>
      <c r="C818" s="121">
        <f t="shared" ref="C818:D818" si="390">C78+C184+C290+C395+C501+C607+C713</f>
        <v>38999.919999999998</v>
      </c>
      <c r="D818" s="121">
        <f t="shared" si="390"/>
        <v>74018.046666666662</v>
      </c>
      <c r="E818" s="121">
        <f t="shared" si="380"/>
        <v>35018.126666666663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60527.150000000009</v>
      </c>
      <c r="O818" s="121">
        <f t="shared" si="383"/>
        <v>35018.126666666663</v>
      </c>
    </row>
    <row r="819" spans="1:15" s="22" customFormat="1" ht="42.75" customHeight="1" x14ac:dyDescent="0.5">
      <c r="A819" s="117" t="s">
        <v>551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551</v>
      </c>
      <c r="B820" s="120" t="s">
        <v>382</v>
      </c>
      <c r="C820" s="121">
        <f t="shared" ref="C820:D820" si="392">C80+C186+C292+C397+C503+C609+C715</f>
        <v>3666.67</v>
      </c>
      <c r="D820" s="121">
        <f t="shared" si="392"/>
        <v>6468.7724999999991</v>
      </c>
      <c r="E820" s="121">
        <f t="shared" si="380"/>
        <v>2802.1024999999991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4958.3599999999988</v>
      </c>
      <c r="O820" s="121">
        <f t="shared" si="383"/>
        <v>2802.1024999999991</v>
      </c>
    </row>
    <row r="821" spans="1:15" s="22" customFormat="1" ht="42.75" customHeight="1" x14ac:dyDescent="0.5">
      <c r="A821" s="117" t="s">
        <v>551</v>
      </c>
      <c r="B821" s="120" t="s">
        <v>252</v>
      </c>
      <c r="C821" s="121">
        <f t="shared" ref="C821:D821" si="393">C81+C187+C293+C398+C504+C610+C716</f>
        <v>6420.75</v>
      </c>
      <c r="D821" s="121">
        <f t="shared" si="393"/>
        <v>23151.278333333335</v>
      </c>
      <c r="E821" s="121">
        <f t="shared" si="380"/>
        <v>16730.528333333335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24836.510000000002</v>
      </c>
      <c r="O821" s="121">
        <f t="shared" si="383"/>
        <v>16730.528333333335</v>
      </c>
    </row>
    <row r="822" spans="1:15" s="22" customFormat="1" ht="42.75" customHeight="1" x14ac:dyDescent="0.5">
      <c r="A822" s="117" t="s">
        <v>551</v>
      </c>
      <c r="B822" s="120" t="s">
        <v>253</v>
      </c>
      <c r="C822" s="121">
        <f t="shared" ref="C822:D822" si="394">C82+C188+C294+C399+C505+C611+C717</f>
        <v>4213</v>
      </c>
      <c r="D822" s="121">
        <f t="shared" si="394"/>
        <v>27582.301666666666</v>
      </c>
      <c r="E822" s="121">
        <f t="shared" si="380"/>
        <v>23369.301666666666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32664.789999999994</v>
      </c>
      <c r="O822" s="121">
        <f t="shared" si="383"/>
        <v>23369.301666666666</v>
      </c>
    </row>
    <row r="823" spans="1:15" s="22" customFormat="1" ht="42.75" customHeight="1" x14ac:dyDescent="0.5">
      <c r="A823" s="117" t="s">
        <v>551</v>
      </c>
      <c r="B823" s="120" t="s">
        <v>254</v>
      </c>
      <c r="C823" s="121">
        <f t="shared" ref="C823:D823" si="395">C83+C189+C295+C400+C506+C612+C718</f>
        <v>5132.88</v>
      </c>
      <c r="D823" s="121">
        <f t="shared" si="395"/>
        <v>25885.620000000003</v>
      </c>
      <c r="E823" s="121">
        <f t="shared" si="380"/>
        <v>20752.740000000002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29381.280000000002</v>
      </c>
      <c r="O823" s="121">
        <f t="shared" si="383"/>
        <v>20752.740000000002</v>
      </c>
    </row>
    <row r="824" spans="1:15" s="22" customFormat="1" ht="42.75" customHeight="1" x14ac:dyDescent="0.5">
      <c r="A824" s="117" t="s">
        <v>551</v>
      </c>
      <c r="B824" s="120" t="s">
        <v>291</v>
      </c>
      <c r="C824" s="121">
        <f t="shared" ref="C824:D824" si="396">C84+C190+C296+C401+C507+C613+C719</f>
        <v>300</v>
      </c>
      <c r="D824" s="121">
        <f t="shared" si="396"/>
        <v>6340.7025000000003</v>
      </c>
      <c r="E824" s="121">
        <f t="shared" si="380"/>
        <v>6040.7025000000003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8154.27</v>
      </c>
      <c r="O824" s="121">
        <f t="shared" si="383"/>
        <v>6040.7025000000003</v>
      </c>
    </row>
    <row r="825" spans="1:15" s="22" customFormat="1" ht="42.75" customHeight="1" x14ac:dyDescent="0.5">
      <c r="A825" s="117" t="s">
        <v>551</v>
      </c>
      <c r="B825" s="120" t="s">
        <v>370</v>
      </c>
      <c r="C825" s="121">
        <f t="shared" ref="C825:D825" si="397">C85+C191+C297+C402+C508+C614+C720</f>
        <v>10946.92</v>
      </c>
      <c r="D825" s="121">
        <f t="shared" si="397"/>
        <v>15529.7775</v>
      </c>
      <c r="E825" s="121">
        <f t="shared" si="380"/>
        <v>4582.8575000000001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9759.4499999999989</v>
      </c>
      <c r="O825" s="121">
        <f t="shared" si="383"/>
        <v>4582.8575000000001</v>
      </c>
    </row>
    <row r="826" spans="1:15" s="22" customFormat="1" ht="42.75" customHeight="1" x14ac:dyDescent="0.5">
      <c r="A826" s="117" t="s">
        <v>551</v>
      </c>
      <c r="B826" s="120" t="s">
        <v>255</v>
      </c>
      <c r="C826" s="121">
        <f t="shared" ref="C826:D826" si="398">C86+C192+C298+C403+C509+C615+C721</f>
        <v>8986.0499999999993</v>
      </c>
      <c r="D826" s="121">
        <f t="shared" si="398"/>
        <v>16502.414999999997</v>
      </c>
      <c r="E826" s="121">
        <f t="shared" si="380"/>
        <v>7516.364999999998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13017.169999999998</v>
      </c>
      <c r="O826" s="121">
        <f t="shared" si="383"/>
        <v>7516.364999999998</v>
      </c>
    </row>
    <row r="827" spans="1:15" s="22" customFormat="1" ht="42.75" customHeight="1" x14ac:dyDescent="0.5">
      <c r="A827" s="117" t="s">
        <v>551</v>
      </c>
      <c r="B827" s="120" t="s">
        <v>256</v>
      </c>
      <c r="C827" s="121">
        <f t="shared" ref="C827:D827" si="399">C87+C193+C299+C404+C510+C616+C722</f>
        <v>8716.9599999999991</v>
      </c>
      <c r="D827" s="121">
        <f t="shared" si="399"/>
        <v>20061.422499999997</v>
      </c>
      <c r="E827" s="121">
        <f t="shared" si="380"/>
        <v>11344.462499999998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18824.939999999999</v>
      </c>
      <c r="O827" s="121">
        <f t="shared" si="383"/>
        <v>11344.462499999998</v>
      </c>
    </row>
    <row r="828" spans="1:15" s="22" customFormat="1" ht="42.75" customHeight="1" x14ac:dyDescent="0.5">
      <c r="A828" s="117" t="s">
        <v>551</v>
      </c>
      <c r="B828" s="120" t="s">
        <v>257</v>
      </c>
      <c r="C828" s="121">
        <f t="shared" ref="C828:D828" si="400">C88+C194+C300+C405+C511+C617+C723</f>
        <v>1117.76</v>
      </c>
      <c r="D828" s="121">
        <f t="shared" si="400"/>
        <v>4215.9674999999997</v>
      </c>
      <c r="E828" s="121">
        <f t="shared" si="380"/>
        <v>3098.2074999999995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4503.53</v>
      </c>
      <c r="O828" s="121">
        <f t="shared" si="383"/>
        <v>3098.2074999999995</v>
      </c>
    </row>
    <row r="829" spans="1:15" s="22" customFormat="1" ht="42.75" customHeight="1" x14ac:dyDescent="0.5">
      <c r="A829" s="117" t="s">
        <v>551</v>
      </c>
      <c r="B829" s="120" t="s">
        <v>258</v>
      </c>
      <c r="C829" s="121">
        <f t="shared" ref="C829:D829" si="401">C89+C195+C301+C406+C512+C618+C724</f>
        <v>11761.7</v>
      </c>
      <c r="D829" s="121">
        <f t="shared" si="401"/>
        <v>17399.370000000003</v>
      </c>
      <c r="E829" s="121">
        <f t="shared" si="380"/>
        <v>5637.6700000000019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11437.460000000003</v>
      </c>
      <c r="O829" s="121">
        <f t="shared" si="383"/>
        <v>5637.6700000000019</v>
      </c>
    </row>
    <row r="830" spans="1:15" s="22" customFormat="1" ht="42.75" customHeight="1" x14ac:dyDescent="0.5">
      <c r="A830" s="117" t="s">
        <v>551</v>
      </c>
      <c r="B830" s="118" t="s">
        <v>260</v>
      </c>
      <c r="C830" s="122">
        <f>SUM(C810:C829)</f>
        <v>308236.92000000004</v>
      </c>
      <c r="D830" s="122">
        <f>SUM(D810:D829)</f>
        <v>679270.22208333341</v>
      </c>
      <c r="E830" s="122">
        <f>SUM(E810:E829)</f>
        <v>371033.30208333326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605585.37499999988</v>
      </c>
      <c r="O830" s="122">
        <f>SUM(O810:O829)</f>
        <v>371033.30208333326</v>
      </c>
    </row>
    <row r="831" spans="1:15" s="22" customFormat="1" ht="42.75" customHeight="1" x14ac:dyDescent="0.5">
      <c r="A831" s="117" t="s">
        <v>551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551</v>
      </c>
      <c r="B832" s="118" t="s">
        <v>261</v>
      </c>
      <c r="C832" s="123">
        <f t="shared" ref="C832:E832" si="403">C782+C807+C830</f>
        <v>6985680.3599999994</v>
      </c>
      <c r="D832" s="123">
        <f t="shared" si="403"/>
        <v>8310489.0190833323</v>
      </c>
      <c r="E832" s="123">
        <f t="shared" si="403"/>
        <v>1324808.6590833322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4254829.1310000001</v>
      </c>
      <c r="O832" s="123">
        <f>O782+O807+O830</f>
        <v>1324808.6590833329</v>
      </c>
    </row>
    <row r="833" spans="1:15" s="22" customFormat="1" ht="42.75" customHeight="1" x14ac:dyDescent="0.5">
      <c r="A833" s="117" t="s">
        <v>551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551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551</v>
      </c>
      <c r="B835" s="120" t="s">
        <v>264</v>
      </c>
      <c r="C835" s="121">
        <f>C95+C201+C307+C412+C518+C624+C730</f>
        <v>336800</v>
      </c>
      <c r="D835" s="121">
        <f>D95+D201+D307+D412+D518+D624+D730</f>
        <v>770550</v>
      </c>
      <c r="E835" s="121">
        <f>D835-C835</f>
        <v>433750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690600</v>
      </c>
      <c r="O835" s="121">
        <f>M835-K835</f>
        <v>433750</v>
      </c>
    </row>
    <row r="836" spans="1:15" s="22" customFormat="1" ht="42.75" customHeight="1" x14ac:dyDescent="0.5">
      <c r="A836" s="117" t="s">
        <v>551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551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551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551</v>
      </c>
      <c r="B839" s="120" t="s">
        <v>266</v>
      </c>
      <c r="C839" s="121">
        <f t="shared" ref="C839:D839" si="417">C99+C205+C311+C416+C522+C628+C734</f>
        <v>59186.720000000001</v>
      </c>
      <c r="D839" s="121">
        <f t="shared" si="417"/>
        <v>143988.78749999998</v>
      </c>
      <c r="E839" s="121">
        <f t="shared" ref="E839:E847" si="418">D839-C839</f>
        <v>84802.067499999976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132798.32999999999</v>
      </c>
      <c r="O839" s="121">
        <f t="shared" si="414"/>
        <v>84802.067499999976</v>
      </c>
    </row>
    <row r="840" spans="1:15" s="22" customFormat="1" ht="42.75" customHeight="1" x14ac:dyDescent="0.5">
      <c r="A840" s="117" t="s">
        <v>551</v>
      </c>
      <c r="B840" s="120" t="s">
        <v>267</v>
      </c>
      <c r="C840" s="121">
        <f t="shared" ref="C840:D840" si="419">C100+C206+C312+C417+C523+C629+C735</f>
        <v>189310.05</v>
      </c>
      <c r="D840" s="121">
        <f t="shared" si="419"/>
        <v>323300.6933333333</v>
      </c>
      <c r="E840" s="121">
        <f t="shared" si="418"/>
        <v>133990.64333333331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243312.50999999995</v>
      </c>
      <c r="O840" s="121">
        <f t="shared" si="414"/>
        <v>133990.64333333331</v>
      </c>
    </row>
    <row r="841" spans="1:15" s="22" customFormat="1" ht="42.75" customHeight="1" x14ac:dyDescent="0.5">
      <c r="A841" s="117" t="s">
        <v>551</v>
      </c>
      <c r="B841" s="120" t="s">
        <v>268</v>
      </c>
      <c r="C841" s="121">
        <f t="shared" ref="C841:D841" si="420">C101+C207+C313+C418+C524+C630+C736</f>
        <v>-161981.22</v>
      </c>
      <c r="D841" s="121">
        <f t="shared" si="420"/>
        <v>-353394.86249999999</v>
      </c>
      <c r="E841" s="121">
        <f t="shared" si="418"/>
        <v>-191413.64249999999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-309211.92999999993</v>
      </c>
      <c r="O841" s="121">
        <f t="shared" si="414"/>
        <v>-191413.64249999996</v>
      </c>
    </row>
    <row r="842" spans="1:15" s="22" customFormat="1" ht="42.75" customHeight="1" x14ac:dyDescent="0.5">
      <c r="A842" s="117" t="s">
        <v>551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551</v>
      </c>
      <c r="B843" s="120" t="s">
        <v>394</v>
      </c>
      <c r="C843" s="121">
        <f t="shared" ref="C843:D843" si="422">C103+C209+C315+C420+C526+C632+C738</f>
        <v>76388.679999999993</v>
      </c>
      <c r="D843" s="121">
        <f t="shared" si="422"/>
        <v>52375.18499999999</v>
      </c>
      <c r="E843" s="121">
        <f t="shared" si="418"/>
        <v>-24013.495000000003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-6555.1000000000058</v>
      </c>
      <c r="O843" s="121">
        <f t="shared" si="414"/>
        <v>-24013.495000000003</v>
      </c>
    </row>
    <row r="844" spans="1:15" s="22" customFormat="1" ht="42.75" customHeight="1" x14ac:dyDescent="0.5">
      <c r="A844" s="117" t="s">
        <v>551</v>
      </c>
      <c r="B844" s="120" t="s">
        <v>429</v>
      </c>
      <c r="C844" s="121">
        <f t="shared" ref="C844:D844" si="423">C104+C210+C316+C421+C527+C633+C739</f>
        <v>2783.0600000000004</v>
      </c>
      <c r="D844" s="121">
        <f t="shared" si="423"/>
        <v>5425.5</v>
      </c>
      <c r="E844" s="121">
        <f t="shared" si="418"/>
        <v>2642.4399999999996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4450.9399999999996</v>
      </c>
      <c r="O844" s="121">
        <f t="shared" si="414"/>
        <v>2642.4399999999996</v>
      </c>
    </row>
    <row r="845" spans="1:15" s="22" customFormat="1" ht="42.75" customHeight="1" x14ac:dyDescent="0.5">
      <c r="A845" s="117" t="s">
        <v>551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551</v>
      </c>
      <c r="B846" s="120" t="s">
        <v>395</v>
      </c>
      <c r="C846" s="121">
        <f t="shared" ref="C846:D846" si="425">C106+C212+C318+C423+C529+C635+C741</f>
        <v>80465.759999999995</v>
      </c>
      <c r="D846" s="121">
        <f t="shared" si="425"/>
        <v>22591.245000000003</v>
      </c>
      <c r="E846" s="121">
        <f t="shared" si="418"/>
        <v>-57874.514999999992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-50344.099999999991</v>
      </c>
      <c r="O846" s="121">
        <f t="shared" si="414"/>
        <v>-57874.514999999992</v>
      </c>
    </row>
    <row r="847" spans="1:15" s="22" customFormat="1" ht="42.75" customHeight="1" x14ac:dyDescent="0.5">
      <c r="A847" s="117" t="s">
        <v>551</v>
      </c>
      <c r="B847" s="120" t="s">
        <v>440</v>
      </c>
      <c r="C847" s="121">
        <f t="shared" ref="C847:D847" si="426">C107+C213+C319+C424+C530+C636+C742</f>
        <v>805.72</v>
      </c>
      <c r="D847" s="121">
        <f t="shared" si="426"/>
        <v>12741.21</v>
      </c>
      <c r="E847" s="121">
        <f t="shared" si="418"/>
        <v>11935.49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16182.56</v>
      </c>
      <c r="O847" s="121">
        <f t="shared" si="414"/>
        <v>11935.49</v>
      </c>
    </row>
    <row r="848" spans="1:15" s="22" customFormat="1" ht="42.75" customHeight="1" x14ac:dyDescent="0.5">
      <c r="A848" s="117" t="s">
        <v>551</v>
      </c>
      <c r="B848" s="118" t="s">
        <v>454</v>
      </c>
      <c r="C848" s="122">
        <f t="shared" ref="C848:E848" si="427">SUM(C835:C847)</f>
        <v>585323.13</v>
      </c>
      <c r="D848" s="122">
        <f t="shared" si="427"/>
        <v>1030241.5549999999</v>
      </c>
      <c r="E848" s="122">
        <f t="shared" si="427"/>
        <v>444918.42499999993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783420.75</v>
      </c>
      <c r="O848" s="122">
        <f>SUM(O835:O847)</f>
        <v>444918.42499999993</v>
      </c>
    </row>
    <row r="849" spans="1:15" s="22" customFormat="1" ht="42.75" customHeight="1" x14ac:dyDescent="0.5">
      <c r="A849" s="117" t="s">
        <v>551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551</v>
      </c>
      <c r="B850" s="118" t="s">
        <v>263</v>
      </c>
      <c r="C850" s="124">
        <f t="shared" ref="C850:D850" si="430">C767-C832+C848</f>
        <v>18448548.729999084</v>
      </c>
      <c r="D850" s="124">
        <f t="shared" si="430"/>
        <v>661715.559250694</v>
      </c>
      <c r="E850" s="124">
        <f>E767-E832+E848</f>
        <v>-17786833.17074839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-17588291.461000402</v>
      </c>
      <c r="O850" s="124">
        <f>O767-O832+O848</f>
        <v>-17786833.170749106</v>
      </c>
    </row>
    <row r="851" spans="1:15" ht="15.75" thickTop="1" x14ac:dyDescent="0.25"/>
    <row r="853" spans="1:15" s="22" customFormat="1" ht="42.75" customHeight="1" x14ac:dyDescent="0.5">
      <c r="A853" s="117" t="s">
        <v>561</v>
      </c>
      <c r="B853" s="118" t="str">
        <f>B15</f>
        <v>Total Revenue</v>
      </c>
      <c r="C853" s="122">
        <f>C15+C121+C227+C332+C438+C544+C650</f>
        <v>2461375915.0399995</v>
      </c>
      <c r="D853" s="122">
        <f>D15+D121+D227+D332+D438+D544+D650</f>
        <v>3575773190.2608337</v>
      </c>
      <c r="E853" s="122">
        <f>E15+E121+E227+E332+E438+E544+E650</f>
        <v>1114397275.2208338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2315945486.3000016</v>
      </c>
      <c r="O853" s="122">
        <f>M853-K853</f>
        <v>1114397275.2208343</v>
      </c>
    </row>
    <row r="854" spans="1:15" s="22" customFormat="1" ht="42.75" customHeight="1" x14ac:dyDescent="0.5">
      <c r="A854" s="117" t="s">
        <v>561</v>
      </c>
      <c r="B854" s="118" t="str">
        <f>B25</f>
        <v>Total GOGC</v>
      </c>
      <c r="C854" s="122">
        <f>C25+C131+C237+C342+C448+C554+C660</f>
        <v>2436527009.0800014</v>
      </c>
      <c r="D854" s="122">
        <f>D25+D131+D237+D342+D448+D554+D660</f>
        <v>3567831227.2374997</v>
      </c>
      <c r="E854" s="122">
        <f>E25+E131+E237+E342+E448+E554+E660</f>
        <v>1131304218.1574986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2330062369.3799996</v>
      </c>
      <c r="O854" s="122">
        <f>M854-K854</f>
        <v>1131304218.1574984</v>
      </c>
    </row>
    <row r="855" spans="1:15" s="22" customFormat="1" ht="42.75" customHeight="1" x14ac:dyDescent="0.5">
      <c r="A855" s="117" t="s">
        <v>561</v>
      </c>
      <c r="B855" s="118" t="s">
        <v>552</v>
      </c>
      <c r="C855" s="122">
        <f>C853-C854</f>
        <v>24848905.959998131</v>
      </c>
      <c r="D855" s="122">
        <f t="shared" ref="D855" si="434">D853-D854</f>
        <v>7941963.0233340263</v>
      </c>
      <c r="E855" s="122">
        <f>D855-C855</f>
        <v>-16906942.936664104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-14116883.079998016</v>
      </c>
      <c r="O855" s="122">
        <f>M855-K855</f>
        <v>-16906942.936664104</v>
      </c>
    </row>
    <row r="856" spans="1:15" s="22" customFormat="1" ht="42.75" customHeight="1" x14ac:dyDescent="0.5">
      <c r="A856" s="117" t="s">
        <v>561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561</v>
      </c>
      <c r="B857" s="118" t="str">
        <f>B42</f>
        <v xml:space="preserve">  Total Personnel Expenses</v>
      </c>
      <c r="C857" s="125">
        <f>C42+C148+C254+C359+C465+C571+C677</f>
        <v>5214690.6700000009</v>
      </c>
      <c r="D857" s="125">
        <f>D42+D148+D254+D359+D465+D571+D677</f>
        <v>4347391.1516666673</v>
      </c>
      <c r="E857" s="125">
        <f>E42+E148+E254+E359+E465+E571+E677</f>
        <v>-867299.51833333389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672151.71</v>
      </c>
      <c r="O857" s="125">
        <f>M857-K857</f>
        <v>-867299.51833333354</v>
      </c>
    </row>
    <row r="858" spans="1:15" s="22" customFormat="1" ht="42.75" customHeight="1" x14ac:dyDescent="0.5">
      <c r="A858" s="117" t="s">
        <v>561</v>
      </c>
      <c r="B858" s="118" t="str">
        <f>B67</f>
        <v xml:space="preserve">  Total Facility Expense</v>
      </c>
      <c r="C858" s="122">
        <f>C67+C173+C279+C384+C490+C596+C702</f>
        <v>1462752.77</v>
      </c>
      <c r="D858" s="122">
        <f>D67+D173+D279+D384+D490+D596+D702</f>
        <v>3283827.6453333334</v>
      </c>
      <c r="E858" s="122">
        <f>E67+E173+E279+E384+E490+E596+E702</f>
        <v>1821074.8753333332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2977092.0459999996</v>
      </c>
      <c r="O858" s="125">
        <f t="shared" ref="O858:O860" si="437">M858-K858</f>
        <v>1821074.8753333334</v>
      </c>
    </row>
    <row r="859" spans="1:15" s="22" customFormat="1" ht="42.75" customHeight="1" x14ac:dyDescent="0.5">
      <c r="A859" s="117" t="s">
        <v>561</v>
      </c>
      <c r="B859" s="118" t="str">
        <f>B90</f>
        <v xml:space="preserve">  Total Other Expenses</v>
      </c>
      <c r="C859" s="122">
        <f>C90+C196+C302+C407+C513+C619+C725</f>
        <v>308236.92000000004</v>
      </c>
      <c r="D859" s="122">
        <f>D90+D196+D302+D407+D513+D619+D725</f>
        <v>679270.2220833333</v>
      </c>
      <c r="E859" s="122">
        <f>E90+E196+E302+E407+E513+E619+E725</f>
        <v>371033.30208333331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605585.375</v>
      </c>
      <c r="O859" s="125">
        <f t="shared" si="437"/>
        <v>371033.30208333326</v>
      </c>
    </row>
    <row r="860" spans="1:15" s="22" customFormat="1" ht="42.75" customHeight="1" x14ac:dyDescent="0.5">
      <c r="A860" s="117" t="s">
        <v>561</v>
      </c>
      <c r="B860" s="118" t="str">
        <f>B92</f>
        <v>Total Expense</v>
      </c>
      <c r="C860" s="125">
        <f>C857+C858+C859</f>
        <v>6985680.3600000013</v>
      </c>
      <c r="D860" s="125">
        <f t="shared" ref="D860:E860" si="438">D857+D858+D859</f>
        <v>8310489.0190833332</v>
      </c>
      <c r="E860" s="125">
        <f t="shared" si="438"/>
        <v>1324808.6590833326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4254829.1309999991</v>
      </c>
      <c r="O860" s="125">
        <f t="shared" si="437"/>
        <v>1324808.6590833319</v>
      </c>
    </row>
    <row r="861" spans="1:15" s="22" customFormat="1" ht="42.75" customHeight="1" x14ac:dyDescent="0.5">
      <c r="A861" s="117" t="s">
        <v>561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561</v>
      </c>
      <c r="B862" s="118" t="str">
        <f>B108</f>
        <v>Total Other Income (Expense)</v>
      </c>
      <c r="C862" s="125">
        <f>C108+C214+C320+C425+C531+C637+C743</f>
        <v>585323.12999999989</v>
      </c>
      <c r="D862" s="125">
        <f>D108+D214+D320+D425+D531+D637+D743</f>
        <v>1030241.5550000001</v>
      </c>
      <c r="E862" s="125">
        <f>E108+E214+E320+E425+E531+E637+E743</f>
        <v>319918.42500000005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783420.75000000023</v>
      </c>
      <c r="O862" s="125">
        <f>M862-K862</f>
        <v>444918.42500000016</v>
      </c>
    </row>
    <row r="863" spans="1:15" s="22" customFormat="1" ht="42.75" customHeight="1" x14ac:dyDescent="0.5">
      <c r="A863" s="117" t="s">
        <v>561</v>
      </c>
      <c r="B863" s="118" t="str">
        <f>B110</f>
        <v>Net Income (loss):</v>
      </c>
      <c r="C863" s="122">
        <f>C855-C860+C862</f>
        <v>18448548.72999813</v>
      </c>
      <c r="D863" s="122">
        <f>D855-D860+D862</f>
        <v>661715.55925069319</v>
      </c>
      <c r="E863" s="122">
        <f>E855-E860+E862</f>
        <v>-17911833.170747437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-17588291.460998014</v>
      </c>
      <c r="O863" s="122">
        <f>M863-K863</f>
        <v>-17786833.170747433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562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0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563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0</v>
      </c>
    </row>
    <row r="867" spans="1:15" s="22" customFormat="1" ht="42.75" customHeight="1" x14ac:dyDescent="0.5">
      <c r="A867" s="117"/>
      <c r="B867" s="118" t="s">
        <v>564</v>
      </c>
      <c r="C867" s="122">
        <f>C855-C767</f>
        <v>-9.5367431640625E-7</v>
      </c>
      <c r="D867" s="122">
        <f t="shared" ref="D867:O867" si="444">D855-D767</f>
        <v>0</v>
      </c>
      <c r="E867" s="122">
        <f>E855-E767</f>
        <v>9.5367431640625E-7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2.384185791015625E-6</v>
      </c>
      <c r="O867" s="122">
        <f t="shared" si="444"/>
        <v>1.6689300537109375E-6</v>
      </c>
    </row>
    <row r="868" spans="1:15" s="22" customFormat="1" ht="42.75" customHeight="1" x14ac:dyDescent="0.5">
      <c r="A868" s="117"/>
      <c r="B868" s="118" t="s">
        <v>565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566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567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568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569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-124999.99999999988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570</v>
      </c>
      <c r="C873" s="122">
        <f>C863-C850</f>
        <v>-9.5367431640625E-7</v>
      </c>
      <c r="D873" s="122">
        <f t="shared" ref="D873:O873" si="450">D863-D850</f>
        <v>0</v>
      </c>
      <c r="E873" s="122">
        <f t="shared" si="450"/>
        <v>-124999.99999904633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2.3879110813140869E-6</v>
      </c>
      <c r="O873" s="122">
        <f t="shared" si="450"/>
        <v>1.6726553440093994E-6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AG192"/>
  <sheetViews>
    <sheetView view="pageBreakPreview" zoomScale="60" zoomScaleNormal="100" workbookViewId="0">
      <pane ySplit="6" topLeftCell="A37" activePane="bottomLeft" state="frozen"/>
      <selection activeCell="F4" sqref="F1:M1048576"/>
      <selection pane="bottomLeft" activeCell="E92" sqref="E92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1.5703125" style="161" customWidth="1"/>
    <col min="4" max="4" width="13.42578125" style="161" customWidth="1"/>
    <col min="5" max="5" width="13" style="161" customWidth="1"/>
    <col min="6" max="13" width="13" style="161" hidden="1" customWidth="1"/>
    <col min="14" max="14" width="13.425781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247" t="s">
        <v>270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P1" s="245" t="s">
        <v>571</v>
      </c>
    </row>
    <row r="2" spans="1:33" ht="21" x14ac:dyDescent="0.35">
      <c r="A2" s="247" t="s">
        <v>271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P2" s="245"/>
    </row>
    <row r="3" spans="1:33" ht="21" x14ac:dyDescent="0.35">
      <c r="A3" s="247">
        <v>2020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5" t="s">
        <v>550</v>
      </c>
      <c r="Q4" s="245" t="s">
        <v>545</v>
      </c>
      <c r="R4" s="245" t="s">
        <v>549</v>
      </c>
      <c r="U4" s="244">
        <v>2018</v>
      </c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6"/>
      <c r="Q5" s="246"/>
      <c r="R5" s="24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D8" s="161">
        <v>4935.53</v>
      </c>
      <c r="E8" s="161">
        <v>6251.98</v>
      </c>
      <c r="N8" s="161">
        <f t="shared" ref="N8:N16" si="0">SUM(B8:M8)</f>
        <v>13795.99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6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D9" s="161">
        <v>615</v>
      </c>
      <c r="E9" s="161">
        <v>8918</v>
      </c>
      <c r="N9" s="161">
        <f t="shared" si="0"/>
        <v>11018</v>
      </c>
      <c r="P9" s="161">
        <f t="shared" ref="P9:P16" si="2">Q9/12*$P$6</f>
        <v>5778.75</v>
      </c>
      <c r="Q9" s="161">
        <f t="shared" ref="Q9:Q16" si="3">R9</f>
        <v>7705</v>
      </c>
      <c r="R9" s="161">
        <f t="shared" ref="R9:R16" si="4">AG9</f>
        <v>7705</v>
      </c>
      <c r="S9" s="190">
        <f t="shared" ref="S9:S78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D10" s="161">
        <v>100</v>
      </c>
      <c r="E10" s="161">
        <v>100</v>
      </c>
      <c r="N10" s="161">
        <f t="shared" si="0"/>
        <v>250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D11" s="161">
        <v>328142.5</v>
      </c>
      <c r="E11" s="161">
        <v>319005</v>
      </c>
      <c r="N11" s="161">
        <f t="shared" si="0"/>
        <v>1253027.5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D12" s="161">
        <v>91175</v>
      </c>
      <c r="E12" s="161">
        <v>176225</v>
      </c>
      <c r="N12" s="161">
        <f>SUM(B12:M12)</f>
        <v>537075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D13" s="161">
        <v>3989</v>
      </c>
      <c r="E13" s="161">
        <v>3989</v>
      </c>
      <c r="N13" s="161">
        <f t="shared" si="0"/>
        <v>15989.75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536</v>
      </c>
      <c r="B14" s="161">
        <v>48971.22</v>
      </c>
      <c r="C14" s="161">
        <v>48047.42</v>
      </c>
      <c r="D14" s="161">
        <v>48594.65</v>
      </c>
      <c r="E14" s="161">
        <v>47539.24</v>
      </c>
      <c r="N14" s="161">
        <f t="shared" si="0"/>
        <v>193152.53</v>
      </c>
      <c r="P14" s="161">
        <f t="shared" si="2"/>
        <v>324744.27</v>
      </c>
      <c r="Q14" s="161">
        <f t="shared" si="3"/>
        <v>432992.36000000004</v>
      </c>
      <c r="R14" s="161">
        <f t="shared" si="4"/>
        <v>432992.36000000004</v>
      </c>
      <c r="S14" s="190">
        <f t="shared" si="5"/>
        <v>0</v>
      </c>
      <c r="T14" s="190"/>
      <c r="U14" s="161">
        <v>39424.43</v>
      </c>
      <c r="V14" s="161">
        <v>30082.99</v>
      </c>
      <c r="W14" s="161">
        <v>37907.64</v>
      </c>
      <c r="X14" s="161">
        <v>44830.54</v>
      </c>
      <c r="Y14" s="161">
        <v>40289.01</v>
      </c>
      <c r="Z14" s="161">
        <v>22639.5</v>
      </c>
      <c r="AA14" s="161">
        <v>36972.589999999997</v>
      </c>
      <c r="AB14" s="161">
        <v>37608.94</v>
      </c>
      <c r="AC14" s="161">
        <v>39991</v>
      </c>
      <c r="AD14" s="161">
        <v>40484.660000000003</v>
      </c>
      <c r="AE14" s="161">
        <v>31427.23</v>
      </c>
      <c r="AF14" s="161">
        <v>31333.83</v>
      </c>
      <c r="AG14" s="161">
        <f t="shared" si="1"/>
        <v>432992.36000000004</v>
      </c>
    </row>
    <row r="15" spans="1:33" x14ac:dyDescent="0.25">
      <c r="A15" s="127" t="s">
        <v>415</v>
      </c>
      <c r="B15" s="161">
        <v>1333.33</v>
      </c>
      <c r="C15" s="161">
        <v>1333.33</v>
      </c>
      <c r="D15" s="161">
        <v>1333.33</v>
      </c>
      <c r="E15" s="161">
        <v>1333.33</v>
      </c>
      <c r="N15" s="161">
        <f t="shared" si="0"/>
        <v>5333.32</v>
      </c>
      <c r="P15" s="161">
        <f t="shared" si="2"/>
        <v>12000</v>
      </c>
      <c r="Q15" s="161">
        <f t="shared" si="3"/>
        <v>16000</v>
      </c>
      <c r="R15" s="161">
        <f t="shared" si="4"/>
        <v>16000</v>
      </c>
      <c r="S15" s="190">
        <f t="shared" si="5"/>
        <v>0</v>
      </c>
      <c r="T15" s="190"/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8000</v>
      </c>
      <c r="AA15" s="161">
        <v>1333.33</v>
      </c>
      <c r="AB15" s="161">
        <v>1333.33</v>
      </c>
      <c r="AC15" s="161">
        <v>1333.33</v>
      </c>
      <c r="AD15" s="161">
        <v>1333.33</v>
      </c>
      <c r="AE15" s="161">
        <v>1333.34</v>
      </c>
      <c r="AF15" s="161">
        <v>1333.34</v>
      </c>
      <c r="AG15" s="161">
        <f t="shared" si="1"/>
        <v>16000</v>
      </c>
    </row>
    <row r="16" spans="1:33" x14ac:dyDescent="0.25">
      <c r="A16" s="127" t="s">
        <v>416</v>
      </c>
      <c r="B16" s="161">
        <v>10390.57</v>
      </c>
      <c r="C16" s="161">
        <v>9995.94</v>
      </c>
      <c r="D16" s="161">
        <v>10297.09</v>
      </c>
      <c r="E16" s="161">
        <v>10017.030000000001</v>
      </c>
      <c r="N16" s="161">
        <f t="shared" si="0"/>
        <v>40700.630000000005</v>
      </c>
      <c r="P16" s="161">
        <f t="shared" si="2"/>
        <v>55916.017500000002</v>
      </c>
      <c r="Q16" s="161">
        <f t="shared" si="3"/>
        <v>74554.69</v>
      </c>
      <c r="R16" s="161">
        <f t="shared" si="4"/>
        <v>74554.69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38415.89</v>
      </c>
      <c r="AA16" s="161">
        <v>6304.08</v>
      </c>
      <c r="AB16" s="161">
        <v>6205.45</v>
      </c>
      <c r="AC16" s="161">
        <v>5848.28</v>
      </c>
      <c r="AD16" s="161">
        <v>6050.97</v>
      </c>
      <c r="AE16" s="161">
        <v>5781.92</v>
      </c>
      <c r="AF16" s="161">
        <v>5948.1</v>
      </c>
      <c r="AG16" s="161">
        <f t="shared" si="1"/>
        <v>74554.69</v>
      </c>
    </row>
    <row r="17" spans="1:33" x14ac:dyDescent="0.25">
      <c r="A17" s="128" t="s">
        <v>220</v>
      </c>
      <c r="B17" s="191">
        <f t="shared" ref="B17:N17" si="6">SUM(B8:B16)</f>
        <v>549853.75999999989</v>
      </c>
      <c r="C17" s="191">
        <f t="shared" si="6"/>
        <v>457928.28</v>
      </c>
      <c r="D17" s="191">
        <f t="shared" si="6"/>
        <v>489182.10000000009</v>
      </c>
      <c r="E17" s="191">
        <f t="shared" si="6"/>
        <v>573378.57999999996</v>
      </c>
      <c r="F17" s="191">
        <f t="shared" si="6"/>
        <v>0</v>
      </c>
      <c r="G17" s="191">
        <f t="shared" ref="G17:L17" si="7">SUM(G8:G16)</f>
        <v>0</v>
      </c>
      <c r="H17" s="191">
        <f t="shared" si="7"/>
        <v>0</v>
      </c>
      <c r="I17" s="191">
        <f t="shared" si="7"/>
        <v>0</v>
      </c>
      <c r="J17" s="191">
        <f t="shared" si="7"/>
        <v>0</v>
      </c>
      <c r="K17" s="191">
        <f t="shared" si="7"/>
        <v>0</v>
      </c>
      <c r="L17" s="191">
        <f t="shared" si="7"/>
        <v>0</v>
      </c>
      <c r="M17" s="191">
        <f t="shared" si="6"/>
        <v>0</v>
      </c>
      <c r="N17" s="191">
        <f t="shared" si="6"/>
        <v>2070342.7200000002</v>
      </c>
      <c r="P17" s="191">
        <f>SUM(P8:P16)</f>
        <v>2715544.4925000002</v>
      </c>
      <c r="Q17" s="191">
        <f>SUM(Q8:Q16)</f>
        <v>3620725.9899999998</v>
      </c>
      <c r="R17" s="191">
        <f>SUM(R8:R16)</f>
        <v>3620725.9899999998</v>
      </c>
      <c r="S17" s="190">
        <f t="shared" si="5"/>
        <v>0</v>
      </c>
      <c r="T17" s="190"/>
      <c r="U17" s="191">
        <f t="shared" ref="U17:AG17" si="8">SUM(U8:U16)</f>
        <v>149268.41</v>
      </c>
      <c r="V17" s="191">
        <f t="shared" si="8"/>
        <v>114501.72</v>
      </c>
      <c r="W17" s="191">
        <f t="shared" si="8"/>
        <v>206625.96000000002</v>
      </c>
      <c r="X17" s="191">
        <f t="shared" si="8"/>
        <v>165779.96</v>
      </c>
      <c r="Y17" s="191">
        <f t="shared" si="8"/>
        <v>274147.28999999998</v>
      </c>
      <c r="Z17" s="191">
        <f t="shared" si="8"/>
        <v>227290.61</v>
      </c>
      <c r="AA17" s="191">
        <f t="shared" si="8"/>
        <v>239028.62999999998</v>
      </c>
      <c r="AB17" s="191">
        <f t="shared" si="8"/>
        <v>274792.29000000004</v>
      </c>
      <c r="AC17" s="191">
        <f t="shared" si="8"/>
        <v>802820.03</v>
      </c>
      <c r="AD17" s="191">
        <f t="shared" si="8"/>
        <v>428734.95</v>
      </c>
      <c r="AE17" s="191">
        <f t="shared" si="8"/>
        <v>242750.44000000003</v>
      </c>
      <c r="AF17" s="191">
        <f t="shared" si="8"/>
        <v>494985.7</v>
      </c>
      <c r="AG17" s="191">
        <f t="shared" si="8"/>
        <v>3620725.9899999998</v>
      </c>
    </row>
    <row r="18" spans="1:33" x14ac:dyDescent="0.25"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8" t="s">
        <v>276</v>
      </c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>SUM(U19:Y19)</f>
        <v>0</v>
      </c>
    </row>
    <row r="20" spans="1:33" x14ac:dyDescent="0.25">
      <c r="A20" s="127" t="s">
        <v>278</v>
      </c>
      <c r="B20" s="161">
        <v>0</v>
      </c>
      <c r="C20" s="161">
        <v>1356.67</v>
      </c>
      <c r="D20" s="161">
        <v>0</v>
      </c>
      <c r="E20" s="161">
        <v>0</v>
      </c>
      <c r="N20" s="161">
        <f>SUM(B20:M20)</f>
        <v>1356.67</v>
      </c>
      <c r="P20" s="161">
        <f t="shared" ref="P20:P22" si="9">Q20/12*$P$6</f>
        <v>96669.375</v>
      </c>
      <c r="Q20" s="161">
        <f t="shared" ref="Q20:Q22" si="10">R20</f>
        <v>128892.5</v>
      </c>
      <c r="R20" s="161">
        <f>AG20</f>
        <v>128892.5</v>
      </c>
      <c r="S20" s="190">
        <f t="shared" si="5"/>
        <v>0</v>
      </c>
      <c r="T20" s="190"/>
      <c r="U20" s="161">
        <v>1052.68</v>
      </c>
      <c r="V20" s="161">
        <v>7138.13</v>
      </c>
      <c r="W20" s="161">
        <v>9184.15</v>
      </c>
      <c r="X20" s="161">
        <v>19400.439999999999</v>
      </c>
      <c r="Y20" s="161">
        <v>36.549999999999997</v>
      </c>
      <c r="Z20" s="161">
        <v>15295.31</v>
      </c>
      <c r="AA20" s="161">
        <v>15289.72</v>
      </c>
      <c r="AB20" s="161">
        <v>12182.21</v>
      </c>
      <c r="AC20" s="161">
        <v>24364.43</v>
      </c>
      <c r="AD20" s="161">
        <v>0</v>
      </c>
      <c r="AE20" s="161">
        <v>0</v>
      </c>
      <c r="AF20" s="161">
        <v>24948.880000000001</v>
      </c>
      <c r="AG20" s="161">
        <f>SUM(U20:AF20)</f>
        <v>128892.5</v>
      </c>
    </row>
    <row r="21" spans="1:33" x14ac:dyDescent="0.25">
      <c r="A21" s="127" t="s">
        <v>277</v>
      </c>
      <c r="B21" s="161">
        <v>29014.68</v>
      </c>
      <c r="C21" s="161">
        <v>13727.5</v>
      </c>
      <c r="D21" s="161">
        <v>0</v>
      </c>
      <c r="E21" s="161">
        <v>0</v>
      </c>
      <c r="N21" s="161">
        <f>SUM(B21:M21)</f>
        <v>42742.18</v>
      </c>
      <c r="P21" s="161">
        <f t="shared" si="9"/>
        <v>284775.84750000003</v>
      </c>
      <c r="Q21" s="161">
        <f t="shared" si="10"/>
        <v>379701.13000000006</v>
      </c>
      <c r="R21" s="161">
        <f t="shared" ref="R21:R22" si="11">AG21</f>
        <v>379701.13000000006</v>
      </c>
      <c r="S21" s="190">
        <f t="shared" si="5"/>
        <v>0</v>
      </c>
      <c r="T21" s="190"/>
      <c r="U21" s="161">
        <v>45325</v>
      </c>
      <c r="V21" s="161">
        <v>0</v>
      </c>
      <c r="W21" s="161">
        <v>11772.5</v>
      </c>
      <c r="X21" s="161">
        <v>11772.5</v>
      </c>
      <c r="Y21" s="161">
        <v>0</v>
      </c>
      <c r="Z21" s="161">
        <v>26350</v>
      </c>
      <c r="AA21" s="161">
        <v>0</v>
      </c>
      <c r="AB21" s="161">
        <v>36548.32</v>
      </c>
      <c r="AC21" s="161">
        <v>36546.639999999999</v>
      </c>
      <c r="AD21" s="161">
        <v>72983.460000000006</v>
      </c>
      <c r="AE21" s="161">
        <v>17340</v>
      </c>
      <c r="AF21" s="161">
        <v>121062.71</v>
      </c>
      <c r="AG21" s="161">
        <f>SUM(U21:AF21)</f>
        <v>379701.13000000006</v>
      </c>
    </row>
    <row r="22" spans="1:33" x14ac:dyDescent="0.25">
      <c r="A22" s="127" t="s">
        <v>417</v>
      </c>
      <c r="B22" s="161">
        <v>229.07</v>
      </c>
      <c r="C22" s="161">
        <v>5015.0200000000004</v>
      </c>
      <c r="D22" s="161">
        <v>0</v>
      </c>
      <c r="E22" s="161">
        <v>0</v>
      </c>
      <c r="N22" s="161">
        <f>SUM(B22:M22)</f>
        <v>5244.09</v>
      </c>
      <c r="P22" s="161">
        <f t="shared" si="9"/>
        <v>8425.6350000000002</v>
      </c>
      <c r="Q22" s="161">
        <f t="shared" si="10"/>
        <v>11234.18</v>
      </c>
      <c r="R22" s="161">
        <f t="shared" si="11"/>
        <v>11234.18</v>
      </c>
      <c r="S22" s="190">
        <f t="shared" si="5"/>
        <v>0</v>
      </c>
      <c r="T22" s="190"/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4534.2</v>
      </c>
      <c r="AA22" s="161">
        <v>0</v>
      </c>
      <c r="AB22" s="161">
        <v>1400.86</v>
      </c>
      <c r="AC22" s="161">
        <v>0</v>
      </c>
      <c r="AD22" s="161">
        <v>4448.28</v>
      </c>
      <c r="AE22" s="161">
        <v>0</v>
      </c>
      <c r="AF22" s="161">
        <v>850.84</v>
      </c>
      <c r="AG22" s="161">
        <f>SUM(U22:AF22)</f>
        <v>11234.18</v>
      </c>
    </row>
    <row r="23" spans="1:33" x14ac:dyDescent="0.25">
      <c r="A23" s="128" t="s">
        <v>279</v>
      </c>
      <c r="B23" s="191">
        <f t="shared" ref="B23:N23" si="12">SUM(B20:B22)</f>
        <v>29243.75</v>
      </c>
      <c r="C23" s="191">
        <f t="shared" si="12"/>
        <v>20099.190000000002</v>
      </c>
      <c r="D23" s="191">
        <f t="shared" si="12"/>
        <v>0</v>
      </c>
      <c r="E23" s="191">
        <f t="shared" si="12"/>
        <v>0</v>
      </c>
      <c r="F23" s="191">
        <f t="shared" si="12"/>
        <v>0</v>
      </c>
      <c r="G23" s="191">
        <f t="shared" si="12"/>
        <v>0</v>
      </c>
      <c r="H23" s="191">
        <f t="shared" si="12"/>
        <v>0</v>
      </c>
      <c r="I23" s="191">
        <f t="shared" si="12"/>
        <v>0</v>
      </c>
      <c r="J23" s="191">
        <f t="shared" si="12"/>
        <v>0</v>
      </c>
      <c r="K23" s="191">
        <f t="shared" si="12"/>
        <v>0</v>
      </c>
      <c r="L23" s="191">
        <f t="shared" si="12"/>
        <v>0</v>
      </c>
      <c r="M23" s="191">
        <f t="shared" si="12"/>
        <v>0</v>
      </c>
      <c r="N23" s="191">
        <f t="shared" si="12"/>
        <v>49342.94</v>
      </c>
      <c r="P23" s="191">
        <f>SUM(P20:P22)</f>
        <v>389870.85750000004</v>
      </c>
      <c r="Q23" s="191">
        <f t="shared" ref="Q23:R23" si="13">SUM(Q20:Q22)</f>
        <v>519827.81000000006</v>
      </c>
      <c r="R23" s="191">
        <f t="shared" si="13"/>
        <v>519827.81000000006</v>
      </c>
      <c r="S23" s="190">
        <f t="shared" si="5"/>
        <v>0</v>
      </c>
      <c r="T23" s="190"/>
      <c r="U23" s="191">
        <f t="shared" ref="U23:AG23" si="14">SUM(U20:U22)</f>
        <v>46377.68</v>
      </c>
      <c r="V23" s="191">
        <f t="shared" si="14"/>
        <v>7138.13</v>
      </c>
      <c r="W23" s="191">
        <f t="shared" si="14"/>
        <v>20956.650000000001</v>
      </c>
      <c r="X23" s="191">
        <f t="shared" si="14"/>
        <v>31172.94</v>
      </c>
      <c r="Y23" s="191">
        <f t="shared" si="14"/>
        <v>36.549999999999997</v>
      </c>
      <c r="Z23" s="191">
        <f t="shared" si="14"/>
        <v>46179.509999999995</v>
      </c>
      <c r="AA23" s="191">
        <f t="shared" si="14"/>
        <v>15289.72</v>
      </c>
      <c r="AB23" s="191">
        <f t="shared" si="14"/>
        <v>50131.39</v>
      </c>
      <c r="AC23" s="191">
        <f t="shared" si="14"/>
        <v>60911.07</v>
      </c>
      <c r="AD23" s="191">
        <f t="shared" si="14"/>
        <v>77431.740000000005</v>
      </c>
      <c r="AE23" s="191">
        <f t="shared" si="14"/>
        <v>17340</v>
      </c>
      <c r="AF23" s="191">
        <f t="shared" si="14"/>
        <v>146862.43</v>
      </c>
      <c r="AG23" s="191">
        <f t="shared" si="14"/>
        <v>519827.81000000006</v>
      </c>
    </row>
    <row r="24" spans="1:33" x14ac:dyDescent="0.25">
      <c r="P24" s="161"/>
      <c r="Q24" s="161"/>
      <c r="R24" s="161"/>
      <c r="S24" s="190"/>
      <c r="T24" s="190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</row>
    <row r="25" spans="1:33" ht="15.75" thickBot="1" x14ac:dyDescent="0.3">
      <c r="A25" s="128" t="s">
        <v>208</v>
      </c>
      <c r="B25" s="192">
        <f t="shared" ref="B25:N25" si="15">B17-B23</f>
        <v>520610.00999999989</v>
      </c>
      <c r="C25" s="192">
        <f t="shared" si="15"/>
        <v>437829.09</v>
      </c>
      <c r="D25" s="192">
        <f t="shared" si="15"/>
        <v>489182.10000000009</v>
      </c>
      <c r="E25" s="192">
        <f t="shared" si="15"/>
        <v>573378.57999999996</v>
      </c>
      <c r="F25" s="192">
        <f t="shared" si="15"/>
        <v>0</v>
      </c>
      <c r="G25" s="192">
        <f t="shared" si="15"/>
        <v>0</v>
      </c>
      <c r="H25" s="192">
        <f t="shared" si="15"/>
        <v>0</v>
      </c>
      <c r="I25" s="192">
        <f t="shared" si="15"/>
        <v>0</v>
      </c>
      <c r="J25" s="192">
        <f t="shared" si="15"/>
        <v>0</v>
      </c>
      <c r="K25" s="192">
        <f t="shared" si="15"/>
        <v>0</v>
      </c>
      <c r="L25" s="192">
        <f t="shared" si="15"/>
        <v>0</v>
      </c>
      <c r="M25" s="192">
        <f t="shared" si="15"/>
        <v>0</v>
      </c>
      <c r="N25" s="192">
        <f t="shared" si="15"/>
        <v>2020999.7800000003</v>
      </c>
      <c r="P25" s="192">
        <f>P17-P23</f>
        <v>2325673.6350000002</v>
      </c>
      <c r="Q25" s="192">
        <f t="shared" ref="Q25:R25" si="16">Q17-Q23</f>
        <v>3100898.1799999997</v>
      </c>
      <c r="R25" s="192">
        <f t="shared" si="16"/>
        <v>3100898.1799999997</v>
      </c>
      <c r="S25" s="190">
        <f t="shared" si="5"/>
        <v>0</v>
      </c>
      <c r="T25" s="190"/>
      <c r="U25" s="192">
        <f t="shared" ref="U25:AG25" si="17">U17-U23</f>
        <v>102890.73000000001</v>
      </c>
      <c r="V25" s="192">
        <f t="shared" si="17"/>
        <v>107363.59</v>
      </c>
      <c r="W25" s="192">
        <f t="shared" si="17"/>
        <v>185669.31000000003</v>
      </c>
      <c r="X25" s="192">
        <f t="shared" si="17"/>
        <v>134607.01999999999</v>
      </c>
      <c r="Y25" s="192">
        <f t="shared" si="17"/>
        <v>274110.74</v>
      </c>
      <c r="Z25" s="192">
        <f t="shared" si="17"/>
        <v>181111.09999999998</v>
      </c>
      <c r="AA25" s="192">
        <f t="shared" si="17"/>
        <v>223738.90999999997</v>
      </c>
      <c r="AB25" s="192">
        <f t="shared" si="17"/>
        <v>224660.90000000002</v>
      </c>
      <c r="AC25" s="192">
        <f t="shared" si="17"/>
        <v>741908.96000000008</v>
      </c>
      <c r="AD25" s="192">
        <f t="shared" si="17"/>
        <v>351303.21</v>
      </c>
      <c r="AE25" s="192">
        <f t="shared" si="17"/>
        <v>225410.44000000003</v>
      </c>
      <c r="AF25" s="192">
        <f t="shared" si="17"/>
        <v>348123.27</v>
      </c>
      <c r="AG25" s="192">
        <f t="shared" si="17"/>
        <v>3100898.1799999997</v>
      </c>
    </row>
    <row r="26" spans="1:33" x14ac:dyDescent="0.25">
      <c r="P26" s="161"/>
      <c r="Q26" s="161"/>
      <c r="R26" s="161"/>
      <c r="S26" s="190"/>
      <c r="T26" s="190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 spans="1:33" x14ac:dyDescent="0.25">
      <c r="A27" s="128" t="s">
        <v>206</v>
      </c>
      <c r="P27" s="161"/>
      <c r="Q27" s="161"/>
      <c r="R27" s="161"/>
      <c r="S27" s="190"/>
      <c r="T27" s="190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</row>
    <row r="28" spans="1:33" x14ac:dyDescent="0.25">
      <c r="A28" s="127" t="s">
        <v>222</v>
      </c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>
        <f>SUM(U28:Y28)</f>
        <v>0</v>
      </c>
    </row>
    <row r="29" spans="1:33" x14ac:dyDescent="0.25">
      <c r="A29" s="127" t="s">
        <v>280</v>
      </c>
      <c r="B29" s="161">
        <v>98365.6</v>
      </c>
      <c r="C29" s="161">
        <v>84989.23</v>
      </c>
      <c r="D29" s="161">
        <v>90666.07</v>
      </c>
      <c r="E29" s="161">
        <v>89919.12</v>
      </c>
      <c r="N29" s="161">
        <f>SUM(B29:M29)</f>
        <v>363940.02</v>
      </c>
      <c r="P29" s="161">
        <f>Q29/12*$P$6</f>
        <v>648000</v>
      </c>
      <c r="Q29" s="161">
        <f>72000*12</f>
        <v>864000</v>
      </c>
      <c r="R29" s="161">
        <f>AG29</f>
        <v>848837.41</v>
      </c>
      <c r="S29" s="190">
        <f t="shared" si="5"/>
        <v>0</v>
      </c>
      <c r="T29" s="190"/>
      <c r="U29" s="161">
        <v>8738.67</v>
      </c>
      <c r="V29" s="161">
        <v>7542.86</v>
      </c>
      <c r="W29" s="161">
        <v>8498.8799999999992</v>
      </c>
      <c r="X29" s="161">
        <v>8584.34</v>
      </c>
      <c r="Y29" s="161">
        <v>9426.1</v>
      </c>
      <c r="Z29" s="161">
        <v>8607.9500000000007</v>
      </c>
      <c r="AA29" s="161">
        <v>8988.25</v>
      </c>
      <c r="AB29" s="161">
        <v>9405.7800000000007</v>
      </c>
      <c r="AC29" s="161">
        <v>485631.04</v>
      </c>
      <c r="AD29" s="161">
        <v>84237.75</v>
      </c>
      <c r="AE29" s="161">
        <v>67313.05</v>
      </c>
      <c r="AF29" s="161">
        <v>141862.74</v>
      </c>
      <c r="AG29" s="161">
        <f>SUM(U29:AF29)</f>
        <v>848837.41</v>
      </c>
    </row>
    <row r="30" spans="1:33" x14ac:dyDescent="0.25">
      <c r="A30" s="127" t="s">
        <v>530</v>
      </c>
      <c r="B30" s="161">
        <v>7445.83</v>
      </c>
      <c r="C30" s="161">
        <v>7456.25</v>
      </c>
      <c r="D30" s="161">
        <v>7456.24</v>
      </c>
      <c r="E30" s="161">
        <v>6862.5</v>
      </c>
      <c r="N30" s="161">
        <f>SUM(B30:M30)</f>
        <v>29220.82</v>
      </c>
      <c r="P30" s="161">
        <f t="shared" ref="P30:P37" si="18">Q30/12*$P$6</f>
        <v>33356.25</v>
      </c>
      <c r="Q30" s="161">
        <f>(3706.25*12)</f>
        <v>44475</v>
      </c>
      <c r="R30" s="161">
        <f t="shared" ref="R30:R37" si="19">AG30</f>
        <v>0</v>
      </c>
      <c r="S30" s="190">
        <f t="shared" si="5"/>
        <v>0</v>
      </c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 spans="1:33" x14ac:dyDescent="0.25">
      <c r="A31" s="127" t="s">
        <v>224</v>
      </c>
      <c r="B31" s="161">
        <v>391.96</v>
      </c>
      <c r="C31" s="161">
        <v>346.12</v>
      </c>
      <c r="D31" s="161">
        <v>346.12</v>
      </c>
      <c r="E31" s="161">
        <v>346.12</v>
      </c>
      <c r="N31" s="161">
        <f>SUM(B31:M31)</f>
        <v>1430.3199999999997</v>
      </c>
      <c r="P31" s="161"/>
      <c r="Q31" s="161"/>
      <c r="R31" s="161"/>
      <c r="S31" s="190"/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1:33" x14ac:dyDescent="0.25">
      <c r="A32" s="127" t="s">
        <v>281</v>
      </c>
      <c r="B32" s="161">
        <v>11346.28</v>
      </c>
      <c r="C32" s="161">
        <v>8726.19</v>
      </c>
      <c r="D32" s="161">
        <v>8232.07</v>
      </c>
      <c r="E32" s="161">
        <v>6422.92</v>
      </c>
      <c r="N32" s="161">
        <f t="shared" ref="N32:N38" si="20">SUM(B32:M32)</f>
        <v>34727.46</v>
      </c>
      <c r="P32" s="161">
        <f t="shared" si="18"/>
        <v>49301.257500000007</v>
      </c>
      <c r="Q32" s="161">
        <f t="shared" ref="Q32:Q37" si="21">R32</f>
        <v>65735.010000000009</v>
      </c>
      <c r="R32" s="161">
        <f t="shared" si="19"/>
        <v>65735.010000000009</v>
      </c>
      <c r="S32" s="190">
        <f t="shared" si="5"/>
        <v>0</v>
      </c>
      <c r="T32" s="190"/>
      <c r="U32" s="161">
        <v>1485.28</v>
      </c>
      <c r="V32" s="161">
        <v>1185.3900000000001</v>
      </c>
      <c r="W32" s="161">
        <v>1307.2</v>
      </c>
      <c r="X32" s="161">
        <v>729.18</v>
      </c>
      <c r="Y32" s="161">
        <v>687.56</v>
      </c>
      <c r="Z32" s="161">
        <v>659.18</v>
      </c>
      <c r="AA32" s="161">
        <v>670.69</v>
      </c>
      <c r="AB32" s="161">
        <v>720.28</v>
      </c>
      <c r="AC32" s="161">
        <v>40654.26</v>
      </c>
      <c r="AD32" s="161">
        <v>4895.8900000000003</v>
      </c>
      <c r="AE32" s="161">
        <v>3981.11</v>
      </c>
      <c r="AF32" s="161">
        <v>8758.99</v>
      </c>
      <c r="AG32" s="161">
        <f t="shared" ref="AG32:AG37" si="22">SUM(U32:AF32)</f>
        <v>65735.010000000009</v>
      </c>
    </row>
    <row r="33" spans="1:33" x14ac:dyDescent="0.25">
      <c r="A33" s="127" t="s">
        <v>282</v>
      </c>
      <c r="B33" s="161">
        <v>13243.02</v>
      </c>
      <c r="C33" s="161">
        <v>13272.47</v>
      </c>
      <c r="D33" s="161">
        <v>13272.47</v>
      </c>
      <c r="E33" s="161">
        <v>12712.3</v>
      </c>
      <c r="N33" s="161">
        <f t="shared" si="20"/>
        <v>52500.259999999995</v>
      </c>
      <c r="P33" s="161">
        <f t="shared" si="18"/>
        <v>83250</v>
      </c>
      <c r="Q33" s="161">
        <f>9250*12</f>
        <v>111000</v>
      </c>
      <c r="R33" s="161">
        <f t="shared" si="19"/>
        <v>100999.13</v>
      </c>
      <c r="S33" s="190">
        <f t="shared" si="5"/>
        <v>0</v>
      </c>
      <c r="T33" s="190"/>
      <c r="U33" s="161">
        <v>3064.68</v>
      </c>
      <c r="V33" s="161">
        <v>3064.68</v>
      </c>
      <c r="W33" s="161">
        <v>3580.55</v>
      </c>
      <c r="X33" s="161">
        <v>3064.68</v>
      </c>
      <c r="Y33" s="161">
        <v>3064.68</v>
      </c>
      <c r="Z33" s="161">
        <v>3064.68</v>
      </c>
      <c r="AA33" s="161">
        <v>3064.68</v>
      </c>
      <c r="AB33" s="161">
        <v>3064.68</v>
      </c>
      <c r="AC33" s="161">
        <v>51772.85</v>
      </c>
      <c r="AD33" s="161">
        <v>8213.7800000000007</v>
      </c>
      <c r="AE33" s="161">
        <v>8596.84</v>
      </c>
      <c r="AF33" s="161">
        <v>7382.35</v>
      </c>
      <c r="AG33" s="161">
        <f t="shared" si="22"/>
        <v>100999.13</v>
      </c>
    </row>
    <row r="34" spans="1:33" x14ac:dyDescent="0.25">
      <c r="A34" s="127" t="s">
        <v>283</v>
      </c>
      <c r="B34" s="161">
        <v>1695.55</v>
      </c>
      <c r="C34" s="161">
        <v>1698.06</v>
      </c>
      <c r="D34" s="161">
        <v>1673.48</v>
      </c>
      <c r="E34" s="161">
        <v>1606.89</v>
      </c>
      <c r="N34" s="161">
        <f t="shared" si="20"/>
        <v>6673.9800000000005</v>
      </c>
      <c r="P34" s="161">
        <f t="shared" si="18"/>
        <v>9450</v>
      </c>
      <c r="Q34" s="161">
        <f>1050*12</f>
        <v>12600</v>
      </c>
      <c r="R34" s="161">
        <f t="shared" si="19"/>
        <v>4711.1099999999997</v>
      </c>
      <c r="S34" s="190">
        <f t="shared" si="5"/>
        <v>0</v>
      </c>
      <c r="T34" s="190"/>
      <c r="U34" s="161">
        <v>216.98</v>
      </c>
      <c r="V34" s="161">
        <v>216.98</v>
      </c>
      <c r="W34" s="161">
        <v>216.98</v>
      </c>
      <c r="X34" s="161">
        <v>216.98</v>
      </c>
      <c r="Y34" s="161">
        <v>216.98</v>
      </c>
      <c r="Z34" s="161">
        <v>216.98</v>
      </c>
      <c r="AA34" s="161">
        <v>216.98</v>
      </c>
      <c r="AB34" s="161">
        <v>216.98</v>
      </c>
      <c r="AC34" s="161">
        <v>216.98</v>
      </c>
      <c r="AD34" s="161">
        <v>959.03</v>
      </c>
      <c r="AE34" s="161">
        <v>993.66</v>
      </c>
      <c r="AF34" s="161">
        <v>805.6</v>
      </c>
      <c r="AG34" s="161">
        <f t="shared" si="22"/>
        <v>4711.1099999999997</v>
      </c>
    </row>
    <row r="35" spans="1:33" x14ac:dyDescent="0.25">
      <c r="A35" s="127" t="s">
        <v>327</v>
      </c>
      <c r="B35" s="161">
        <v>3817.07</v>
      </c>
      <c r="C35" s="161">
        <v>2654.45</v>
      </c>
      <c r="D35" s="161">
        <v>2658.75</v>
      </c>
      <c r="E35" s="161">
        <v>2690.26</v>
      </c>
      <c r="N35" s="161">
        <f t="shared" si="20"/>
        <v>11820.53</v>
      </c>
      <c r="P35" s="161">
        <f t="shared" si="18"/>
        <v>23400</v>
      </c>
      <c r="Q35" s="161">
        <f>2600*12</f>
        <v>31200</v>
      </c>
      <c r="R35" s="161">
        <f t="shared" si="19"/>
        <v>21975.360000000001</v>
      </c>
      <c r="S35" s="190">
        <f t="shared" si="5"/>
        <v>0</v>
      </c>
      <c r="T35" s="190"/>
      <c r="U35" s="161">
        <v>400</v>
      </c>
      <c r="V35" s="161">
        <v>400</v>
      </c>
      <c r="W35" s="161">
        <v>400</v>
      </c>
      <c r="X35" s="161">
        <v>400</v>
      </c>
      <c r="Y35" s="161">
        <v>400</v>
      </c>
      <c r="Z35" s="161">
        <v>200</v>
      </c>
      <c r="AA35" s="161">
        <v>200</v>
      </c>
      <c r="AB35" s="161">
        <v>200</v>
      </c>
      <c r="AC35" s="161">
        <v>14455.95</v>
      </c>
      <c r="AD35" s="161">
        <v>1779.8</v>
      </c>
      <c r="AE35" s="161">
        <v>1831.57</v>
      </c>
      <c r="AF35" s="161">
        <v>1308.04</v>
      </c>
      <c r="AG35" s="161">
        <f t="shared" si="22"/>
        <v>21975.360000000001</v>
      </c>
    </row>
    <row r="36" spans="1:33" x14ac:dyDescent="0.25">
      <c r="A36" s="127" t="s">
        <v>284</v>
      </c>
      <c r="B36" s="161">
        <f>168.62+65.58</f>
        <v>234.2</v>
      </c>
      <c r="C36" s="161">
        <f>168.62+70.58</f>
        <v>239.2</v>
      </c>
      <c r="D36" s="161">
        <f>168.62+99.56</f>
        <v>268.18</v>
      </c>
      <c r="E36" s="161">
        <f>194.61+44.56</f>
        <v>239.17000000000002</v>
      </c>
      <c r="N36" s="161">
        <f>SUM(B36:M36)</f>
        <v>980.75</v>
      </c>
      <c r="P36" s="161">
        <f t="shared" si="18"/>
        <v>1585.0050000000001</v>
      </c>
      <c r="Q36" s="161">
        <f t="shared" si="21"/>
        <v>2113.34</v>
      </c>
      <c r="R36" s="161">
        <f t="shared" si="19"/>
        <v>2113.34</v>
      </c>
      <c r="S36" s="190">
        <f t="shared" si="5"/>
        <v>0</v>
      </c>
      <c r="T36" s="190"/>
      <c r="U36" s="161">
        <v>64.989999999999995</v>
      </c>
      <c r="V36" s="161">
        <v>64.989999999999995</v>
      </c>
      <c r="W36" s="161">
        <v>64.989999999999995</v>
      </c>
      <c r="X36" s="161">
        <v>419.95</v>
      </c>
      <c r="Y36" s="161">
        <v>65.09</v>
      </c>
      <c r="Z36" s="161">
        <f>64.99+50.66</f>
        <v>115.64999999999999</v>
      </c>
      <c r="AA36" s="161">
        <f>64.99+66.92</f>
        <v>131.91</v>
      </c>
      <c r="AB36" s="161">
        <v>64.989999999999995</v>
      </c>
      <c r="AC36" s="161">
        <f>64.99+83.46+340</f>
        <v>488.45</v>
      </c>
      <c r="AD36" s="161">
        <v>64.989999999999995</v>
      </c>
      <c r="AE36" s="161">
        <v>64.989999999999995</v>
      </c>
      <c r="AF36" s="161">
        <f>-7.65+510</f>
        <v>502.35</v>
      </c>
      <c r="AG36" s="161">
        <f>SUM(U36:AF36)</f>
        <v>2113.34</v>
      </c>
    </row>
    <row r="37" spans="1:33" x14ac:dyDescent="0.25">
      <c r="A37" s="127" t="s">
        <v>243</v>
      </c>
      <c r="B37" s="161">
        <v>2203.0500000000002</v>
      </c>
      <c r="C37" s="161">
        <v>2203.0500000000002</v>
      </c>
      <c r="D37" s="161">
        <v>2203.0500000000002</v>
      </c>
      <c r="E37" s="161">
        <v>2203.0500000000002</v>
      </c>
      <c r="N37" s="208">
        <f t="shared" si="20"/>
        <v>8812.2000000000007</v>
      </c>
      <c r="P37" s="161">
        <f t="shared" si="18"/>
        <v>11371.635</v>
      </c>
      <c r="Q37" s="161">
        <f t="shared" si="21"/>
        <v>15162.18</v>
      </c>
      <c r="R37" s="161">
        <f t="shared" si="19"/>
        <v>15162.18</v>
      </c>
      <c r="S37" s="190">
        <f t="shared" si="5"/>
        <v>0</v>
      </c>
      <c r="T37" s="190"/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11412.18</v>
      </c>
      <c r="AD37" s="161">
        <v>1250</v>
      </c>
      <c r="AE37" s="161">
        <v>1250</v>
      </c>
      <c r="AF37" s="161">
        <v>1250</v>
      </c>
      <c r="AG37" s="206">
        <f t="shared" si="22"/>
        <v>15162.18</v>
      </c>
    </row>
    <row r="38" spans="1:33" hidden="1" x14ac:dyDescent="0.25">
      <c r="A38" s="127" t="s">
        <v>578</v>
      </c>
      <c r="N38" s="206">
        <f t="shared" si="20"/>
        <v>0</v>
      </c>
      <c r="P38" s="161"/>
      <c r="Q38" s="161"/>
      <c r="R38" s="161"/>
      <c r="S38" s="190"/>
      <c r="T38" s="190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206"/>
    </row>
    <row r="39" spans="1:33" x14ac:dyDescent="0.25">
      <c r="A39" s="128" t="s">
        <v>230</v>
      </c>
      <c r="B39" s="191">
        <f t="shared" ref="B39:H39" si="23">SUM(B29:B38)</f>
        <v>138742.56000000003</v>
      </c>
      <c r="C39" s="191">
        <f t="shared" si="23"/>
        <v>121585.01999999999</v>
      </c>
      <c r="D39" s="191">
        <f t="shared" si="23"/>
        <v>126776.43</v>
      </c>
      <c r="E39" s="191">
        <f t="shared" si="23"/>
        <v>123002.32999999999</v>
      </c>
      <c r="F39" s="191">
        <f t="shared" si="23"/>
        <v>0</v>
      </c>
      <c r="G39" s="191">
        <f t="shared" si="23"/>
        <v>0</v>
      </c>
      <c r="H39" s="191">
        <f t="shared" si="23"/>
        <v>0</v>
      </c>
      <c r="I39" s="191">
        <f>SUM(I29:I38)</f>
        <v>0</v>
      </c>
      <c r="J39" s="191">
        <f>SUM(J29:J38)</f>
        <v>0</v>
      </c>
      <c r="K39" s="191">
        <f>SUM(K29:K38)</f>
        <v>0</v>
      </c>
      <c r="L39" s="191">
        <f t="shared" ref="L39" si="24">SUM(L29:L37)</f>
        <v>0</v>
      </c>
      <c r="M39" s="191">
        <f>SUM(M29:M38)</f>
        <v>0</v>
      </c>
      <c r="N39" s="191">
        <f>SUM(N29:N38)</f>
        <v>510106.34000000008</v>
      </c>
      <c r="P39" s="191">
        <f>SUM(P29:P37)</f>
        <v>859714.14750000008</v>
      </c>
      <c r="Q39" s="191">
        <f t="shared" ref="Q39:R39" si="25">SUM(Q29:Q37)</f>
        <v>1146285.53</v>
      </c>
      <c r="R39" s="191">
        <f t="shared" si="25"/>
        <v>1059533.54</v>
      </c>
      <c r="S39" s="190">
        <f t="shared" si="5"/>
        <v>0</v>
      </c>
      <c r="T39" s="190"/>
      <c r="U39" s="191">
        <f t="shared" ref="U39:AG39" si="26">SUM(U29:U37)</f>
        <v>13970.6</v>
      </c>
      <c r="V39" s="191">
        <f t="shared" si="26"/>
        <v>12474.9</v>
      </c>
      <c r="W39" s="191">
        <f t="shared" si="26"/>
        <v>14068.6</v>
      </c>
      <c r="X39" s="191">
        <f t="shared" si="26"/>
        <v>13415.130000000001</v>
      </c>
      <c r="Y39" s="191">
        <f t="shared" si="26"/>
        <v>13860.41</v>
      </c>
      <c r="Z39" s="191">
        <f t="shared" si="26"/>
        <v>12864.44</v>
      </c>
      <c r="AA39" s="191">
        <f t="shared" si="26"/>
        <v>13272.51</v>
      </c>
      <c r="AB39" s="191">
        <f t="shared" si="26"/>
        <v>13672.710000000001</v>
      </c>
      <c r="AC39" s="191">
        <f t="shared" si="26"/>
        <v>604631.70999999985</v>
      </c>
      <c r="AD39" s="191">
        <f t="shared" si="26"/>
        <v>101401.24</v>
      </c>
      <c r="AE39" s="191">
        <f t="shared" si="26"/>
        <v>84031.220000000016</v>
      </c>
      <c r="AF39" s="191">
        <f t="shared" si="26"/>
        <v>161870.07</v>
      </c>
      <c r="AG39" s="191">
        <f t="shared" si="26"/>
        <v>1059533.54</v>
      </c>
    </row>
    <row r="40" spans="1:33" x14ac:dyDescent="0.25">
      <c r="A40" s="127" t="s">
        <v>58</v>
      </c>
      <c r="P40" s="161"/>
      <c r="Q40" s="161"/>
      <c r="R40" s="161"/>
      <c r="S40" s="190"/>
      <c r="T40" s="190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x14ac:dyDescent="0.25">
      <c r="A41" s="128" t="s">
        <v>285</v>
      </c>
      <c r="P41" s="161"/>
      <c r="Q41" s="161"/>
      <c r="R41" s="161"/>
      <c r="S41" s="190"/>
      <c r="T41" s="190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x14ac:dyDescent="0.25">
      <c r="A42" s="127" t="s">
        <v>231</v>
      </c>
      <c r="B42" s="161">
        <f>25000+12500</f>
        <v>37500</v>
      </c>
      <c r="C42" s="161">
        <f>25000+12500</f>
        <v>37500</v>
      </c>
      <c r="D42" s="161">
        <v>37500</v>
      </c>
      <c r="E42" s="161">
        <v>37500</v>
      </c>
      <c r="N42" s="161">
        <f>SUM(B42:M42)</f>
        <v>150000</v>
      </c>
      <c r="P42" s="161">
        <f>Q42/12*$P$6</f>
        <v>337500</v>
      </c>
      <c r="Q42" s="161">
        <f t="shared" ref="Q42:Q59" si="27">R42</f>
        <v>450000</v>
      </c>
      <c r="R42" s="161">
        <f>AG42</f>
        <v>450000</v>
      </c>
      <c r="S42" s="190">
        <f t="shared" si="5"/>
        <v>0</v>
      </c>
      <c r="T42" s="190"/>
      <c r="U42" s="161">
        <f t="shared" ref="U42:AF42" si="28">25000+12500</f>
        <v>37500</v>
      </c>
      <c r="V42" s="161">
        <f t="shared" si="28"/>
        <v>37500</v>
      </c>
      <c r="W42" s="161">
        <f t="shared" si="28"/>
        <v>37500</v>
      </c>
      <c r="X42" s="161">
        <f t="shared" si="28"/>
        <v>37500</v>
      </c>
      <c r="Y42" s="161">
        <f t="shared" si="28"/>
        <v>37500</v>
      </c>
      <c r="Z42" s="161">
        <f t="shared" si="28"/>
        <v>37500</v>
      </c>
      <c r="AA42" s="161">
        <f t="shared" si="28"/>
        <v>37500</v>
      </c>
      <c r="AB42" s="161">
        <f t="shared" si="28"/>
        <v>37500</v>
      </c>
      <c r="AC42" s="161">
        <f t="shared" si="28"/>
        <v>37500</v>
      </c>
      <c r="AD42" s="161">
        <f t="shared" si="28"/>
        <v>37500</v>
      </c>
      <c r="AE42" s="161">
        <f t="shared" si="28"/>
        <v>37500</v>
      </c>
      <c r="AF42" s="161">
        <f t="shared" si="28"/>
        <v>37500</v>
      </c>
      <c r="AG42" s="161">
        <f>SUM(U42:AF42)</f>
        <v>450000</v>
      </c>
    </row>
    <row r="43" spans="1:33" x14ac:dyDescent="0.25">
      <c r="A43" s="127" t="s">
        <v>579</v>
      </c>
      <c r="B43" s="161">
        <v>-313.72000000000003</v>
      </c>
      <c r="C43" s="161">
        <v>2480.09</v>
      </c>
      <c r="D43" s="161">
        <v>-1654.49</v>
      </c>
      <c r="E43" s="161">
        <f>-4084.5</f>
        <v>-4084.5</v>
      </c>
      <c r="N43" s="161">
        <f>SUM(B43:M43)</f>
        <v>-3572.62</v>
      </c>
      <c r="P43" s="161">
        <f t="shared" ref="P43:P60" si="29">Q43/12*$P$6</f>
        <v>24816.747000000007</v>
      </c>
      <c r="Q43" s="161">
        <f>82722.49*0.4</f>
        <v>33088.996000000006</v>
      </c>
      <c r="R43" s="161">
        <f t="shared" ref="R43:R60" si="30">AG43</f>
        <v>82722.490000000005</v>
      </c>
      <c r="S43" s="190">
        <f t="shared" si="5"/>
        <v>0</v>
      </c>
      <c r="T43" s="190"/>
      <c r="U43" s="161">
        <v>8518.2800000000007</v>
      </c>
      <c r="V43" s="161">
        <v>5856.39</v>
      </c>
      <c r="W43" s="161">
        <v>8346.2199999999993</v>
      </c>
      <c r="X43" s="161">
        <v>4857.8599999999997</v>
      </c>
      <c r="Y43" s="161">
        <f>5661.41+210.04</f>
        <v>5871.45</v>
      </c>
      <c r="Z43" s="161">
        <v>5979.18</v>
      </c>
      <c r="AA43" s="161">
        <v>7652.61</v>
      </c>
      <c r="AB43" s="161">
        <v>7388.57</v>
      </c>
      <c r="AC43" s="161">
        <v>7702.5</v>
      </c>
      <c r="AD43" s="161">
        <f>7137.19+152.4</f>
        <v>7289.5899999999992</v>
      </c>
      <c r="AE43" s="161">
        <v>7249.21</v>
      </c>
      <c r="AF43" s="161">
        <v>6010.63</v>
      </c>
      <c r="AG43" s="161">
        <f>SUM(U43:AF43)</f>
        <v>82722.490000000005</v>
      </c>
    </row>
    <row r="44" spans="1:33" x14ac:dyDescent="0.25">
      <c r="A44" s="127" t="s">
        <v>332</v>
      </c>
      <c r="B44" s="161">
        <v>107.64</v>
      </c>
      <c r="C44" s="161">
        <v>0</v>
      </c>
      <c r="D44" s="161">
        <v>0</v>
      </c>
      <c r="E44" s="161">
        <v>107.64</v>
      </c>
      <c r="N44" s="161">
        <f>SUM(B44:M44)</f>
        <v>215.28</v>
      </c>
      <c r="P44" s="161"/>
      <c r="Q44" s="161"/>
      <c r="R44" s="161"/>
      <c r="S44" s="190"/>
      <c r="T44" s="19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</row>
    <row r="45" spans="1:33" x14ac:dyDescent="0.25">
      <c r="A45" s="127" t="s">
        <v>287</v>
      </c>
      <c r="B45" s="161">
        <v>434</v>
      </c>
      <c r="C45" s="161">
        <v>222</v>
      </c>
      <c r="D45" s="161">
        <v>222</v>
      </c>
      <c r="E45" s="161">
        <v>222</v>
      </c>
      <c r="N45" s="161">
        <f t="shared" ref="N45:N60" si="31">SUM(B45:M45)</f>
        <v>1100</v>
      </c>
      <c r="P45" s="161">
        <f t="shared" si="29"/>
        <v>1350</v>
      </c>
      <c r="Q45" s="161">
        <f t="shared" si="27"/>
        <v>1800</v>
      </c>
      <c r="R45" s="161">
        <f t="shared" si="30"/>
        <v>1800</v>
      </c>
      <c r="S45" s="190">
        <f t="shared" si="5"/>
        <v>0</v>
      </c>
      <c r="T45" s="190"/>
      <c r="U45" s="161">
        <v>150</v>
      </c>
      <c r="V45" s="161">
        <v>150</v>
      </c>
      <c r="W45" s="161">
        <v>150</v>
      </c>
      <c r="X45" s="161">
        <v>150</v>
      </c>
      <c r="Y45" s="161">
        <v>150</v>
      </c>
      <c r="Z45" s="161">
        <v>150</v>
      </c>
      <c r="AA45" s="161">
        <v>150</v>
      </c>
      <c r="AB45" s="161">
        <v>150</v>
      </c>
      <c r="AC45" s="161">
        <v>150</v>
      </c>
      <c r="AD45" s="161">
        <v>150</v>
      </c>
      <c r="AE45" s="161">
        <v>150</v>
      </c>
      <c r="AF45" s="161">
        <v>150</v>
      </c>
      <c r="AG45" s="161">
        <f t="shared" ref="AG45:AG60" si="32">SUM(U45:AF45)</f>
        <v>1800</v>
      </c>
    </row>
    <row r="46" spans="1:33" x14ac:dyDescent="0.25">
      <c r="A46" s="127" t="s">
        <v>436</v>
      </c>
      <c r="B46" s="161">
        <v>2100</v>
      </c>
      <c r="C46" s="161">
        <v>2100</v>
      </c>
      <c r="D46" s="161">
        <v>2100</v>
      </c>
      <c r="E46" s="161">
        <v>2100</v>
      </c>
      <c r="N46" s="161">
        <f t="shared" si="31"/>
        <v>8400</v>
      </c>
      <c r="P46" s="161">
        <f t="shared" si="29"/>
        <v>21756.9</v>
      </c>
      <c r="Q46" s="161">
        <f t="shared" si="27"/>
        <v>29009.200000000001</v>
      </c>
      <c r="R46" s="161">
        <f t="shared" si="30"/>
        <v>29009.200000000001</v>
      </c>
      <c r="S46" s="190">
        <f t="shared" si="5"/>
        <v>0</v>
      </c>
      <c r="T46" s="190"/>
      <c r="U46" s="161">
        <v>3575</v>
      </c>
      <c r="V46" s="161">
        <v>0</v>
      </c>
      <c r="W46" s="161">
        <v>1210</v>
      </c>
      <c r="X46" s="161">
        <v>1875</v>
      </c>
      <c r="Y46" s="161">
        <v>0</v>
      </c>
      <c r="Z46" s="161">
        <v>3844.35</v>
      </c>
      <c r="AA46" s="161">
        <v>5810</v>
      </c>
      <c r="AB46" s="161">
        <v>3409.85</v>
      </c>
      <c r="AC46" s="161">
        <v>0</v>
      </c>
      <c r="AD46" s="161">
        <v>7190</v>
      </c>
      <c r="AE46" s="161">
        <v>2095</v>
      </c>
      <c r="AF46" s="161">
        <v>0</v>
      </c>
      <c r="AG46" s="161">
        <f t="shared" si="32"/>
        <v>29009.200000000001</v>
      </c>
    </row>
    <row r="47" spans="1:33" x14ac:dyDescent="0.25">
      <c r="A47" s="127" t="s">
        <v>288</v>
      </c>
      <c r="B47" s="161">
        <v>2407.6799999999998</v>
      </c>
      <c r="C47" s="161">
        <v>2440.0300000000002</v>
      </c>
      <c r="D47" s="161">
        <v>3181.3</v>
      </c>
      <c r="E47" s="161">
        <v>2998.87</v>
      </c>
      <c r="N47" s="161">
        <f t="shared" si="31"/>
        <v>11027.880000000001</v>
      </c>
      <c r="P47" s="161">
        <f t="shared" si="29"/>
        <v>34523.272499999999</v>
      </c>
      <c r="Q47" s="161">
        <f t="shared" si="27"/>
        <v>46031.03</v>
      </c>
      <c r="R47" s="161">
        <f t="shared" si="30"/>
        <v>46031.03</v>
      </c>
      <c r="S47" s="190">
        <f t="shared" si="5"/>
        <v>0</v>
      </c>
      <c r="T47" s="190"/>
      <c r="U47" s="161">
        <v>959.14</v>
      </c>
      <c r="V47" s="161">
        <v>519.59</v>
      </c>
      <c r="W47" s="161">
        <v>1411.26</v>
      </c>
      <c r="X47" s="161">
        <v>2829.73</v>
      </c>
      <c r="Y47" s="161">
        <v>1685.25</v>
      </c>
      <c r="Z47" s="161">
        <v>10130.58</v>
      </c>
      <c r="AA47" s="161">
        <v>1273.76</v>
      </c>
      <c r="AB47" s="161">
        <v>6783.81</v>
      </c>
      <c r="AC47" s="161">
        <f>2446.62-1505</f>
        <v>941.61999999999989</v>
      </c>
      <c r="AD47" s="161">
        <v>9829.01</v>
      </c>
      <c r="AE47" s="161">
        <v>1402.74</v>
      </c>
      <c r="AF47" s="161">
        <v>8264.5400000000009</v>
      </c>
      <c r="AG47" s="161">
        <f t="shared" si="32"/>
        <v>46031.03</v>
      </c>
    </row>
    <row r="48" spans="1:33" x14ac:dyDescent="0.25">
      <c r="A48" s="127" t="s">
        <v>236</v>
      </c>
      <c r="B48" s="161">
        <v>6012.93</v>
      </c>
      <c r="C48" s="161">
        <v>6012.93</v>
      </c>
      <c r="D48" s="161">
        <v>6012.93</v>
      </c>
      <c r="E48" s="161">
        <v>6012.93</v>
      </c>
      <c r="N48" s="161">
        <f t="shared" si="31"/>
        <v>24051.72</v>
      </c>
      <c r="P48" s="161">
        <f t="shared" si="29"/>
        <v>60930</v>
      </c>
      <c r="Q48" s="161">
        <f>6770*12</f>
        <v>81240</v>
      </c>
      <c r="R48" s="161">
        <f t="shared" si="30"/>
        <v>62935.24000000002</v>
      </c>
      <c r="S48" s="190">
        <f t="shared" si="5"/>
        <v>0</v>
      </c>
      <c r="T48" s="190"/>
      <c r="U48" s="161">
        <v>5394.18</v>
      </c>
      <c r="V48" s="161">
        <v>5394.18</v>
      </c>
      <c r="W48" s="161">
        <v>5394.18</v>
      </c>
      <c r="X48" s="161">
        <v>5394.18</v>
      </c>
      <c r="Y48" s="161">
        <v>5394.18</v>
      </c>
      <c r="Z48" s="161">
        <v>5394.18</v>
      </c>
      <c r="AA48" s="161">
        <v>5019.7700000000004</v>
      </c>
      <c r="AB48" s="161">
        <v>5471.33</v>
      </c>
      <c r="AC48" s="161">
        <v>5019.7700000000004</v>
      </c>
      <c r="AD48" s="161">
        <v>5019.7700000000004</v>
      </c>
      <c r="AE48" s="161">
        <v>5019.76</v>
      </c>
      <c r="AF48" s="161">
        <v>5019.76</v>
      </c>
      <c r="AG48" s="161">
        <f t="shared" si="32"/>
        <v>62935.24000000002</v>
      </c>
    </row>
    <row r="49" spans="1:33" x14ac:dyDescent="0.25">
      <c r="A49" s="127" t="s">
        <v>233</v>
      </c>
      <c r="B49" s="161">
        <v>1874.76</v>
      </c>
      <c r="C49" s="161">
        <v>2143.7600000000002</v>
      </c>
      <c r="D49" s="161">
        <v>1206.33</v>
      </c>
      <c r="E49" s="161">
        <v>667.53</v>
      </c>
      <c r="N49" s="161">
        <f t="shared" si="31"/>
        <v>5892.38</v>
      </c>
      <c r="P49" s="161"/>
      <c r="Q49" s="161"/>
      <c r="R49" s="161"/>
      <c r="S49" s="190"/>
      <c r="T49" s="190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x14ac:dyDescent="0.25">
      <c r="A50" s="127" t="s">
        <v>237</v>
      </c>
      <c r="B50" s="161">
        <v>410.94</v>
      </c>
      <c r="C50" s="161">
        <v>414.54</v>
      </c>
      <c r="D50" s="161">
        <v>408.14</v>
      </c>
      <c r="E50" s="161">
        <v>440.12</v>
      </c>
      <c r="N50" s="161">
        <f t="shared" si="31"/>
        <v>1673.7399999999998</v>
      </c>
      <c r="P50" s="161">
        <f t="shared" si="29"/>
        <v>10777.162499999999</v>
      </c>
      <c r="Q50" s="161">
        <f t="shared" si="27"/>
        <v>14369.55</v>
      </c>
      <c r="R50" s="161">
        <f t="shared" si="30"/>
        <v>14369.55</v>
      </c>
      <c r="S50" s="190">
        <f t="shared" si="5"/>
        <v>0</v>
      </c>
      <c r="T50" s="190"/>
      <c r="U50" s="161">
        <v>1568.56</v>
      </c>
      <c r="V50" s="161">
        <v>2423.8000000000002</v>
      </c>
      <c r="W50" s="161">
        <v>2122.8000000000002</v>
      </c>
      <c r="X50" s="161">
        <v>2200</v>
      </c>
      <c r="Y50" s="161">
        <v>-1041.1199999999999</v>
      </c>
      <c r="Z50" s="161">
        <v>2297.7600000000002</v>
      </c>
      <c r="AA50" s="161">
        <v>1026.78</v>
      </c>
      <c r="AB50" s="161">
        <v>603.67999999999995</v>
      </c>
      <c r="AC50" s="161">
        <v>603.67999999999995</v>
      </c>
      <c r="AD50" s="161">
        <v>605.98</v>
      </c>
      <c r="AE50" s="161">
        <v>606.07000000000005</v>
      </c>
      <c r="AF50" s="161">
        <v>1351.56</v>
      </c>
      <c r="AG50" s="161">
        <f t="shared" si="32"/>
        <v>14369.55</v>
      </c>
    </row>
    <row r="51" spans="1:33" x14ac:dyDescent="0.25">
      <c r="A51" s="127" t="s">
        <v>235</v>
      </c>
      <c r="B51" s="161">
        <v>22656.26</v>
      </c>
      <c r="C51" s="161">
        <v>22656.26</v>
      </c>
      <c r="D51" s="161">
        <v>22656.26</v>
      </c>
      <c r="E51" s="161">
        <v>22656.26</v>
      </c>
      <c r="N51" s="161">
        <f t="shared" si="31"/>
        <v>90625.04</v>
      </c>
      <c r="P51" s="161">
        <f t="shared" si="29"/>
        <v>225900</v>
      </c>
      <c r="Q51" s="161">
        <f>25100*12</f>
        <v>301200</v>
      </c>
      <c r="R51" s="161">
        <f t="shared" si="30"/>
        <v>217684.57</v>
      </c>
      <c r="S51" s="190">
        <f t="shared" si="5"/>
        <v>0</v>
      </c>
      <c r="T51" s="190"/>
      <c r="U51" s="161">
        <v>18020.830000000002</v>
      </c>
      <c r="V51" s="161">
        <v>18020.84</v>
      </c>
      <c r="W51" s="161">
        <v>18020.84</v>
      </c>
      <c r="X51" s="161">
        <v>18020.82</v>
      </c>
      <c r="Y51" s="161">
        <v>18020.830000000002</v>
      </c>
      <c r="Z51" s="161">
        <v>4868.74</v>
      </c>
      <c r="AA51" s="161">
        <v>18020.830000000002</v>
      </c>
      <c r="AB51" s="161">
        <v>18020.84</v>
      </c>
      <c r="AC51" s="161">
        <v>18020.84</v>
      </c>
      <c r="AD51" s="161">
        <v>18020.84</v>
      </c>
      <c r="AE51" s="161">
        <v>25576.66</v>
      </c>
      <c r="AF51" s="161">
        <v>25051.66</v>
      </c>
      <c r="AG51" s="161">
        <f t="shared" si="32"/>
        <v>217684.57</v>
      </c>
    </row>
    <row r="52" spans="1:33" hidden="1" x14ac:dyDescent="0.25">
      <c r="A52" s="127" t="s">
        <v>238</v>
      </c>
      <c r="N52" s="161">
        <f t="shared" si="31"/>
        <v>0</v>
      </c>
      <c r="P52" s="161">
        <f t="shared" si="29"/>
        <v>298.77</v>
      </c>
      <c r="Q52" s="161">
        <f t="shared" si="27"/>
        <v>398.36</v>
      </c>
      <c r="R52" s="161">
        <f t="shared" si="30"/>
        <v>398.36</v>
      </c>
      <c r="S52" s="190">
        <f t="shared" si="5"/>
        <v>0</v>
      </c>
      <c r="T52" s="190"/>
      <c r="U52" s="161">
        <v>5.49</v>
      </c>
      <c r="V52" s="161">
        <v>0</v>
      </c>
      <c r="W52" s="161">
        <v>100.81</v>
      </c>
      <c r="X52" s="161">
        <v>0</v>
      </c>
      <c r="Y52" s="161">
        <v>46.17</v>
      </c>
      <c r="Z52" s="161">
        <v>0</v>
      </c>
      <c r="AA52" s="161">
        <v>0</v>
      </c>
      <c r="AB52" s="161">
        <v>0</v>
      </c>
      <c r="AC52" s="161">
        <v>35.520000000000003</v>
      </c>
      <c r="AD52" s="161">
        <v>84.43</v>
      </c>
      <c r="AE52" s="161">
        <v>73.95</v>
      </c>
      <c r="AF52" s="161">
        <v>51.99</v>
      </c>
      <c r="AG52" s="161">
        <f t="shared" si="32"/>
        <v>398.36</v>
      </c>
    </row>
    <row r="53" spans="1:33" x14ac:dyDescent="0.25">
      <c r="A53" s="127" t="s">
        <v>466</v>
      </c>
      <c r="B53" s="161">
        <v>35</v>
      </c>
      <c r="C53" s="161">
        <v>0</v>
      </c>
      <c r="D53" s="161">
        <v>330.96</v>
      </c>
      <c r="E53" s="161">
        <v>0</v>
      </c>
      <c r="N53" s="161">
        <f t="shared" si="31"/>
        <v>365.96</v>
      </c>
      <c r="P53" s="161"/>
      <c r="Q53" s="161"/>
      <c r="R53" s="161"/>
      <c r="S53" s="190"/>
      <c r="T53" s="190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x14ac:dyDescent="0.25">
      <c r="A54" s="127" t="s">
        <v>245</v>
      </c>
      <c r="B54" s="161">
        <v>7052.04</v>
      </c>
      <c r="C54" s="161">
        <v>7102.25</v>
      </c>
      <c r="D54" s="161">
        <v>7052.04</v>
      </c>
      <c r="E54" s="161">
        <v>8604</v>
      </c>
      <c r="N54" s="161">
        <f t="shared" si="31"/>
        <v>29810.33</v>
      </c>
      <c r="P54" s="161">
        <f t="shared" si="29"/>
        <v>65632.319999999992</v>
      </c>
      <c r="Q54" s="161">
        <f t="shared" si="27"/>
        <v>87509.759999999995</v>
      </c>
      <c r="R54" s="161">
        <f t="shared" si="30"/>
        <v>87509.759999999995</v>
      </c>
      <c r="S54" s="190">
        <f t="shared" si="5"/>
        <v>0</v>
      </c>
      <c r="T54" s="190"/>
      <c r="U54" s="161">
        <v>7320.8</v>
      </c>
      <c r="V54" s="161">
        <v>7321.95</v>
      </c>
      <c r="W54" s="161">
        <v>6956.8</v>
      </c>
      <c r="X54" s="161">
        <v>7611.52</v>
      </c>
      <c r="Y54" s="161">
        <v>7241.42</v>
      </c>
      <c r="Z54" s="161">
        <v>7612.47</v>
      </c>
      <c r="AA54" s="161">
        <v>6608</v>
      </c>
      <c r="AB54" s="161">
        <v>7367.7</v>
      </c>
      <c r="AC54" s="161">
        <v>6608.09</v>
      </c>
      <c r="AD54" s="161">
        <v>7337.47</v>
      </c>
      <c r="AE54" s="161">
        <v>8150.65</v>
      </c>
      <c r="AF54" s="161">
        <v>7372.89</v>
      </c>
      <c r="AG54" s="161">
        <f t="shared" si="32"/>
        <v>87509.759999999995</v>
      </c>
    </row>
    <row r="55" spans="1:33" x14ac:dyDescent="0.25">
      <c r="A55" s="127" t="s">
        <v>239</v>
      </c>
      <c r="B55" s="161">
        <v>400.57</v>
      </c>
      <c r="C55" s="161">
        <v>400.57</v>
      </c>
      <c r="D55" s="161">
        <v>400.57</v>
      </c>
      <c r="E55" s="161">
        <v>400.57</v>
      </c>
      <c r="N55" s="161">
        <f t="shared" si="31"/>
        <v>1602.28</v>
      </c>
      <c r="P55" s="161">
        <f t="shared" si="29"/>
        <v>3338.7224999999994</v>
      </c>
      <c r="Q55" s="161">
        <f t="shared" si="27"/>
        <v>4451.6299999999992</v>
      </c>
      <c r="R55" s="161">
        <f t="shared" si="30"/>
        <v>4451.6299999999992</v>
      </c>
      <c r="S55" s="190">
        <f t="shared" si="5"/>
        <v>0</v>
      </c>
      <c r="T55" s="190"/>
      <c r="U55" s="161">
        <v>649.54999999999995</v>
      </c>
      <c r="V55" s="161">
        <v>160.78</v>
      </c>
      <c r="W55" s="161">
        <v>278.7</v>
      </c>
      <c r="X55" s="161">
        <v>536.80999999999995</v>
      </c>
      <c r="Y55" s="161">
        <v>160.78</v>
      </c>
      <c r="Z55" s="161">
        <v>160.78</v>
      </c>
      <c r="AA55" s="161">
        <v>436.05</v>
      </c>
      <c r="AB55" s="161">
        <v>686.41</v>
      </c>
      <c r="AC55" s="161">
        <v>235.54</v>
      </c>
      <c r="AD55" s="161">
        <v>416.41</v>
      </c>
      <c r="AE55" s="161">
        <v>347.74</v>
      </c>
      <c r="AF55" s="161">
        <v>382.08</v>
      </c>
      <c r="AG55" s="161">
        <f t="shared" si="32"/>
        <v>4451.6299999999992</v>
      </c>
    </row>
    <row r="56" spans="1:33" x14ac:dyDescent="0.25">
      <c r="A56" s="127" t="s">
        <v>289</v>
      </c>
      <c r="B56" s="161">
        <v>13371.27</v>
      </c>
      <c r="C56" s="161">
        <v>13371.27</v>
      </c>
      <c r="D56" s="161">
        <v>13371.27</v>
      </c>
      <c r="E56" s="161">
        <v>13714.94</v>
      </c>
      <c r="N56" s="161">
        <f t="shared" si="31"/>
        <v>53828.75</v>
      </c>
      <c r="P56" s="161">
        <f t="shared" si="29"/>
        <v>94636.117499999993</v>
      </c>
      <c r="Q56" s="161">
        <f t="shared" si="27"/>
        <v>126181.48999999999</v>
      </c>
      <c r="R56" s="161">
        <f t="shared" si="30"/>
        <v>126181.48999999999</v>
      </c>
      <c r="S56" s="190">
        <f t="shared" si="5"/>
        <v>0</v>
      </c>
      <c r="T56" s="190"/>
      <c r="U56" s="161">
        <v>9962.11</v>
      </c>
      <c r="V56" s="161">
        <v>10391.68</v>
      </c>
      <c r="W56" s="161">
        <v>10391.68</v>
      </c>
      <c r="X56" s="161">
        <v>10391.68</v>
      </c>
      <c r="Y56" s="161">
        <v>10581.56</v>
      </c>
      <c r="Z56" s="161">
        <v>10811.59</v>
      </c>
      <c r="AA56" s="161">
        <v>10493.31</v>
      </c>
      <c r="AB56" s="161">
        <v>10587.39</v>
      </c>
      <c r="AC56" s="161">
        <v>10587.39</v>
      </c>
      <c r="AD56" s="161">
        <v>10587.39</v>
      </c>
      <c r="AE56" s="161">
        <v>10723.34</v>
      </c>
      <c r="AF56" s="161">
        <v>10672.37</v>
      </c>
      <c r="AG56" s="161">
        <f t="shared" si="32"/>
        <v>126181.48999999999</v>
      </c>
    </row>
    <row r="57" spans="1:33" x14ac:dyDescent="0.25">
      <c r="A57" s="127" t="s">
        <v>574</v>
      </c>
      <c r="B57" s="161">
        <v>0</v>
      </c>
      <c r="C57" s="161">
        <v>31.86</v>
      </c>
      <c r="D57" s="161">
        <v>456.45</v>
      </c>
      <c r="E57" s="161">
        <v>257.89999999999998</v>
      </c>
      <c r="N57" s="161">
        <f t="shared" si="31"/>
        <v>746.21</v>
      </c>
      <c r="P57" s="161">
        <f t="shared" si="29"/>
        <v>0</v>
      </c>
      <c r="Q57" s="161">
        <f t="shared" si="27"/>
        <v>0</v>
      </c>
      <c r="R57" s="161">
        <f t="shared" si="30"/>
        <v>0</v>
      </c>
      <c r="S57" s="190">
        <f t="shared" si="5"/>
        <v>0</v>
      </c>
      <c r="T57" s="190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0</v>
      </c>
      <c r="AD57" s="161">
        <v>0</v>
      </c>
      <c r="AE57" s="161">
        <v>0</v>
      </c>
      <c r="AF57" s="161">
        <v>0</v>
      </c>
      <c r="AG57" s="161">
        <f t="shared" si="32"/>
        <v>0</v>
      </c>
    </row>
    <row r="58" spans="1:33" x14ac:dyDescent="0.25">
      <c r="A58" s="127" t="s">
        <v>292</v>
      </c>
      <c r="B58" s="161">
        <v>1362.18</v>
      </c>
      <c r="C58" s="161">
        <v>1362.18</v>
      </c>
      <c r="D58" s="161">
        <v>1362.18</v>
      </c>
      <c r="E58" s="161">
        <v>1362.18</v>
      </c>
      <c r="N58" s="161">
        <f t="shared" si="31"/>
        <v>5448.72</v>
      </c>
      <c r="P58" s="161">
        <f t="shared" si="29"/>
        <v>14091.157499999996</v>
      </c>
      <c r="Q58" s="161">
        <f t="shared" si="27"/>
        <v>18788.209999999995</v>
      </c>
      <c r="R58" s="161">
        <f t="shared" si="30"/>
        <v>18788.209999999995</v>
      </c>
      <c r="S58" s="190">
        <f t="shared" si="5"/>
        <v>0</v>
      </c>
      <c r="T58" s="190"/>
      <c r="U58" s="161">
        <v>1351.56</v>
      </c>
      <c r="V58" s="161">
        <v>1938.84</v>
      </c>
      <c r="W58" s="161">
        <v>1938.84</v>
      </c>
      <c r="X58" s="161">
        <v>1937.28</v>
      </c>
      <c r="Y58" s="161">
        <v>1939.84</v>
      </c>
      <c r="Z58" s="161">
        <v>1568.58</v>
      </c>
      <c r="AA58" s="161">
        <v>836.4</v>
      </c>
      <c r="AB58" s="161">
        <v>1730.97</v>
      </c>
      <c r="AC58" s="161">
        <v>1819.66</v>
      </c>
      <c r="AD58" s="161">
        <v>1490.62</v>
      </c>
      <c r="AE58" s="161">
        <v>1490.6</v>
      </c>
      <c r="AF58" s="161">
        <v>745.02</v>
      </c>
      <c r="AG58" s="161">
        <f t="shared" si="32"/>
        <v>18788.209999999995</v>
      </c>
    </row>
    <row r="59" spans="1:33" x14ac:dyDescent="0.25">
      <c r="A59" s="127" t="s">
        <v>259</v>
      </c>
      <c r="B59" s="161">
        <v>0</v>
      </c>
      <c r="C59" s="161">
        <v>0</v>
      </c>
      <c r="D59" s="161">
        <v>0</v>
      </c>
      <c r="E59" s="161">
        <v>116.71</v>
      </c>
      <c r="N59" s="161">
        <f t="shared" si="31"/>
        <v>116.71</v>
      </c>
      <c r="P59" s="161">
        <f t="shared" si="29"/>
        <v>5607.6975000000002</v>
      </c>
      <c r="Q59" s="161">
        <f t="shared" si="27"/>
        <v>7476.93</v>
      </c>
      <c r="R59" s="161">
        <f t="shared" si="30"/>
        <v>7476.93</v>
      </c>
      <c r="S59" s="190">
        <f t="shared" si="5"/>
        <v>0</v>
      </c>
      <c r="T59" s="190"/>
      <c r="U59" s="161">
        <v>1018.09</v>
      </c>
      <c r="V59" s="161">
        <v>1018.09</v>
      </c>
      <c r="W59" s="161">
        <v>1018.09</v>
      </c>
      <c r="X59" s="161">
        <v>1049.5999999999999</v>
      </c>
      <c r="Y59" s="161">
        <v>316.17</v>
      </c>
      <c r="Z59" s="161">
        <v>236.46</v>
      </c>
      <c r="AA59" s="161">
        <v>2820.43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f t="shared" si="32"/>
        <v>7476.93</v>
      </c>
    </row>
    <row r="60" spans="1:33" x14ac:dyDescent="0.25">
      <c r="A60" s="127" t="s">
        <v>380</v>
      </c>
      <c r="B60" s="161">
        <v>328.78</v>
      </c>
      <c r="C60" s="161">
        <v>328.78</v>
      </c>
      <c r="D60" s="161">
        <v>328.78</v>
      </c>
      <c r="E60" s="161">
        <v>364.6</v>
      </c>
      <c r="N60" s="206">
        <f t="shared" si="31"/>
        <v>1350.94</v>
      </c>
      <c r="P60" s="161">
        <f t="shared" si="29"/>
        <v>14400</v>
      </c>
      <c r="Q60" s="161">
        <f>1600*12</f>
        <v>19200</v>
      </c>
      <c r="R60" s="161">
        <f t="shared" si="30"/>
        <v>10196.419999999998</v>
      </c>
      <c r="S60" s="190">
        <f t="shared" si="5"/>
        <v>0</v>
      </c>
      <c r="T60" s="190"/>
      <c r="U60" s="161">
        <v>0</v>
      </c>
      <c r="V60" s="161">
        <v>0</v>
      </c>
      <c r="W60" s="161">
        <v>0</v>
      </c>
      <c r="X60" s="161">
        <v>0</v>
      </c>
      <c r="Y60" s="161">
        <v>920.12</v>
      </c>
      <c r="Z60" s="161">
        <v>3023.66</v>
      </c>
      <c r="AA60" s="161">
        <v>560.84</v>
      </c>
      <c r="AB60" s="161">
        <v>560.86</v>
      </c>
      <c r="AC60" s="161">
        <v>1884.49</v>
      </c>
      <c r="AD60" s="161">
        <v>1014.56</v>
      </c>
      <c r="AE60" s="161">
        <v>1174.83</v>
      </c>
      <c r="AF60" s="161">
        <v>1057.06</v>
      </c>
      <c r="AG60" s="206">
        <f t="shared" si="32"/>
        <v>10196.419999999998</v>
      </c>
    </row>
    <row r="61" spans="1:33" x14ac:dyDescent="0.25">
      <c r="A61" s="128" t="s">
        <v>329</v>
      </c>
      <c r="B61" s="191">
        <f t="shared" ref="B61:F61" si="33">SUM(B42:B60)</f>
        <v>95740.33</v>
      </c>
      <c r="C61" s="191">
        <f t="shared" si="33"/>
        <v>98566.52</v>
      </c>
      <c r="D61" s="191">
        <f t="shared" si="33"/>
        <v>94934.720000000001</v>
      </c>
      <c r="E61" s="191">
        <f t="shared" si="33"/>
        <v>93441.750000000015</v>
      </c>
      <c r="F61" s="191">
        <f t="shared" si="33"/>
        <v>0</v>
      </c>
      <c r="G61" s="191">
        <f t="shared" ref="G61:M61" si="34">SUM(G42:G60)</f>
        <v>0</v>
      </c>
      <c r="H61" s="191">
        <f t="shared" si="34"/>
        <v>0</v>
      </c>
      <c r="I61" s="191">
        <f t="shared" si="34"/>
        <v>0</v>
      </c>
      <c r="J61" s="191">
        <f t="shared" si="34"/>
        <v>0</v>
      </c>
      <c r="K61" s="191">
        <f t="shared" si="34"/>
        <v>0</v>
      </c>
      <c r="L61" s="191">
        <f t="shared" ref="L61" si="35">SUM(L42:L60)</f>
        <v>0</v>
      </c>
      <c r="M61" s="191">
        <f t="shared" si="34"/>
        <v>0</v>
      </c>
      <c r="N61" s="191">
        <f>SUM(N42:N60)</f>
        <v>382683.32000000007</v>
      </c>
      <c r="P61" s="191">
        <f>SUM(P42:P60)</f>
        <v>915558.86700000009</v>
      </c>
      <c r="Q61" s="191">
        <f t="shared" ref="Q61:R61" si="36">SUM(Q42:Q60)</f>
        <v>1220745.156</v>
      </c>
      <c r="R61" s="191">
        <f t="shared" si="36"/>
        <v>1159554.8799999999</v>
      </c>
      <c r="S61" s="190">
        <f t="shared" si="5"/>
        <v>0</v>
      </c>
      <c r="T61" s="190"/>
      <c r="U61" s="191">
        <f t="shared" ref="U61:AF61" si="37">SUM(U42:U60)</f>
        <v>95993.59</v>
      </c>
      <c r="V61" s="191">
        <f t="shared" si="37"/>
        <v>90696.139999999985</v>
      </c>
      <c r="W61" s="191">
        <f t="shared" si="37"/>
        <v>94840.22</v>
      </c>
      <c r="X61" s="191">
        <f t="shared" si="37"/>
        <v>94354.48000000001</v>
      </c>
      <c r="Y61" s="191">
        <f t="shared" si="37"/>
        <v>88786.64999999998</v>
      </c>
      <c r="Z61" s="191">
        <f t="shared" si="37"/>
        <v>93578.330000000016</v>
      </c>
      <c r="AA61" s="191">
        <f t="shared" si="37"/>
        <v>98208.779999999984</v>
      </c>
      <c r="AB61" s="191">
        <f t="shared" si="37"/>
        <v>100261.41</v>
      </c>
      <c r="AC61" s="191">
        <f t="shared" si="37"/>
        <v>91109.1</v>
      </c>
      <c r="AD61" s="191">
        <f t="shared" si="37"/>
        <v>106536.06999999998</v>
      </c>
      <c r="AE61" s="191">
        <f t="shared" si="37"/>
        <v>101560.55</v>
      </c>
      <c r="AF61" s="191">
        <f t="shared" si="37"/>
        <v>103629.56</v>
      </c>
      <c r="AG61" s="191">
        <f>SUM(AG42:AG60)</f>
        <v>1159554.8799999999</v>
      </c>
    </row>
    <row r="62" spans="1:33" x14ac:dyDescent="0.25">
      <c r="P62" s="161"/>
      <c r="Q62" s="161"/>
      <c r="R62" s="161"/>
      <c r="S62" s="190">
        <f t="shared" si="5"/>
        <v>0</v>
      </c>
      <c r="T62" s="190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x14ac:dyDescent="0.25">
      <c r="A63" s="128" t="s">
        <v>290</v>
      </c>
      <c r="P63" s="161"/>
      <c r="Q63" s="161"/>
      <c r="R63" s="161"/>
      <c r="S63" s="190">
        <f t="shared" si="5"/>
        <v>0</v>
      </c>
      <c r="T63" s="190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x14ac:dyDescent="0.25">
      <c r="A64" s="127" t="s">
        <v>248</v>
      </c>
      <c r="B64" s="161">
        <v>208.24</v>
      </c>
      <c r="C64" s="161">
        <v>201.1</v>
      </c>
      <c r="D64" s="161">
        <v>158.6</v>
      </c>
      <c r="E64" s="161">
        <v>143.6</v>
      </c>
      <c r="N64" s="161">
        <f>SUM(B64:M64)</f>
        <v>711.54000000000008</v>
      </c>
      <c r="P64" s="161">
        <f t="shared" ref="P64:P77" si="38">Q64/12*$P$6</f>
        <v>1372.5374999999999</v>
      </c>
      <c r="Q64" s="161">
        <f t="shared" ref="Q64:Q77" si="39">R64</f>
        <v>1830.05</v>
      </c>
      <c r="R64" s="161">
        <f>AG64</f>
        <v>1830.05</v>
      </c>
      <c r="S64" s="190">
        <f t="shared" si="5"/>
        <v>0</v>
      </c>
      <c r="T64" s="190"/>
      <c r="U64" s="161">
        <v>231.6</v>
      </c>
      <c r="V64" s="161">
        <v>181.9</v>
      </c>
      <c r="W64" s="161">
        <v>151.94999999999999</v>
      </c>
      <c r="X64" s="161">
        <v>135.54</v>
      </c>
      <c r="Y64" s="161">
        <v>147.36000000000001</v>
      </c>
      <c r="Z64" s="161">
        <v>135.63999999999999</v>
      </c>
      <c r="AA64" s="161">
        <v>141.44999999999999</v>
      </c>
      <c r="AB64" s="161">
        <v>154.02000000000001</v>
      </c>
      <c r="AC64" s="161">
        <v>129.82</v>
      </c>
      <c r="AD64" s="161">
        <v>140.52000000000001</v>
      </c>
      <c r="AE64" s="161">
        <v>154.94999999999999</v>
      </c>
      <c r="AF64" s="161">
        <v>125.3</v>
      </c>
      <c r="AG64" s="161">
        <f>SUM(U64:AF64)</f>
        <v>1830.05</v>
      </c>
    </row>
    <row r="65" spans="1:33" x14ac:dyDescent="0.25">
      <c r="A65" s="127" t="s">
        <v>249</v>
      </c>
      <c r="B65" s="161">
        <v>213.42</v>
      </c>
      <c r="C65" s="161">
        <v>215.5</v>
      </c>
      <c r="D65" s="161">
        <v>283.47000000000003</v>
      </c>
      <c r="E65" s="161">
        <v>384.97</v>
      </c>
      <c r="N65" s="161">
        <f t="shared" ref="N65:N77" si="40">SUM(B65:M65)</f>
        <v>1097.3600000000001</v>
      </c>
      <c r="P65" s="161">
        <f t="shared" si="38"/>
        <v>3282.0862499999998</v>
      </c>
      <c r="Q65" s="161">
        <f>8752.23/2</f>
        <v>4376.1149999999998</v>
      </c>
      <c r="R65" s="161">
        <f t="shared" ref="R65:R77" si="41">AG65</f>
        <v>8752.2300000000014</v>
      </c>
      <c r="S65" s="190">
        <f t="shared" si="5"/>
        <v>0</v>
      </c>
      <c r="T65" s="190"/>
      <c r="U65" s="161">
        <v>763.06</v>
      </c>
      <c r="V65" s="161">
        <v>700.02</v>
      </c>
      <c r="W65" s="161">
        <v>701.8</v>
      </c>
      <c r="X65" s="161">
        <v>709.3</v>
      </c>
      <c r="Y65" s="161">
        <v>754.79</v>
      </c>
      <c r="Z65" s="161">
        <v>696.33</v>
      </c>
      <c r="AA65" s="161">
        <v>758.24</v>
      </c>
      <c r="AB65" s="161">
        <v>745.68</v>
      </c>
      <c r="AC65" s="161">
        <v>728.84</v>
      </c>
      <c r="AD65" s="161">
        <v>821.1</v>
      </c>
      <c r="AE65" s="161">
        <v>696.83</v>
      </c>
      <c r="AF65" s="161">
        <v>676.24</v>
      </c>
      <c r="AG65" s="161">
        <f t="shared" ref="AG65:AG77" si="42">SUM(U65:AF65)</f>
        <v>8752.2300000000014</v>
      </c>
    </row>
    <row r="66" spans="1:33" x14ac:dyDescent="0.25">
      <c r="A66" s="127" t="s">
        <v>291</v>
      </c>
      <c r="B66" s="161">
        <v>0</v>
      </c>
      <c r="C66" s="161">
        <v>300</v>
      </c>
      <c r="D66" s="161">
        <v>0</v>
      </c>
      <c r="E66" s="161">
        <v>0</v>
      </c>
      <c r="N66" s="161">
        <f t="shared" si="40"/>
        <v>300</v>
      </c>
      <c r="P66" s="161">
        <f t="shared" si="38"/>
        <v>3982.9425000000001</v>
      </c>
      <c r="Q66" s="161">
        <f t="shared" si="39"/>
        <v>5310.59</v>
      </c>
      <c r="R66" s="161">
        <f t="shared" si="41"/>
        <v>5310.59</v>
      </c>
      <c r="S66" s="190">
        <f t="shared" si="5"/>
        <v>0</v>
      </c>
      <c r="T66" s="190"/>
      <c r="U66" s="161">
        <v>0</v>
      </c>
      <c r="V66" s="161">
        <v>0</v>
      </c>
      <c r="W66" s="161">
        <v>0</v>
      </c>
      <c r="X66" s="161">
        <v>300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5010.59</v>
      </c>
      <c r="AG66" s="161">
        <f t="shared" si="42"/>
        <v>5310.59</v>
      </c>
    </row>
    <row r="67" spans="1:33" hidden="1" x14ac:dyDescent="0.25">
      <c r="A67" s="127" t="s">
        <v>303</v>
      </c>
      <c r="N67" s="161">
        <f t="shared" si="40"/>
        <v>0</v>
      </c>
      <c r="P67" s="161">
        <f t="shared" si="38"/>
        <v>750</v>
      </c>
      <c r="Q67" s="161">
        <v>1000</v>
      </c>
      <c r="R67" s="161">
        <f t="shared" si="41"/>
        <v>62543.58</v>
      </c>
      <c r="S67" s="190">
        <f t="shared" si="5"/>
        <v>0</v>
      </c>
      <c r="T67" s="190"/>
      <c r="U67" s="161">
        <v>0</v>
      </c>
      <c r="V67" s="161">
        <v>1250</v>
      </c>
      <c r="W67" s="161">
        <v>0</v>
      </c>
      <c r="X67" s="161">
        <v>0</v>
      </c>
      <c r="Y67" s="161">
        <v>0</v>
      </c>
      <c r="Z67" s="161">
        <v>0</v>
      </c>
      <c r="AA67" s="161">
        <v>4000</v>
      </c>
      <c r="AB67" s="161">
        <v>0</v>
      </c>
      <c r="AC67" s="161">
        <v>23420.78</v>
      </c>
      <c r="AD67" s="161">
        <v>14264.01</v>
      </c>
      <c r="AE67" s="161">
        <v>18684.79</v>
      </c>
      <c r="AF67" s="161">
        <v>924</v>
      </c>
      <c r="AG67" s="161">
        <f t="shared" si="42"/>
        <v>62543.58</v>
      </c>
    </row>
    <row r="68" spans="1:33" x14ac:dyDescent="0.25">
      <c r="A68" s="127" t="s">
        <v>355</v>
      </c>
      <c r="B68" s="161">
        <v>333.33</v>
      </c>
      <c r="C68" s="161">
        <v>333.33</v>
      </c>
      <c r="D68" s="161">
        <v>333.33</v>
      </c>
      <c r="E68" s="161">
        <v>333.33</v>
      </c>
      <c r="N68" s="161">
        <f t="shared" si="40"/>
        <v>1333.32</v>
      </c>
      <c r="P68" s="161">
        <f t="shared" si="38"/>
        <v>9000</v>
      </c>
      <c r="Q68" s="161">
        <f>1000*12</f>
        <v>12000</v>
      </c>
      <c r="R68" s="161">
        <f t="shared" si="41"/>
        <v>16848.52</v>
      </c>
      <c r="S68" s="190">
        <f t="shared" si="5"/>
        <v>0</v>
      </c>
      <c r="T68" s="190"/>
      <c r="U68" s="161">
        <v>0</v>
      </c>
      <c r="V68" s="161">
        <v>0</v>
      </c>
      <c r="W68" s="161">
        <v>0</v>
      </c>
      <c r="X68" s="161">
        <v>0</v>
      </c>
      <c r="Y68" s="161">
        <v>0</v>
      </c>
      <c r="Z68" s="161">
        <v>-5776.56</v>
      </c>
      <c r="AA68" s="161">
        <v>0</v>
      </c>
      <c r="AB68" s="161">
        <v>0</v>
      </c>
      <c r="AC68" s="161">
        <v>5375.34</v>
      </c>
      <c r="AD68" s="161">
        <v>0</v>
      </c>
      <c r="AE68" s="161">
        <v>1187.3599999999999</v>
      </c>
      <c r="AF68" s="161">
        <v>16062.38</v>
      </c>
      <c r="AG68" s="161">
        <f t="shared" si="42"/>
        <v>16848.52</v>
      </c>
    </row>
    <row r="69" spans="1:33" x14ac:dyDescent="0.25">
      <c r="A69" s="127" t="s">
        <v>381</v>
      </c>
      <c r="B69" s="161">
        <v>3250</v>
      </c>
      <c r="C69" s="161">
        <v>3250</v>
      </c>
      <c r="D69" s="161">
        <v>3250</v>
      </c>
      <c r="E69" s="161">
        <v>3250</v>
      </c>
      <c r="N69" s="161">
        <f>SUM(B69:M69)</f>
        <v>13000</v>
      </c>
      <c r="P69" s="161">
        <f t="shared" si="38"/>
        <v>29250</v>
      </c>
      <c r="Q69" s="161">
        <f>35000+4000</f>
        <v>39000</v>
      </c>
      <c r="R69" s="161">
        <f t="shared" si="41"/>
        <v>50400</v>
      </c>
      <c r="S69" s="190">
        <f t="shared" si="5"/>
        <v>0</v>
      </c>
      <c r="T69" s="190"/>
      <c r="U69" s="161">
        <v>5000</v>
      </c>
      <c r="V69" s="161">
        <v>5000</v>
      </c>
      <c r="W69" s="161">
        <v>5000</v>
      </c>
      <c r="X69" s="161">
        <v>5000</v>
      </c>
      <c r="Y69" s="161">
        <v>5000</v>
      </c>
      <c r="Z69" s="161">
        <v>4000</v>
      </c>
      <c r="AA69" s="161">
        <v>4000</v>
      </c>
      <c r="AB69" s="161">
        <v>4000</v>
      </c>
      <c r="AC69" s="161">
        <v>4000</v>
      </c>
      <c r="AD69" s="161">
        <v>4000</v>
      </c>
      <c r="AE69" s="161">
        <v>4000</v>
      </c>
      <c r="AF69" s="161">
        <v>1400</v>
      </c>
      <c r="AG69" s="161">
        <f>SUM(U69:AF69)</f>
        <v>50400</v>
      </c>
    </row>
    <row r="70" spans="1:33" x14ac:dyDescent="0.25">
      <c r="A70" s="127" t="s">
        <v>354</v>
      </c>
      <c r="B70" s="161">
        <v>2250</v>
      </c>
      <c r="C70" s="161">
        <v>2250</v>
      </c>
      <c r="D70" s="161">
        <v>2250</v>
      </c>
      <c r="E70" s="161">
        <v>3750</v>
      </c>
      <c r="N70" s="161">
        <f t="shared" si="40"/>
        <v>10500</v>
      </c>
      <c r="P70" s="161">
        <f t="shared" si="38"/>
        <v>20250</v>
      </c>
      <c r="Q70" s="161">
        <f t="shared" si="39"/>
        <v>27000</v>
      </c>
      <c r="R70" s="161">
        <f t="shared" si="41"/>
        <v>27000</v>
      </c>
      <c r="S70" s="190">
        <f t="shared" si="5"/>
        <v>0</v>
      </c>
      <c r="T70" s="190"/>
      <c r="U70" s="161">
        <v>2250</v>
      </c>
      <c r="V70" s="161">
        <v>2250</v>
      </c>
      <c r="W70" s="161">
        <v>2250</v>
      </c>
      <c r="X70" s="161">
        <v>2250</v>
      </c>
      <c r="Y70" s="161">
        <v>2250</v>
      </c>
      <c r="Z70" s="161">
        <v>2250</v>
      </c>
      <c r="AA70" s="161">
        <v>2250</v>
      </c>
      <c r="AB70" s="161">
        <v>2250</v>
      </c>
      <c r="AC70" s="161">
        <v>2250</v>
      </c>
      <c r="AD70" s="161">
        <v>2250</v>
      </c>
      <c r="AE70" s="161">
        <v>2250</v>
      </c>
      <c r="AF70" s="161">
        <v>2250</v>
      </c>
      <c r="AG70" s="161">
        <f t="shared" si="42"/>
        <v>27000</v>
      </c>
    </row>
    <row r="71" spans="1:33" x14ac:dyDescent="0.25">
      <c r="A71" s="127" t="s">
        <v>382</v>
      </c>
      <c r="B71" s="161">
        <v>791.67</v>
      </c>
      <c r="C71" s="161">
        <v>791.67</v>
      </c>
      <c r="D71" s="161">
        <v>0</v>
      </c>
      <c r="E71" s="161">
        <v>2083.33</v>
      </c>
      <c r="N71" s="161">
        <f t="shared" si="40"/>
        <v>3666.67</v>
      </c>
      <c r="P71" s="161">
        <f t="shared" si="38"/>
        <v>6468.7724999999991</v>
      </c>
      <c r="Q71" s="161">
        <f t="shared" si="39"/>
        <v>8625.0299999999988</v>
      </c>
      <c r="R71" s="161">
        <f t="shared" si="41"/>
        <v>8625.0299999999988</v>
      </c>
      <c r="S71" s="190">
        <f t="shared" si="5"/>
        <v>0</v>
      </c>
      <c r="T71" s="190"/>
      <c r="U71" s="161">
        <v>791.67</v>
      </c>
      <c r="V71" s="161">
        <v>791.67</v>
      </c>
      <c r="W71" s="161">
        <v>791.67</v>
      </c>
      <c r="X71" s="161">
        <v>791.67</v>
      </c>
      <c r="Y71" s="161">
        <f>8791.67-8000.01</f>
        <v>791.65999999999985</v>
      </c>
      <c r="Z71" s="161">
        <v>666.67</v>
      </c>
      <c r="AA71" s="161">
        <v>666.67</v>
      </c>
      <c r="AB71" s="161">
        <v>666.67</v>
      </c>
      <c r="AC71" s="161">
        <v>666.67</v>
      </c>
      <c r="AD71" s="161">
        <v>666.67</v>
      </c>
      <c r="AE71" s="161">
        <v>666.67</v>
      </c>
      <c r="AF71" s="161">
        <v>666.67</v>
      </c>
      <c r="AG71" s="161">
        <f t="shared" si="42"/>
        <v>8625.0299999999988</v>
      </c>
    </row>
    <row r="72" spans="1:33" hidden="1" x14ac:dyDescent="0.25">
      <c r="A72" s="127" t="s">
        <v>393</v>
      </c>
      <c r="N72" s="161">
        <f t="shared" si="40"/>
        <v>0</v>
      </c>
      <c r="P72" s="161">
        <f t="shared" si="38"/>
        <v>0</v>
      </c>
      <c r="Q72" s="161">
        <v>0</v>
      </c>
      <c r="R72" s="161">
        <f t="shared" si="41"/>
        <v>12978.179999999997</v>
      </c>
      <c r="S72" s="190">
        <f t="shared" si="5"/>
        <v>0</v>
      </c>
      <c r="T72" s="190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v>9838.1299999999992</v>
      </c>
      <c r="AD72" s="161">
        <v>1780.88</v>
      </c>
      <c r="AE72" s="161">
        <v>163.13</v>
      </c>
      <c r="AF72" s="161">
        <v>1196.04</v>
      </c>
      <c r="AG72" s="161">
        <f t="shared" si="42"/>
        <v>12978.179999999997</v>
      </c>
    </row>
    <row r="73" spans="1:33" hidden="1" x14ac:dyDescent="0.25">
      <c r="A73" s="127" t="s">
        <v>466</v>
      </c>
      <c r="N73" s="161">
        <f t="shared" ref="N73:N74" si="43">SUM(B73:M73)</f>
        <v>0</v>
      </c>
      <c r="P73" s="161">
        <f t="shared" si="38"/>
        <v>5018.204999999999</v>
      </c>
      <c r="Q73" s="161">
        <f t="shared" si="39"/>
        <v>6690.94</v>
      </c>
      <c r="R73" s="161">
        <f t="shared" si="41"/>
        <v>6690.94</v>
      </c>
      <c r="S73" s="190">
        <f t="shared" si="5"/>
        <v>0</v>
      </c>
      <c r="T73" s="190"/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6690.94</v>
      </c>
      <c r="AD73" s="161">
        <v>0</v>
      </c>
      <c r="AE73" s="161">
        <v>0</v>
      </c>
      <c r="AF73" s="161">
        <v>0</v>
      </c>
      <c r="AG73" s="161">
        <f t="shared" ref="AG73:AG74" si="44">SUM(U73:AF73)</f>
        <v>6690.94</v>
      </c>
    </row>
    <row r="74" spans="1:33" x14ac:dyDescent="0.25">
      <c r="A74" s="127" t="s">
        <v>254</v>
      </c>
      <c r="B74" s="161">
        <v>0</v>
      </c>
      <c r="C74" s="161">
        <v>697.98</v>
      </c>
      <c r="D74" s="161">
        <v>719.33</v>
      </c>
      <c r="E74" s="161">
        <v>788.13</v>
      </c>
      <c r="N74" s="161">
        <f t="shared" si="43"/>
        <v>2205.44</v>
      </c>
      <c r="P74" s="161">
        <f t="shared" si="38"/>
        <v>6495.2550000000001</v>
      </c>
      <c r="Q74" s="161">
        <f t="shared" si="39"/>
        <v>8660.34</v>
      </c>
      <c r="R74" s="161">
        <f t="shared" si="41"/>
        <v>8660.34</v>
      </c>
      <c r="S74" s="190">
        <f t="shared" si="5"/>
        <v>0</v>
      </c>
      <c r="T74" s="190"/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6496.38</v>
      </c>
      <c r="AD74" s="161">
        <v>721.32</v>
      </c>
      <c r="AE74" s="161">
        <v>721.32</v>
      </c>
      <c r="AF74" s="161">
        <v>721.32</v>
      </c>
      <c r="AG74" s="161">
        <f t="shared" si="44"/>
        <v>8660.34</v>
      </c>
    </row>
    <row r="75" spans="1:33" hidden="1" x14ac:dyDescent="0.25">
      <c r="A75" s="127" t="s">
        <v>250</v>
      </c>
      <c r="N75" s="161">
        <f t="shared" ref="N75" si="45">SUM(B75:M75)</f>
        <v>0</v>
      </c>
      <c r="P75" s="161">
        <f t="shared" si="38"/>
        <v>6924.4274999999998</v>
      </c>
      <c r="Q75" s="161">
        <f t="shared" si="39"/>
        <v>9232.57</v>
      </c>
      <c r="R75" s="161">
        <f t="shared" si="41"/>
        <v>9232.57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899.5</v>
      </c>
      <c r="AE75" s="161">
        <v>5881.56</v>
      </c>
      <c r="AF75" s="161">
        <v>2451.5100000000002</v>
      </c>
      <c r="AG75" s="161">
        <f t="shared" ref="AG75" si="46">SUM(U75:AF75)</f>
        <v>9232.57</v>
      </c>
    </row>
    <row r="76" spans="1:33" x14ac:dyDescent="0.25">
      <c r="A76" s="127" t="s">
        <v>383</v>
      </c>
      <c r="B76" s="161">
        <v>0</v>
      </c>
      <c r="C76" s="161">
        <v>110</v>
      </c>
      <c r="D76" s="161">
        <v>0</v>
      </c>
      <c r="E76" s="161">
        <v>0</v>
      </c>
      <c r="N76" s="161">
        <f t="shared" si="40"/>
        <v>110</v>
      </c>
      <c r="P76" s="161">
        <f t="shared" si="38"/>
        <v>336.75</v>
      </c>
      <c r="Q76" s="161">
        <f t="shared" si="39"/>
        <v>449</v>
      </c>
      <c r="R76" s="161">
        <f t="shared" si="41"/>
        <v>449</v>
      </c>
      <c r="S76" s="190">
        <f t="shared" si="5"/>
        <v>0</v>
      </c>
      <c r="T76" s="190"/>
      <c r="U76" s="161">
        <v>109</v>
      </c>
      <c r="V76" s="161">
        <v>0</v>
      </c>
      <c r="W76" s="161">
        <v>40</v>
      </c>
      <c r="X76" s="161">
        <v>0</v>
      </c>
      <c r="Y76" s="161">
        <v>0</v>
      </c>
      <c r="Z76" s="161">
        <v>0</v>
      </c>
      <c r="AA76" s="161">
        <v>0</v>
      </c>
      <c r="AB76" s="161">
        <v>300</v>
      </c>
      <c r="AC76" s="161">
        <v>0</v>
      </c>
      <c r="AD76" s="161">
        <v>0</v>
      </c>
      <c r="AE76" s="161">
        <v>0</v>
      </c>
      <c r="AF76" s="161">
        <v>0</v>
      </c>
      <c r="AG76" s="161">
        <f t="shared" si="42"/>
        <v>449</v>
      </c>
    </row>
    <row r="77" spans="1:33" x14ac:dyDescent="0.25">
      <c r="A77" s="127" t="s">
        <v>253</v>
      </c>
      <c r="B77" s="161">
        <v>225</v>
      </c>
      <c r="C77" s="161">
        <v>0</v>
      </c>
      <c r="D77" s="161">
        <v>0</v>
      </c>
      <c r="E77" s="161">
        <v>0</v>
      </c>
      <c r="N77" s="206">
        <f t="shared" si="40"/>
        <v>225</v>
      </c>
      <c r="P77" s="161">
        <f t="shared" si="38"/>
        <v>1858.125</v>
      </c>
      <c r="Q77" s="161">
        <f t="shared" si="39"/>
        <v>2477.5</v>
      </c>
      <c r="R77" s="161">
        <f t="shared" si="41"/>
        <v>2477.5</v>
      </c>
      <c r="S77" s="190">
        <f t="shared" si="5"/>
        <v>0</v>
      </c>
      <c r="T77" s="190"/>
      <c r="U77" s="161">
        <v>225</v>
      </c>
      <c r="V77" s="161">
        <v>352.5</v>
      </c>
      <c r="W77" s="161">
        <v>0</v>
      </c>
      <c r="X77" s="161">
        <v>0</v>
      </c>
      <c r="Y77" s="161">
        <v>0</v>
      </c>
      <c r="Z77" s="161">
        <v>650</v>
      </c>
      <c r="AA77" s="161">
        <v>0</v>
      </c>
      <c r="AB77" s="161">
        <v>1250</v>
      </c>
      <c r="AC77" s="161">
        <v>0</v>
      </c>
      <c r="AD77" s="161">
        <v>0</v>
      </c>
      <c r="AE77" s="161">
        <v>0</v>
      </c>
      <c r="AF77" s="161">
        <v>0</v>
      </c>
      <c r="AG77" s="206">
        <f t="shared" si="42"/>
        <v>2477.5</v>
      </c>
    </row>
    <row r="78" spans="1:33" x14ac:dyDescent="0.25">
      <c r="A78" s="128" t="s">
        <v>293</v>
      </c>
      <c r="B78" s="191">
        <f>SUM(B64:B77)</f>
        <v>7271.66</v>
      </c>
      <c r="C78" s="191">
        <f t="shared" ref="C78:F78" si="47">SUM(C64:C77)</f>
        <v>8149.58</v>
      </c>
      <c r="D78" s="191">
        <f t="shared" si="47"/>
        <v>6994.73</v>
      </c>
      <c r="E78" s="191">
        <f>SUM(E64:E77)</f>
        <v>10733.359999999999</v>
      </c>
      <c r="F78" s="191">
        <f t="shared" si="47"/>
        <v>0</v>
      </c>
      <c r="G78" s="191">
        <f t="shared" ref="G78:M78" si="48">SUM(G64:G77)</f>
        <v>0</v>
      </c>
      <c r="H78" s="191">
        <f t="shared" si="48"/>
        <v>0</v>
      </c>
      <c r="I78" s="191">
        <f t="shared" si="48"/>
        <v>0</v>
      </c>
      <c r="J78" s="191">
        <f t="shared" si="48"/>
        <v>0</v>
      </c>
      <c r="K78" s="191">
        <f t="shared" si="48"/>
        <v>0</v>
      </c>
      <c r="L78" s="191">
        <f t="shared" ref="L78" si="49">SUM(L64:L77)</f>
        <v>0</v>
      </c>
      <c r="M78" s="191">
        <f t="shared" si="48"/>
        <v>0</v>
      </c>
      <c r="N78" s="191">
        <f>SUM(N64:N77)</f>
        <v>33149.33</v>
      </c>
      <c r="P78" s="191">
        <f>SUM(P64:P77)</f>
        <v>94989.101250000007</v>
      </c>
      <c r="Q78" s="191">
        <f t="shared" ref="Q78:R78" si="50">SUM(Q64:Q77)</f>
        <v>126652.13500000001</v>
      </c>
      <c r="R78" s="191">
        <f t="shared" si="50"/>
        <v>221798.53</v>
      </c>
      <c r="S78" s="190">
        <f t="shared" si="5"/>
        <v>0</v>
      </c>
      <c r="T78" s="190"/>
      <c r="U78" s="191">
        <f>SUM(U64:U77)</f>
        <v>9370.33</v>
      </c>
      <c r="V78" s="191">
        <f t="shared" ref="V78:AF78" si="51">SUM(V64:V77)</f>
        <v>10526.09</v>
      </c>
      <c r="W78" s="191">
        <f t="shared" si="51"/>
        <v>8935.42</v>
      </c>
      <c r="X78" s="191">
        <f>SUM(X64:X77)</f>
        <v>9186.51</v>
      </c>
      <c r="Y78" s="191">
        <f t="shared" si="51"/>
        <v>8943.81</v>
      </c>
      <c r="Z78" s="191">
        <f t="shared" si="51"/>
        <v>2622.08</v>
      </c>
      <c r="AA78" s="191">
        <f t="shared" si="51"/>
        <v>11816.36</v>
      </c>
      <c r="AB78" s="191">
        <f t="shared" si="51"/>
        <v>9366.369999999999</v>
      </c>
      <c r="AC78" s="191">
        <f t="shared" si="51"/>
        <v>59596.899999999994</v>
      </c>
      <c r="AD78" s="191">
        <f t="shared" si="51"/>
        <v>25544</v>
      </c>
      <c r="AE78" s="191">
        <f t="shared" si="51"/>
        <v>34406.61</v>
      </c>
      <c r="AF78" s="191">
        <f t="shared" si="51"/>
        <v>31484.049999999996</v>
      </c>
      <c r="AG78" s="191">
        <f>SUM(AG64:AG77)</f>
        <v>221798.53</v>
      </c>
    </row>
    <row r="79" spans="1:33" x14ac:dyDescent="0.25">
      <c r="A79" s="127" t="s">
        <v>242</v>
      </c>
      <c r="P79" s="161"/>
      <c r="Q79" s="161"/>
      <c r="R79" s="161"/>
      <c r="S79" s="190"/>
      <c r="T79" s="190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</row>
    <row r="80" spans="1:33" ht="15.75" thickBot="1" x14ac:dyDescent="0.3">
      <c r="A80" s="128" t="s">
        <v>207</v>
      </c>
      <c r="B80" s="192">
        <f t="shared" ref="B80:F80" si="52">B39+B61+B78</f>
        <v>241754.55000000002</v>
      </c>
      <c r="C80" s="192">
        <f t="shared" si="52"/>
        <v>228301.11999999997</v>
      </c>
      <c r="D80" s="192">
        <f t="shared" si="52"/>
        <v>228705.88</v>
      </c>
      <c r="E80" s="192">
        <f t="shared" si="52"/>
        <v>227177.44</v>
      </c>
      <c r="F80" s="192">
        <f t="shared" si="52"/>
        <v>0</v>
      </c>
      <c r="G80" s="192">
        <f t="shared" ref="G80:M80" si="53">G39+G61+G78</f>
        <v>0</v>
      </c>
      <c r="H80" s="192">
        <f t="shared" si="53"/>
        <v>0</v>
      </c>
      <c r="I80" s="192">
        <f t="shared" si="53"/>
        <v>0</v>
      </c>
      <c r="J80" s="192">
        <f t="shared" si="53"/>
        <v>0</v>
      </c>
      <c r="K80" s="192">
        <f t="shared" si="53"/>
        <v>0</v>
      </c>
      <c r="L80" s="192">
        <f t="shared" ref="L80" si="54">L39+L61+L78</f>
        <v>0</v>
      </c>
      <c r="M80" s="192">
        <f t="shared" si="53"/>
        <v>0</v>
      </c>
      <c r="N80" s="192">
        <f>N39+N61+N78</f>
        <v>925938.99000000011</v>
      </c>
      <c r="P80" s="192">
        <f>P39+P61+P78</f>
        <v>1870262.1157500001</v>
      </c>
      <c r="Q80" s="192">
        <f t="shared" ref="Q80:R80" si="55">Q39+Q61+Q78</f>
        <v>2493682.8209999995</v>
      </c>
      <c r="R80" s="192">
        <f t="shared" si="55"/>
        <v>2440886.9499999997</v>
      </c>
      <c r="S80" s="190">
        <f t="shared" ref="S80:S88" si="56">R80-AG80</f>
        <v>0</v>
      </c>
      <c r="T80" s="190"/>
      <c r="U80" s="192">
        <f t="shared" ref="U80:AF80" si="57">U39+U61+U78</f>
        <v>119334.52</v>
      </c>
      <c r="V80" s="192">
        <f t="shared" si="57"/>
        <v>113697.12999999998</v>
      </c>
      <c r="W80" s="192">
        <f t="shared" si="57"/>
        <v>117844.24</v>
      </c>
      <c r="X80" s="192">
        <f t="shared" si="57"/>
        <v>116956.12000000001</v>
      </c>
      <c r="Y80" s="192">
        <f t="shared" si="57"/>
        <v>111590.86999999998</v>
      </c>
      <c r="Z80" s="192">
        <f t="shared" si="57"/>
        <v>109064.85000000002</v>
      </c>
      <c r="AA80" s="192">
        <f t="shared" si="57"/>
        <v>123297.64999999998</v>
      </c>
      <c r="AB80" s="192">
        <f t="shared" si="57"/>
        <v>123300.49</v>
      </c>
      <c r="AC80" s="192">
        <f t="shared" si="57"/>
        <v>755337.70999999985</v>
      </c>
      <c r="AD80" s="192">
        <f t="shared" si="57"/>
        <v>233481.31</v>
      </c>
      <c r="AE80" s="192">
        <f t="shared" si="57"/>
        <v>219998.38</v>
      </c>
      <c r="AF80" s="192">
        <f t="shared" si="57"/>
        <v>296983.67999999999</v>
      </c>
      <c r="AG80" s="192">
        <f>AG39+AG61+AG78</f>
        <v>2440886.9499999997</v>
      </c>
    </row>
    <row r="81" spans="1:33" x14ac:dyDescent="0.25">
      <c r="P81" s="161"/>
      <c r="Q81" s="161"/>
      <c r="R81" s="161"/>
      <c r="S81" s="190"/>
      <c r="T81" s="190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x14ac:dyDescent="0.25">
      <c r="A82" s="128" t="s">
        <v>294</v>
      </c>
      <c r="P82" s="161"/>
      <c r="Q82" s="161"/>
      <c r="R82" s="161"/>
      <c r="S82" s="190"/>
      <c r="T82" s="190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x14ac:dyDescent="0.25">
      <c r="A83" s="127" t="s">
        <v>295</v>
      </c>
      <c r="B83" s="161">
        <v>12500</v>
      </c>
      <c r="C83" s="161">
        <v>12500</v>
      </c>
      <c r="D83" s="161">
        <v>12500</v>
      </c>
      <c r="E83" s="161">
        <v>12500</v>
      </c>
      <c r="N83" s="161">
        <f>SUM(B83:M83)</f>
        <v>50000</v>
      </c>
      <c r="P83" s="161">
        <f t="shared" ref="P83:P85" si="58">Q83/12*$P$6</f>
        <v>112500</v>
      </c>
      <c r="Q83" s="161">
        <f t="shared" ref="Q83:Q85" si="59">R83</f>
        <v>150000</v>
      </c>
      <c r="R83" s="161">
        <f t="shared" ref="R83:R85" si="60">AG83</f>
        <v>150000</v>
      </c>
      <c r="S83" s="190">
        <f t="shared" si="56"/>
        <v>0</v>
      </c>
      <c r="T83" s="190"/>
      <c r="U83" s="161">
        <v>12500</v>
      </c>
      <c r="V83" s="161">
        <v>12500</v>
      </c>
      <c r="W83" s="161">
        <v>12500</v>
      </c>
      <c r="X83" s="161">
        <v>12500</v>
      </c>
      <c r="Y83" s="161">
        <v>12500</v>
      </c>
      <c r="Z83" s="161">
        <v>12500</v>
      </c>
      <c r="AA83" s="161">
        <v>12500</v>
      </c>
      <c r="AB83" s="161">
        <v>12500</v>
      </c>
      <c r="AC83" s="161">
        <v>12500</v>
      </c>
      <c r="AD83" s="161">
        <v>12500</v>
      </c>
      <c r="AE83" s="161">
        <v>12500</v>
      </c>
      <c r="AF83" s="161">
        <v>12500</v>
      </c>
      <c r="AG83" s="161">
        <f>SUM(U83:AF83)</f>
        <v>150000</v>
      </c>
    </row>
    <row r="84" spans="1:33" x14ac:dyDescent="0.25">
      <c r="A84" s="127" t="s">
        <v>598</v>
      </c>
      <c r="B84" s="161">
        <v>1036.44</v>
      </c>
      <c r="C84" s="161">
        <v>1174.67</v>
      </c>
      <c r="D84" s="161">
        <v>2011.88</v>
      </c>
      <c r="E84" s="161">
        <v>2364.73</v>
      </c>
      <c r="N84" s="161">
        <f>SUM(B84:M84)</f>
        <v>6587.7199999999993</v>
      </c>
      <c r="P84" s="161"/>
      <c r="Q84" s="161"/>
      <c r="R84" s="161"/>
      <c r="S84" s="190"/>
      <c r="T84" s="190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</row>
    <row r="85" spans="1:33" x14ac:dyDescent="0.25">
      <c r="A85" s="127" t="s">
        <v>267</v>
      </c>
      <c r="B85" s="161">
        <v>14725</v>
      </c>
      <c r="C85" s="161">
        <v>13775</v>
      </c>
      <c r="D85" s="161">
        <v>14725</v>
      </c>
      <c r="E85" s="161">
        <v>14250</v>
      </c>
      <c r="N85" s="161">
        <f>SUM(B85:M85)</f>
        <v>57475</v>
      </c>
      <c r="P85" s="161">
        <f t="shared" si="58"/>
        <v>26089.117499999997</v>
      </c>
      <c r="Q85" s="161">
        <f t="shared" si="59"/>
        <v>34785.49</v>
      </c>
      <c r="R85" s="161">
        <f t="shared" si="60"/>
        <v>34785.49</v>
      </c>
      <c r="S85" s="190">
        <f t="shared" si="56"/>
        <v>0</v>
      </c>
      <c r="T85" s="190"/>
      <c r="U85" s="161">
        <v>2109.7199999999998</v>
      </c>
      <c r="V85" s="161">
        <v>2488.89</v>
      </c>
      <c r="W85" s="161">
        <v>2770.21</v>
      </c>
      <c r="X85" s="161">
        <v>2666.67</v>
      </c>
      <c r="Y85" s="161">
        <v>2755.56</v>
      </c>
      <c r="Z85" s="161">
        <v>2666.67</v>
      </c>
      <c r="AA85" s="161">
        <v>2755.56</v>
      </c>
      <c r="AB85" s="161">
        <v>3000</v>
      </c>
      <c r="AC85" s="161">
        <v>3333.33</v>
      </c>
      <c r="AD85" s="161">
        <v>3444.44</v>
      </c>
      <c r="AE85" s="161">
        <v>3333.33</v>
      </c>
      <c r="AF85" s="161">
        <v>3461.11</v>
      </c>
      <c r="AG85" s="161">
        <f>SUM(U85:AF85)</f>
        <v>34785.49</v>
      </c>
    </row>
    <row r="86" spans="1:33" x14ac:dyDescent="0.25">
      <c r="A86" s="128" t="s">
        <v>296</v>
      </c>
      <c r="B86" s="191">
        <f>SUM(B83:B85)</f>
        <v>28261.440000000002</v>
      </c>
      <c r="C86" s="191">
        <f t="shared" ref="C86:F86" si="61">SUM(C83:C85)</f>
        <v>27449.67</v>
      </c>
      <c r="D86" s="191">
        <f t="shared" si="61"/>
        <v>29236.880000000001</v>
      </c>
      <c r="E86" s="191">
        <f>SUM(E83:E85)</f>
        <v>29114.73</v>
      </c>
      <c r="F86" s="191">
        <f t="shared" si="61"/>
        <v>0</v>
      </c>
      <c r="G86" s="191">
        <f t="shared" ref="G86:M86" si="62">SUM(G83:G85)</f>
        <v>0</v>
      </c>
      <c r="H86" s="191">
        <f t="shared" si="62"/>
        <v>0</v>
      </c>
      <c r="I86" s="191">
        <f t="shared" si="62"/>
        <v>0</v>
      </c>
      <c r="J86" s="191">
        <f t="shared" si="62"/>
        <v>0</v>
      </c>
      <c r="K86" s="191">
        <f t="shared" si="62"/>
        <v>0</v>
      </c>
      <c r="L86" s="191">
        <f t="shared" ref="L86" si="63">SUM(L83:L85)</f>
        <v>0</v>
      </c>
      <c r="M86" s="191">
        <f t="shared" si="62"/>
        <v>0</v>
      </c>
      <c r="N86" s="191">
        <f>SUM(N83:N85)</f>
        <v>114062.72</v>
      </c>
      <c r="P86" s="191">
        <f>SUM(P83:P85)</f>
        <v>138589.11749999999</v>
      </c>
      <c r="Q86" s="191">
        <f t="shared" ref="Q86:R86" si="64">SUM(Q83:Q85)</f>
        <v>184785.49</v>
      </c>
      <c r="R86" s="191">
        <f t="shared" si="64"/>
        <v>184785.49</v>
      </c>
      <c r="S86" s="190">
        <f t="shared" si="56"/>
        <v>0</v>
      </c>
      <c r="T86" s="190"/>
      <c r="U86" s="191">
        <f>SUM(U83:U85)</f>
        <v>14609.72</v>
      </c>
      <c r="V86" s="191">
        <f t="shared" ref="V86:AF86" si="65">SUM(V83:V85)</f>
        <v>14988.89</v>
      </c>
      <c r="W86" s="191">
        <f t="shared" si="65"/>
        <v>15270.21</v>
      </c>
      <c r="X86" s="191">
        <f>SUM(X83:X85)</f>
        <v>15166.67</v>
      </c>
      <c r="Y86" s="191">
        <f t="shared" si="65"/>
        <v>15255.56</v>
      </c>
      <c r="Z86" s="191">
        <f t="shared" si="65"/>
        <v>15166.67</v>
      </c>
      <c r="AA86" s="191">
        <f t="shared" si="65"/>
        <v>15255.56</v>
      </c>
      <c r="AB86" s="191">
        <f t="shared" si="65"/>
        <v>15500</v>
      </c>
      <c r="AC86" s="191">
        <f t="shared" si="65"/>
        <v>15833.33</v>
      </c>
      <c r="AD86" s="191">
        <f t="shared" si="65"/>
        <v>15944.44</v>
      </c>
      <c r="AE86" s="191">
        <f t="shared" si="65"/>
        <v>15833.33</v>
      </c>
      <c r="AF86" s="191">
        <f t="shared" si="65"/>
        <v>15961.11</v>
      </c>
      <c r="AG86" s="191">
        <f>SUM(AG83:AG85)</f>
        <v>184785.49</v>
      </c>
    </row>
    <row r="87" spans="1:33" x14ac:dyDescent="0.25">
      <c r="P87" s="161"/>
      <c r="Q87" s="161"/>
      <c r="R87" s="161"/>
      <c r="S87" s="190"/>
      <c r="T87" s="190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5.75" thickBot="1" x14ac:dyDescent="0.3">
      <c r="A88" s="128" t="s">
        <v>297</v>
      </c>
      <c r="B88" s="194">
        <f t="shared" ref="B88:M88" si="66">B25-B80+B86</f>
        <v>307116.89999999985</v>
      </c>
      <c r="C88" s="194">
        <f t="shared" si="66"/>
        <v>236977.64000000007</v>
      </c>
      <c r="D88" s="194">
        <f t="shared" si="66"/>
        <v>289713.10000000009</v>
      </c>
      <c r="E88" s="194">
        <f t="shared" si="66"/>
        <v>375315.86999999994</v>
      </c>
      <c r="F88" s="194">
        <f t="shared" si="66"/>
        <v>0</v>
      </c>
      <c r="G88" s="194">
        <f t="shared" si="66"/>
        <v>0</v>
      </c>
      <c r="H88" s="194">
        <f t="shared" si="66"/>
        <v>0</v>
      </c>
      <c r="I88" s="194">
        <f t="shared" si="66"/>
        <v>0</v>
      </c>
      <c r="J88" s="194">
        <f t="shared" ref="J88:L88" si="67">J25-J80+J86</f>
        <v>0</v>
      </c>
      <c r="K88" s="194">
        <f t="shared" si="67"/>
        <v>0</v>
      </c>
      <c r="L88" s="194">
        <f t="shared" si="67"/>
        <v>0</v>
      </c>
      <c r="M88" s="194">
        <f t="shared" si="66"/>
        <v>0</v>
      </c>
      <c r="N88" s="194">
        <f>N25-N80+N86</f>
        <v>1209123.51</v>
      </c>
      <c r="O88" s="127"/>
      <c r="P88" s="194">
        <f t="shared" ref="P88:R88" si="68">P25-P80+P86</f>
        <v>594000.63675000006</v>
      </c>
      <c r="Q88" s="194">
        <f t="shared" si="68"/>
        <v>792000.84900000016</v>
      </c>
      <c r="R88" s="194">
        <f t="shared" si="68"/>
        <v>844796.72</v>
      </c>
      <c r="S88" s="190">
        <f t="shared" si="56"/>
        <v>0</v>
      </c>
      <c r="T88" s="190"/>
      <c r="U88" s="194">
        <f t="shared" ref="U88:AG88" si="69">U25-U80+U86</f>
        <v>-1834.0699999999943</v>
      </c>
      <c r="V88" s="194">
        <f t="shared" si="69"/>
        <v>8655.3500000000204</v>
      </c>
      <c r="W88" s="194">
        <f t="shared" si="69"/>
        <v>83095.280000000028</v>
      </c>
      <c r="X88" s="194">
        <f t="shared" si="69"/>
        <v>32817.569999999978</v>
      </c>
      <c r="Y88" s="194">
        <f t="shared" si="69"/>
        <v>177775.43</v>
      </c>
      <c r="Z88" s="194">
        <f t="shared" si="69"/>
        <v>87212.919999999955</v>
      </c>
      <c r="AA88" s="194">
        <f t="shared" si="69"/>
        <v>115696.81999999999</v>
      </c>
      <c r="AB88" s="194">
        <f t="shared" si="69"/>
        <v>116860.41000000002</v>
      </c>
      <c r="AC88" s="194">
        <f t="shared" si="69"/>
        <v>2404.5800000002328</v>
      </c>
      <c r="AD88" s="194">
        <f t="shared" si="69"/>
        <v>133766.34000000003</v>
      </c>
      <c r="AE88" s="194">
        <f t="shared" si="69"/>
        <v>21245.390000000029</v>
      </c>
      <c r="AF88" s="194">
        <f t="shared" si="69"/>
        <v>67100.700000000026</v>
      </c>
      <c r="AG88" s="194">
        <f t="shared" si="69"/>
        <v>844796.72</v>
      </c>
    </row>
    <row r="89" spans="1:33" ht="15.75" thickTop="1" x14ac:dyDescent="0.25">
      <c r="B89" s="161">
        <f>B88-307116.9</f>
        <v>0</v>
      </c>
      <c r="D89" s="161">
        <f>D88-289713.1</f>
        <v>0</v>
      </c>
      <c r="E89" s="161">
        <f>E88-375315.87</f>
        <v>0</v>
      </c>
      <c r="P89" s="161"/>
      <c r="Q89" s="161"/>
      <c r="R89" s="161"/>
      <c r="S89" s="190"/>
      <c r="T89" s="190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x14ac:dyDescent="0.25">
      <c r="P90" s="161"/>
      <c r="Q90" s="161"/>
      <c r="R90" s="161"/>
      <c r="S90" s="190"/>
      <c r="T90" s="190"/>
      <c r="U90" s="161">
        <v>-1834.07</v>
      </c>
      <c r="V90" s="161">
        <v>8655.35</v>
      </c>
      <c r="W90" s="161">
        <v>83095.28</v>
      </c>
      <c r="X90" s="161">
        <v>32817.57</v>
      </c>
      <c r="Y90" s="161">
        <v>177775.43</v>
      </c>
      <c r="Z90" s="161">
        <v>87212.92</v>
      </c>
      <c r="AA90" s="161">
        <v>115696.82</v>
      </c>
      <c r="AB90" s="161">
        <v>116860.41</v>
      </c>
      <c r="AC90" s="161">
        <v>2404.58</v>
      </c>
      <c r="AD90" s="161">
        <v>133766.34</v>
      </c>
      <c r="AE90" s="161">
        <v>21245.39</v>
      </c>
      <c r="AF90" s="161">
        <v>67100.7</v>
      </c>
      <c r="AG90" s="161">
        <v>844796.72</v>
      </c>
    </row>
    <row r="91" spans="1:33" x14ac:dyDescent="0.25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P91" s="195"/>
      <c r="Q91" s="195"/>
      <c r="R91" s="195"/>
      <c r="S91" s="190"/>
      <c r="T91" s="190"/>
      <c r="U91" s="195">
        <f>ROUND((U90-U88),2)</f>
        <v>0</v>
      </c>
      <c r="V91" s="195">
        <f t="shared" ref="V91:AG91" si="70">ROUND((V90-V88),2)</f>
        <v>0</v>
      </c>
      <c r="W91" s="195">
        <f t="shared" si="70"/>
        <v>0</v>
      </c>
      <c r="X91" s="195">
        <f t="shared" si="70"/>
        <v>0</v>
      </c>
      <c r="Y91" s="195">
        <f t="shared" si="70"/>
        <v>0</v>
      </c>
      <c r="Z91" s="195">
        <f t="shared" si="70"/>
        <v>0</v>
      </c>
      <c r="AA91" s="195">
        <f t="shared" si="70"/>
        <v>0</v>
      </c>
      <c r="AB91" s="195">
        <f t="shared" si="70"/>
        <v>0</v>
      </c>
      <c r="AC91" s="195">
        <f t="shared" si="70"/>
        <v>0</v>
      </c>
      <c r="AD91" s="195">
        <f>ROUND((AD90-AD88),2)</f>
        <v>0</v>
      </c>
      <c r="AE91" s="195">
        <f>ROUND((AE90-AE88),2)</f>
        <v>0</v>
      </c>
      <c r="AF91" s="195">
        <f>ROUND((AF90-AF88),2)</f>
        <v>0</v>
      </c>
      <c r="AG91" s="195">
        <f t="shared" si="70"/>
        <v>0</v>
      </c>
    </row>
    <row r="92" spans="1:33" x14ac:dyDescent="0.25">
      <c r="P92" s="161"/>
      <c r="Q92" s="161"/>
      <c r="R92" s="161"/>
      <c r="T92" s="190"/>
    </row>
    <row r="93" spans="1:33" x14ac:dyDescent="0.25">
      <c r="P93" s="161"/>
      <c r="Q93" s="161"/>
      <c r="R93" s="161"/>
    </row>
    <row r="94" spans="1:33" x14ac:dyDescent="0.25">
      <c r="P94" s="161"/>
      <c r="Q94" s="161"/>
      <c r="R94" s="161"/>
    </row>
    <row r="95" spans="1:33" x14ac:dyDescent="0.25">
      <c r="P95" s="161"/>
      <c r="Q95" s="161"/>
      <c r="R95" s="161"/>
    </row>
    <row r="96" spans="1:33" x14ac:dyDescent="0.25">
      <c r="P96" s="161"/>
      <c r="Q96" s="161"/>
      <c r="R96" s="161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88"/>
      <c r="Q190" s="188"/>
      <c r="R190" s="188"/>
    </row>
    <row r="191" spans="16:18" x14ac:dyDescent="0.25">
      <c r="P191" s="161"/>
      <c r="Q191" s="161"/>
      <c r="R191" s="161"/>
    </row>
    <row r="192" spans="16:18" x14ac:dyDescent="0.25">
      <c r="P192" s="161"/>
      <c r="Q192" s="161"/>
      <c r="R192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25" right="0.25" top="0.75" bottom="0.75" header="0.3" footer="0.3"/>
  <pageSetup scale="94" fitToHeight="0" orientation="portrait" r:id="rId1"/>
  <headerFooter>
    <oddFooter>&amp;CPage &amp;P of &amp;N</oddFooter>
  </headerFooter>
  <rowBreaks count="2" manualBreakCount="2">
    <brk id="39" max="13" man="1"/>
    <brk id="6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AG193"/>
  <sheetViews>
    <sheetView view="pageBreakPreview" zoomScale="70" zoomScaleNormal="100" zoomScaleSheetLayoutView="70" workbookViewId="0">
      <pane ySplit="5" topLeftCell="A47" activePane="bottomLeft" state="frozen"/>
      <selection activeCell="E92" sqref="E92"/>
      <selection pane="bottomLeft" activeCell="E92" sqref="E92"/>
    </sheetView>
  </sheetViews>
  <sheetFormatPr defaultRowHeight="15" x14ac:dyDescent="0.25"/>
  <cols>
    <col min="1" max="1" width="41.28515625" style="127" bestFit="1" customWidth="1"/>
    <col min="2" max="2" width="18.28515625" style="161" bestFit="1" customWidth="1"/>
    <col min="3" max="5" width="18.28515625" style="161" customWidth="1"/>
    <col min="6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247" t="s">
        <v>331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33" ht="21" x14ac:dyDescent="0.35">
      <c r="A2" s="247" t="s">
        <v>271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33" ht="21" x14ac:dyDescent="0.35">
      <c r="A3" s="247">
        <v>2020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5" t="s">
        <v>550</v>
      </c>
      <c r="Q4" s="245" t="s">
        <v>545</v>
      </c>
      <c r="R4" s="245" t="s">
        <v>549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6"/>
      <c r="Q5" s="246"/>
      <c r="R5" s="246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601</v>
      </c>
      <c r="H6" s="197" t="s">
        <v>602</v>
      </c>
      <c r="I6" s="197" t="s">
        <v>603</v>
      </c>
      <c r="J6" s="197" t="s">
        <v>604</v>
      </c>
      <c r="K6" s="197" t="s">
        <v>605</v>
      </c>
      <c r="L6" s="197" t="s">
        <v>606</v>
      </c>
      <c r="M6" s="197" t="s">
        <v>607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>
        <v>873786.09</v>
      </c>
      <c r="E8" s="199">
        <v>1989.41</v>
      </c>
      <c r="F8" s="199"/>
      <c r="G8" s="199"/>
      <c r="H8" s="199"/>
      <c r="I8" s="199"/>
      <c r="J8" s="199"/>
      <c r="K8" s="199"/>
      <c r="L8" s="199"/>
      <c r="M8" s="199"/>
      <c r="N8" s="199">
        <f>SUM(B8:M8)</f>
        <v>6630858.9000000004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>
        <v>446910.47</v>
      </c>
      <c r="E9" s="199">
        <v>1319</v>
      </c>
      <c r="F9" s="199"/>
      <c r="G9" s="199"/>
      <c r="H9" s="199"/>
      <c r="I9" s="199"/>
      <c r="J9" s="199"/>
      <c r="K9" s="199"/>
      <c r="L9" s="199"/>
      <c r="M9" s="199"/>
      <c r="N9" s="199">
        <f t="shared" ref="N9:N16" si="1">SUM(B9:M9)</f>
        <v>951446.44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>
        <v>7202.7</v>
      </c>
      <c r="E10" s="199">
        <v>0</v>
      </c>
      <c r="F10" s="199"/>
      <c r="G10" s="199"/>
      <c r="H10" s="199"/>
      <c r="I10" s="199"/>
      <c r="J10" s="199"/>
      <c r="K10" s="199"/>
      <c r="L10" s="199"/>
      <c r="M10" s="199"/>
      <c r="N10" s="199">
        <f t="shared" si="1"/>
        <v>15229.84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>
        <v>17885.400000000001</v>
      </c>
      <c r="E11" s="199">
        <v>0</v>
      </c>
      <c r="F11" s="199"/>
      <c r="G11" s="199"/>
      <c r="H11" s="199"/>
      <c r="I11" s="199"/>
      <c r="J11" s="199"/>
      <c r="K11" s="199"/>
      <c r="L11" s="199"/>
      <c r="M11" s="199"/>
      <c r="N11" s="199">
        <f t="shared" si="1"/>
        <v>43279.8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>
        <v>65.98</v>
      </c>
      <c r="E12" s="199">
        <v>0</v>
      </c>
      <c r="F12" s="199"/>
      <c r="G12" s="199"/>
      <c r="H12" s="199"/>
      <c r="I12" s="199"/>
      <c r="J12" s="199"/>
      <c r="K12" s="199"/>
      <c r="L12" s="199"/>
      <c r="M12" s="199"/>
      <c r="N12" s="199">
        <f t="shared" si="1"/>
        <v>75.97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>
        <v>270</v>
      </c>
      <c r="E13" s="199">
        <v>0</v>
      </c>
      <c r="F13" s="199"/>
      <c r="G13" s="199"/>
      <c r="H13" s="199"/>
      <c r="I13" s="199"/>
      <c r="J13" s="199"/>
      <c r="K13" s="199"/>
      <c r="L13" s="199"/>
      <c r="M13" s="199"/>
      <c r="N13" s="199">
        <f t="shared" si="1"/>
        <v>7223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>
        <v>25988.35</v>
      </c>
      <c r="E14" s="199">
        <v>-2403</v>
      </c>
      <c r="F14" s="199"/>
      <c r="G14" s="199"/>
      <c r="H14" s="199"/>
      <c r="I14" s="199"/>
      <c r="J14" s="199"/>
      <c r="K14" s="199"/>
      <c r="L14" s="199"/>
      <c r="M14" s="199"/>
      <c r="N14" s="199">
        <f t="shared" si="1"/>
        <v>184779.00000000003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1372108.99</v>
      </c>
      <c r="E17" s="200">
        <f t="shared" si="8"/>
        <v>905.40999999999985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7832892.9499999993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>
        <v>836431.83</v>
      </c>
      <c r="E20" s="199">
        <v>1848.46</v>
      </c>
      <c r="F20" s="199"/>
      <c r="G20" s="199"/>
      <c r="H20" s="199"/>
      <c r="I20" s="199"/>
      <c r="J20" s="199"/>
      <c r="K20" s="199"/>
      <c r="L20" s="199"/>
      <c r="M20" s="199"/>
      <c r="N20" s="199">
        <f t="shared" ref="N20:N36" si="13">SUM(B20:M20)</f>
        <v>6468878.21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>
        <v>407014.96</v>
      </c>
      <c r="E21" s="199">
        <v>985</v>
      </c>
      <c r="F21" s="199"/>
      <c r="G21" s="199"/>
      <c r="H21" s="199"/>
      <c r="I21" s="199"/>
      <c r="J21" s="199"/>
      <c r="K21" s="199"/>
      <c r="L21" s="199"/>
      <c r="M21" s="199"/>
      <c r="N21" s="199">
        <f t="shared" si="13"/>
        <v>878139.57000000007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>
        <v>6586.84</v>
      </c>
      <c r="E22" s="199">
        <v>0</v>
      </c>
      <c r="F22" s="199"/>
      <c r="G22" s="199"/>
      <c r="H22" s="199"/>
      <c r="I22" s="199"/>
      <c r="J22" s="199"/>
      <c r="K22" s="199"/>
      <c r="L22" s="199"/>
      <c r="M22" s="199"/>
      <c r="N22" s="199">
        <f t="shared" si="13"/>
        <v>13768.460000000001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>
        <v>16370</v>
      </c>
      <c r="E23" s="199">
        <v>0</v>
      </c>
      <c r="F23" s="199"/>
      <c r="G23" s="199"/>
      <c r="H23" s="199"/>
      <c r="I23" s="199"/>
      <c r="J23" s="199"/>
      <c r="K23" s="199"/>
      <c r="L23" s="199"/>
      <c r="M23" s="199"/>
      <c r="N23" s="199">
        <f t="shared" si="13"/>
        <v>40652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>
        <v>270</v>
      </c>
      <c r="E24" s="199">
        <v>0</v>
      </c>
      <c r="F24" s="199"/>
      <c r="G24" s="199"/>
      <c r="H24" s="199"/>
      <c r="I24" s="199"/>
      <c r="J24" s="199"/>
      <c r="K24" s="199"/>
      <c r="L24" s="199"/>
      <c r="M24" s="199"/>
      <c r="N24" s="199">
        <f t="shared" si="13"/>
        <v>7223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x14ac:dyDescent="0.3">
      <c r="A25" s="196" t="s">
        <v>435</v>
      </c>
      <c r="B25" s="199">
        <v>0</v>
      </c>
      <c r="C25" s="199">
        <v>0</v>
      </c>
      <c r="D25" s="199">
        <v>66</v>
      </c>
      <c r="E25" s="199">
        <v>0</v>
      </c>
      <c r="F25" s="199"/>
      <c r="G25" s="199"/>
      <c r="H25" s="199"/>
      <c r="I25" s="199"/>
      <c r="J25" s="199"/>
      <c r="K25" s="199"/>
      <c r="L25" s="199"/>
      <c r="M25" s="199"/>
      <c r="N25" s="199">
        <f t="shared" si="13"/>
        <v>66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>
        <v>-7013.92</v>
      </c>
      <c r="E26" s="199">
        <v>1176.05</v>
      </c>
      <c r="F26" s="199"/>
      <c r="G26" s="199"/>
      <c r="H26" s="199"/>
      <c r="I26" s="199"/>
      <c r="J26" s="199"/>
      <c r="K26" s="199"/>
      <c r="L26" s="199"/>
      <c r="M26" s="199"/>
      <c r="N26" s="199">
        <f t="shared" si="13"/>
        <v>30947.48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>
        <v>1173.8499999999999</v>
      </c>
      <c r="E27" s="199">
        <v>-1542.5</v>
      </c>
      <c r="F27" s="199"/>
      <c r="G27" s="199"/>
      <c r="H27" s="199"/>
      <c r="I27" s="199"/>
      <c r="J27" s="199"/>
      <c r="K27" s="199"/>
      <c r="L27" s="199"/>
      <c r="M27" s="199"/>
      <c r="N27" s="199">
        <f t="shared" si="13"/>
        <v>-252.20000000000027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x14ac:dyDescent="0.3">
      <c r="A29" s="196" t="s">
        <v>375</v>
      </c>
      <c r="B29" s="199">
        <v>0</v>
      </c>
      <c r="C29" s="199">
        <v>0</v>
      </c>
      <c r="D29" s="199">
        <v>0</v>
      </c>
      <c r="E29" s="199">
        <v>464.4</v>
      </c>
      <c r="F29" s="199"/>
      <c r="G29" s="199"/>
      <c r="H29" s="199"/>
      <c r="I29" s="199"/>
      <c r="J29" s="199"/>
      <c r="K29" s="199"/>
      <c r="L29" s="199"/>
      <c r="M29" s="199"/>
      <c r="N29" s="199">
        <f t="shared" si="13"/>
        <v>464.4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>
        <v>0</v>
      </c>
      <c r="E30" s="199">
        <v>0</v>
      </c>
      <c r="F30" s="199"/>
      <c r="G30" s="199"/>
      <c r="H30" s="199"/>
      <c r="I30" s="199"/>
      <c r="J30" s="199"/>
      <c r="K30" s="199"/>
      <c r="L30" s="199"/>
      <c r="M30" s="199"/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>
        <v>0</v>
      </c>
      <c r="E31" s="199">
        <v>0</v>
      </c>
      <c r="F31" s="199"/>
      <c r="G31" s="199"/>
      <c r="H31" s="199"/>
      <c r="I31" s="199"/>
      <c r="J31" s="199"/>
      <c r="K31" s="199"/>
      <c r="L31" s="199"/>
      <c r="M31" s="199"/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>
        <v>0</v>
      </c>
      <c r="E32" s="199">
        <v>0</v>
      </c>
      <c r="F32" s="199"/>
      <c r="G32" s="199"/>
      <c r="H32" s="199"/>
      <c r="I32" s="199"/>
      <c r="J32" s="199"/>
      <c r="K32" s="199"/>
      <c r="L32" s="199"/>
      <c r="M32" s="199"/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600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>
        <v>25443.09</v>
      </c>
      <c r="E35" s="199">
        <v>25.36</v>
      </c>
      <c r="F35" s="199"/>
      <c r="G35" s="199"/>
      <c r="H35" s="199"/>
      <c r="I35" s="199"/>
      <c r="J35" s="199"/>
      <c r="K35" s="199"/>
      <c r="L35" s="199"/>
      <c r="M35" s="199"/>
      <c r="N35" s="199">
        <f t="shared" si="13"/>
        <v>144657.51999999999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>
        <v>24341.439999999999</v>
      </c>
      <c r="E36" s="199">
        <v>30.03</v>
      </c>
      <c r="F36" s="199"/>
      <c r="G36" s="199"/>
      <c r="H36" s="199"/>
      <c r="I36" s="199"/>
      <c r="J36" s="199"/>
      <c r="K36" s="199"/>
      <c r="L36" s="199"/>
      <c r="M36" s="199"/>
      <c r="N36" s="199">
        <f t="shared" si="13"/>
        <v>103278.32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1310684.0900000003</v>
      </c>
      <c r="E37" s="200">
        <f t="shared" si="17"/>
        <v>2986.8000000000006</v>
      </c>
      <c r="F37" s="200">
        <f t="shared" si="17"/>
        <v>0</v>
      </c>
      <c r="G37" s="200">
        <f t="shared" si="17"/>
        <v>0</v>
      </c>
      <c r="H37" s="200">
        <f t="shared" si="17"/>
        <v>0</v>
      </c>
      <c r="I37" s="200">
        <f t="shared" ref="I37:L37" si="18">SUM(I20:I36)</f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7687219.8100000005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61424.899999999674</v>
      </c>
      <c r="E39" s="201">
        <f t="shared" si="21"/>
        <v>-2081.3900000000008</v>
      </c>
      <c r="F39" s="201">
        <f t="shared" si="21"/>
        <v>0</v>
      </c>
      <c r="G39" s="201">
        <f t="shared" si="21"/>
        <v>0</v>
      </c>
      <c r="H39" s="201">
        <f t="shared" si="21"/>
        <v>0</v>
      </c>
      <c r="I39" s="201">
        <f t="shared" ref="I39" si="22">I17-I37</f>
        <v>0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145673.13999999873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>
        <v>27339.32</v>
      </c>
      <c r="E44" s="199">
        <v>-6456.56</v>
      </c>
      <c r="F44" s="199"/>
      <c r="G44" s="199"/>
      <c r="H44" s="199"/>
      <c r="I44" s="199"/>
      <c r="J44" s="199"/>
      <c r="K44" s="199"/>
      <c r="L44" s="199"/>
      <c r="M44" s="199"/>
      <c r="N44" s="199">
        <f t="shared" ref="N44:N53" si="25">SUM(B44:M44)</f>
        <v>59873.320000000007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530</v>
      </c>
      <c r="B45" s="199">
        <v>2386.35</v>
      </c>
      <c r="C45" s="199">
        <v>2371.77</v>
      </c>
      <c r="D45" s="199">
        <v>2373.44</v>
      </c>
      <c r="E45" s="199">
        <v>208.33</v>
      </c>
      <c r="F45" s="199"/>
      <c r="G45" s="199"/>
      <c r="H45" s="199"/>
      <c r="I45" s="199"/>
      <c r="J45" s="199"/>
      <c r="K45" s="199"/>
      <c r="L45" s="199"/>
      <c r="M45" s="199"/>
      <c r="N45" s="199">
        <f t="shared" si="25"/>
        <v>7339.8899999999994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580</v>
      </c>
      <c r="B46" s="199">
        <v>184.45</v>
      </c>
      <c r="C46" s="199">
        <v>162.88</v>
      </c>
      <c r="D46" s="199">
        <v>162.88</v>
      </c>
      <c r="E46" s="199">
        <v>0</v>
      </c>
      <c r="F46" s="199"/>
      <c r="G46" s="199"/>
      <c r="H46" s="199"/>
      <c r="I46" s="199"/>
      <c r="J46" s="199"/>
      <c r="K46" s="199"/>
      <c r="L46" s="199"/>
      <c r="M46" s="199"/>
      <c r="N46" s="199">
        <f t="shared" si="25"/>
        <v>510.21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>
        <v>2667.53</v>
      </c>
      <c r="E47" s="199">
        <v>-611.57000000000005</v>
      </c>
      <c r="F47" s="199"/>
      <c r="G47" s="199"/>
      <c r="H47" s="199"/>
      <c r="I47" s="199"/>
      <c r="J47" s="199"/>
      <c r="K47" s="199"/>
      <c r="L47" s="199"/>
      <c r="M47" s="199"/>
      <c r="N47" s="199">
        <f t="shared" si="25"/>
        <v>6067.9600000000009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>
        <v>3755.78</v>
      </c>
      <c r="E48" s="199">
        <v>181.26</v>
      </c>
      <c r="F48" s="199"/>
      <c r="G48" s="199"/>
      <c r="H48" s="199"/>
      <c r="I48" s="199"/>
      <c r="J48" s="199"/>
      <c r="K48" s="199"/>
      <c r="L48" s="199"/>
      <c r="M48" s="199"/>
      <c r="N48" s="199">
        <f t="shared" si="25"/>
        <v>11442.710000000001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>
        <v>572.5</v>
      </c>
      <c r="E49" s="199">
        <v>32.49</v>
      </c>
      <c r="F49" s="199"/>
      <c r="G49" s="199"/>
      <c r="H49" s="199"/>
      <c r="I49" s="199"/>
      <c r="J49" s="199"/>
      <c r="K49" s="199"/>
      <c r="L49" s="199"/>
      <c r="M49" s="199"/>
      <c r="N49" s="199">
        <f t="shared" si="25"/>
        <v>1736.52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>
        <v>833.5</v>
      </c>
      <c r="E50" s="199">
        <v>53.15</v>
      </c>
      <c r="F50" s="199"/>
      <c r="G50" s="199"/>
      <c r="H50" s="199"/>
      <c r="I50" s="199"/>
      <c r="J50" s="199"/>
      <c r="K50" s="199"/>
      <c r="L50" s="199"/>
      <c r="M50" s="199"/>
      <c r="N50" s="199">
        <f t="shared" si="25"/>
        <v>2948.5800000000004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>
        <v>250</v>
      </c>
      <c r="E52" s="199">
        <v>0</v>
      </c>
      <c r="F52" s="199"/>
      <c r="G52" s="199"/>
      <c r="H52" s="199"/>
      <c r="I52" s="199"/>
      <c r="J52" s="199"/>
      <c r="K52" s="199"/>
      <c r="L52" s="199"/>
      <c r="M52" s="199"/>
      <c r="N52" s="199">
        <f t="shared" si="25"/>
        <v>750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584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534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37954.949999999997</v>
      </c>
      <c r="E54" s="200">
        <f t="shared" si="30"/>
        <v>-6592.9000000000005</v>
      </c>
      <c r="F54" s="200">
        <f t="shared" si="30"/>
        <v>0</v>
      </c>
      <c r="G54" s="200">
        <f t="shared" si="30"/>
        <v>0</v>
      </c>
      <c r="H54" s="200">
        <f t="shared" ref="H54:N54" si="31">SUM(H44:H53)</f>
        <v>0</v>
      </c>
      <c r="I54" s="200">
        <f t="shared" si="31"/>
        <v>0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90669.190000000031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>
        <v>5000</v>
      </c>
      <c r="E57" s="199">
        <v>0</v>
      </c>
      <c r="F57" s="199"/>
      <c r="G57" s="199"/>
      <c r="H57" s="199"/>
      <c r="I57" s="199"/>
      <c r="J57" s="199"/>
      <c r="K57" s="199"/>
      <c r="L57" s="199"/>
      <c r="M57" s="199"/>
      <c r="N57" s="199">
        <f t="shared" ref="N57:N60" si="34">SUM(B57:M57)</f>
        <v>15000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>
        <v>100</v>
      </c>
      <c r="E59" s="199">
        <v>0</v>
      </c>
      <c r="F59" s="199"/>
      <c r="G59" s="199"/>
      <c r="H59" s="199"/>
      <c r="I59" s="199"/>
      <c r="J59" s="199"/>
      <c r="K59" s="199"/>
      <c r="L59" s="199"/>
      <c r="M59" s="199"/>
      <c r="N59" s="199">
        <f t="shared" si="34"/>
        <v>300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>
        <v>418.29</v>
      </c>
      <c r="E60" s="199">
        <v>418.29</v>
      </c>
      <c r="F60" s="199"/>
      <c r="G60" s="199"/>
      <c r="H60" s="199"/>
      <c r="I60" s="199"/>
      <c r="J60" s="199"/>
      <c r="K60" s="199"/>
      <c r="L60" s="199"/>
      <c r="M60" s="199"/>
      <c r="N60" s="199">
        <f t="shared" si="34"/>
        <v>1673.16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5518.29</v>
      </c>
      <c r="E61" s="200">
        <f t="shared" si="36"/>
        <v>418.29</v>
      </c>
      <c r="F61" s="200">
        <f>SUM(F57:F60)</f>
        <v>0</v>
      </c>
      <c r="G61" s="200">
        <f>SUM(G57:G60)</f>
        <v>0</v>
      </c>
      <c r="H61" s="200">
        <f t="shared" ref="H61:L61" si="37">SUM(H57:H60)</f>
        <v>0</v>
      </c>
      <c r="I61" s="200">
        <f t="shared" si="37"/>
        <v>0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16973.16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585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>
        <v>100.78</v>
      </c>
      <c r="E65" s="199">
        <v>98.98</v>
      </c>
      <c r="F65" s="199"/>
      <c r="G65" s="199"/>
      <c r="H65" s="199"/>
      <c r="I65" s="199"/>
      <c r="J65" s="199"/>
      <c r="K65" s="199"/>
      <c r="L65" s="199"/>
      <c r="M65" s="199"/>
      <c r="N65" s="199">
        <f t="shared" si="41"/>
        <v>391.37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537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614</v>
      </c>
      <c r="B67" s="199">
        <v>28.69</v>
      </c>
      <c r="C67" s="199">
        <v>0</v>
      </c>
      <c r="D67" s="199">
        <v>0</v>
      </c>
      <c r="E67" s="199">
        <v>0</v>
      </c>
      <c r="F67" s="199"/>
      <c r="G67" s="199"/>
      <c r="H67" s="199"/>
      <c r="I67" s="199"/>
      <c r="J67" s="199"/>
      <c r="K67" s="199"/>
      <c r="L67" s="199"/>
      <c r="M67" s="199"/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253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553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>
        <v>346.52</v>
      </c>
      <c r="E69" s="199">
        <v>3526.09</v>
      </c>
      <c r="F69" s="199"/>
      <c r="G69" s="199"/>
      <c r="H69" s="199"/>
      <c r="I69" s="199"/>
      <c r="J69" s="199"/>
      <c r="K69" s="199"/>
      <c r="L69" s="199"/>
      <c r="M69" s="199"/>
      <c r="N69" s="199">
        <f t="shared" si="41"/>
        <v>4565.6499999999996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>
        <v>0</v>
      </c>
      <c r="E70" s="199">
        <v>0</v>
      </c>
      <c r="F70" s="199"/>
      <c r="G70" s="199"/>
      <c r="H70" s="199"/>
      <c r="I70" s="199"/>
      <c r="J70" s="199"/>
      <c r="K70" s="199"/>
      <c r="L70" s="199"/>
      <c r="M70" s="199"/>
      <c r="N70" s="199">
        <f t="shared" si="41"/>
        <v>184.95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>
        <v>450</v>
      </c>
      <c r="E71" s="199">
        <v>0</v>
      </c>
      <c r="F71" s="199"/>
      <c r="G71" s="199"/>
      <c r="H71" s="199"/>
      <c r="I71" s="199"/>
      <c r="J71" s="199"/>
      <c r="K71" s="199"/>
      <c r="L71" s="199"/>
      <c r="M71" s="199"/>
      <c r="N71" s="199">
        <f t="shared" si="41"/>
        <v>1350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>
        <v>4700</v>
      </c>
      <c r="E72" s="199">
        <v>3700</v>
      </c>
      <c r="F72" s="199"/>
      <c r="G72" s="199"/>
      <c r="H72" s="199"/>
      <c r="I72" s="199"/>
      <c r="J72" s="199"/>
      <c r="K72" s="199"/>
      <c r="L72" s="199"/>
      <c r="M72" s="199"/>
      <c r="N72" s="199">
        <f t="shared" si="41"/>
        <v>8510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>
        <v>-615</v>
      </c>
      <c r="E73" s="199">
        <v>385</v>
      </c>
      <c r="F73" s="199"/>
      <c r="G73" s="199"/>
      <c r="H73" s="199"/>
      <c r="I73" s="199"/>
      <c r="J73" s="199"/>
      <c r="K73" s="199"/>
      <c r="L73" s="199"/>
      <c r="M73" s="199"/>
      <c r="N73" s="199">
        <f t="shared" si="41"/>
        <v>1540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>
        <v>3750</v>
      </c>
      <c r="E74" s="199">
        <v>184.29</v>
      </c>
      <c r="F74" s="199"/>
      <c r="G74" s="199"/>
      <c r="H74" s="199"/>
      <c r="I74" s="199"/>
      <c r="J74" s="199"/>
      <c r="K74" s="199"/>
      <c r="L74" s="199"/>
      <c r="M74" s="199"/>
      <c r="N74" s="199">
        <f t="shared" si="41"/>
        <v>11434.29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hidden="1" x14ac:dyDescent="0.3">
      <c r="A76" s="196" t="s">
        <v>378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>
        <f t="shared" si="41"/>
        <v>0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>
        <v>159</v>
      </c>
      <c r="E77" s="199">
        <v>0</v>
      </c>
      <c r="F77" s="199"/>
      <c r="G77" s="199"/>
      <c r="H77" s="199"/>
      <c r="I77" s="199"/>
      <c r="J77" s="199"/>
      <c r="K77" s="199"/>
      <c r="L77" s="199"/>
      <c r="M77" s="199"/>
      <c r="N77" s="199">
        <f t="shared" si="41"/>
        <v>477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593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8891.2999999999993</v>
      </c>
      <c r="E80" s="200">
        <f>SUM(E64:E79)</f>
        <v>7894.36</v>
      </c>
      <c r="F80" s="200">
        <f t="shared" ref="F80:M80" si="47">SUM(F65:F79)</f>
        <v>0</v>
      </c>
      <c r="G80" s="200">
        <f t="shared" si="47"/>
        <v>0</v>
      </c>
      <c r="H80" s="200">
        <f t="shared" si="47"/>
        <v>0</v>
      </c>
      <c r="I80" s="200">
        <f t="shared" si="47"/>
        <v>0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28481.95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>
        <v>0</v>
      </c>
      <c r="E84" s="199">
        <v>0</v>
      </c>
      <c r="F84" s="199"/>
      <c r="G84" s="199"/>
      <c r="H84" s="199"/>
      <c r="I84" s="199"/>
      <c r="J84" s="199"/>
      <c r="K84" s="199"/>
      <c r="L84" s="199"/>
      <c r="M84" s="199"/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>
        <v>0</v>
      </c>
      <c r="E85" s="199">
        <v>0</v>
      </c>
      <c r="F85" s="199"/>
      <c r="G85" s="199"/>
      <c r="H85" s="199"/>
      <c r="I85" s="199"/>
      <c r="J85" s="199"/>
      <c r="K85" s="199"/>
      <c r="L85" s="199"/>
      <c r="M85" s="199"/>
      <c r="N85" s="199">
        <f t="shared" si="54"/>
        <v>1190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0</v>
      </c>
      <c r="H86" s="200">
        <f t="shared" si="56"/>
        <v>0</v>
      </c>
      <c r="I86" s="200">
        <f t="shared" si="56"/>
        <v>0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-218.25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52364.539999999994</v>
      </c>
      <c r="E88" s="201">
        <f t="shared" si="60"/>
        <v>1719.7499999999991</v>
      </c>
      <c r="F88" s="201">
        <f t="shared" si="60"/>
        <v>0</v>
      </c>
      <c r="G88" s="201">
        <f t="shared" si="60"/>
        <v>0</v>
      </c>
      <c r="H88" s="201">
        <f t="shared" si="60"/>
        <v>0</v>
      </c>
      <c r="I88" s="201">
        <f t="shared" si="60"/>
        <v>0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136342.55000000005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9060.3599999996804</v>
      </c>
      <c r="E90" s="202">
        <f t="shared" si="63"/>
        <v>-3801.14</v>
      </c>
      <c r="F90" s="202">
        <f t="shared" si="63"/>
        <v>0</v>
      </c>
      <c r="G90" s="202">
        <f t="shared" si="63"/>
        <v>0</v>
      </c>
      <c r="H90" s="202">
        <f t="shared" si="63"/>
        <v>0</v>
      </c>
      <c r="I90" s="202">
        <f t="shared" si="63"/>
        <v>0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9330.5899999986868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7" fitToHeight="0" orientation="portrait" r:id="rId1"/>
  <headerFooter>
    <oddFooter>&amp;CPage &amp;P of &amp;N</oddFooter>
  </headerFooter>
  <rowBreaks count="2" manualBreakCount="2">
    <brk id="40" max="13" man="1"/>
    <brk id="91" max="13" man="1"/>
  </rowBreaks>
  <colBreaks count="1" manualBreakCount="1">
    <brk id="14" max="1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AG186"/>
  <sheetViews>
    <sheetView view="pageBreakPreview" zoomScale="60" zoomScaleNormal="100" workbookViewId="0">
      <pane ySplit="6" topLeftCell="A7" activePane="bottomLeft" state="frozen"/>
      <selection activeCell="E92" sqref="E92"/>
      <selection pane="bottomLeft" activeCell="E92" sqref="E92"/>
    </sheetView>
  </sheetViews>
  <sheetFormatPr defaultRowHeight="15" x14ac:dyDescent="0.25"/>
  <cols>
    <col min="1" max="1" width="41.28515625" style="127" bestFit="1" customWidth="1"/>
    <col min="2" max="2" width="13.42578125" style="161" bestFit="1" customWidth="1"/>
    <col min="3" max="5" width="13.28515625" style="161" customWidth="1"/>
    <col min="6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247" t="s">
        <v>324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33" ht="21" x14ac:dyDescent="0.35">
      <c r="A2" s="247" t="s">
        <v>271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33" ht="21" x14ac:dyDescent="0.35">
      <c r="A3" s="247">
        <v>2020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5" t="s">
        <v>550</v>
      </c>
      <c r="Q4" s="245" t="s">
        <v>545</v>
      </c>
      <c r="R4" s="245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6"/>
      <c r="Q5" s="246"/>
      <c r="R5" s="24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531</v>
      </c>
      <c r="N9" s="161">
        <f>SUM(B9:M9)</f>
        <v>0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D10" s="161">
        <v>0</v>
      </c>
      <c r="E10" s="161">
        <v>2.74</v>
      </c>
      <c r="N10" s="161">
        <f>SUM(B10:M10)</f>
        <v>7.8900000000000006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D11" s="161">
        <v>0</v>
      </c>
      <c r="E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D13" s="161">
        <v>250</v>
      </c>
      <c r="E13" s="161">
        <v>250</v>
      </c>
      <c r="N13" s="161">
        <f>SUM(B13:M13)</f>
        <v>1000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250</v>
      </c>
      <c r="E14" s="191">
        <f t="shared" si="4"/>
        <v>252.74</v>
      </c>
      <c r="F14" s="191">
        <f t="shared" si="4"/>
        <v>0</v>
      </c>
      <c r="G14" s="191">
        <f t="shared" si="4"/>
        <v>0</v>
      </c>
      <c r="H14" s="191">
        <f t="shared" si="4"/>
        <v>0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1117.8900000000001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D17" s="161">
        <v>5727.26</v>
      </c>
      <c r="E17" s="161">
        <v>5791.5</v>
      </c>
      <c r="N17" s="161">
        <f>SUM(B17:M17)</f>
        <v>22848.980000000003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D18" s="161">
        <v>-1294.47</v>
      </c>
      <c r="E18" s="161">
        <v>-1025.29</v>
      </c>
      <c r="N18" s="161">
        <f>SUM(B18:M18)</f>
        <v>-5255.35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581</v>
      </c>
      <c r="N19" s="161">
        <f>SUM(B19:M19)</f>
        <v>0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9199</v>
      </c>
      <c r="E20" s="191">
        <f t="shared" si="7"/>
        <v>4766.21</v>
      </c>
      <c r="F20" s="191">
        <f t="shared" si="7"/>
        <v>0</v>
      </c>
      <c r="G20" s="191">
        <f t="shared" si="7"/>
        <v>0</v>
      </c>
      <c r="H20" s="191">
        <f t="shared" si="7"/>
        <v>0</v>
      </c>
      <c r="I20" s="191">
        <f t="shared" ref="I20:L20" si="8">SUM(I17:I18)</f>
        <v>0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17593.630000000005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8949</v>
      </c>
      <c r="E22" s="194">
        <f t="shared" si="11"/>
        <v>4513.47</v>
      </c>
      <c r="F22" s="194">
        <f t="shared" si="11"/>
        <v>0</v>
      </c>
      <c r="G22" s="194">
        <f t="shared" si="11"/>
        <v>0</v>
      </c>
      <c r="H22" s="194">
        <f t="shared" si="11"/>
        <v>0</v>
      </c>
      <c r="I22" s="194">
        <f t="shared" ref="I22:L22" si="12">I20-I14</f>
        <v>0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16475.740000000005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3" fitToHeight="0" orientation="portrait" r:id="rId1"/>
  <headerFooter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AF297"/>
  <sheetViews>
    <sheetView view="pageBreakPreview" zoomScale="60" zoomScaleNormal="100" workbookViewId="0">
      <pane ySplit="6" topLeftCell="A14" activePane="bottomLeft" state="frozen"/>
      <selection activeCell="E92" sqref="E92"/>
      <selection pane="bottomLeft" activeCell="E92" sqref="E92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5" width="13" style="161" customWidth="1"/>
    <col min="6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247" t="s">
        <v>341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32" ht="21" x14ac:dyDescent="0.35">
      <c r="A2" s="247" t="s">
        <v>271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32" ht="21" x14ac:dyDescent="0.35">
      <c r="A3" s="247">
        <v>2020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5" t="s">
        <v>550</v>
      </c>
      <c r="Q4" s="245" t="s">
        <v>545</v>
      </c>
      <c r="R4" s="245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6"/>
      <c r="Q5" s="246"/>
      <c r="R5" s="246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478</v>
      </c>
      <c r="B8" s="161">
        <v>0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D9" s="161">
        <v>728</v>
      </c>
      <c r="E9" s="161">
        <v>0</v>
      </c>
      <c r="N9" s="161">
        <f t="shared" si="0"/>
        <v>728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2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365</v>
      </c>
      <c r="B10" s="161">
        <v>0</v>
      </c>
      <c r="C10" s="161">
        <v>0</v>
      </c>
      <c r="D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D11" s="161">
        <v>1070.45</v>
      </c>
      <c r="E11" s="161">
        <v>530.44000000000005</v>
      </c>
      <c r="N11" s="161">
        <f t="shared" si="0"/>
        <v>4197.09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D13" s="161">
        <v>48402.02</v>
      </c>
      <c r="E13" s="161">
        <v>9893</v>
      </c>
      <c r="N13" s="161">
        <f t="shared" si="0"/>
        <v>307816.59999999998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624</v>
      </c>
      <c r="B14" s="161">
        <v>0</v>
      </c>
      <c r="C14" s="161">
        <v>0</v>
      </c>
      <c r="D14" s="161">
        <v>0</v>
      </c>
      <c r="E14" s="161">
        <v>-28831</v>
      </c>
      <c r="N14" s="161">
        <f t="shared" si="0"/>
        <v>-28831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220</v>
      </c>
      <c r="B15" s="191">
        <f>SUM(B8:B14)</f>
        <v>139825.37</v>
      </c>
      <c r="C15" s="191">
        <f>SUM(C8:C14)</f>
        <v>112292.41</v>
      </c>
      <c r="D15" s="191">
        <f>SUM(D8:D14)</f>
        <v>50200.469999999994</v>
      </c>
      <c r="E15" s="191">
        <f>SUM(E8:E14)</f>
        <v>-18407.559999999998</v>
      </c>
      <c r="F15" s="191">
        <f t="shared" ref="F15:M15" si="5">SUM(F8:F13)</f>
        <v>0</v>
      </c>
      <c r="G15" s="191">
        <f t="shared" si="5"/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91">
        <f t="shared" si="5"/>
        <v>0</v>
      </c>
      <c r="L15" s="191">
        <f t="shared" ref="L15" si="6">SUM(L8:L13)</f>
        <v>0</v>
      </c>
      <c r="M15" s="191">
        <f t="shared" si="5"/>
        <v>0</v>
      </c>
      <c r="N15" s="191">
        <f>SUM(N8:N14)</f>
        <v>283910.69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7">SUM(T8:T13)</f>
        <v>142771.37</v>
      </c>
      <c r="U15" s="191">
        <f t="shared" si="7"/>
        <v>131934.79999999999</v>
      </c>
      <c r="V15" s="191">
        <f t="shared" si="7"/>
        <v>124581.86</v>
      </c>
      <c r="W15" s="191">
        <f t="shared" si="7"/>
        <v>77635.17</v>
      </c>
      <c r="X15" s="191">
        <f t="shared" si="7"/>
        <v>28754.35</v>
      </c>
      <c r="Y15" s="191">
        <f t="shared" si="7"/>
        <v>14007.69</v>
      </c>
      <c r="Z15" s="191">
        <f t="shared" si="7"/>
        <v>7035</v>
      </c>
      <c r="AA15" s="191">
        <f t="shared" si="7"/>
        <v>12346.73</v>
      </c>
      <c r="AB15" s="191">
        <f t="shared" si="7"/>
        <v>8297</v>
      </c>
      <c r="AC15" s="191">
        <f t="shared" si="7"/>
        <v>15287.32</v>
      </c>
      <c r="AD15" s="191">
        <f t="shared" ref="AD15" si="8">SUM(AD8:AD13)</f>
        <v>129799.33</v>
      </c>
      <c r="AE15" s="191">
        <f t="shared" si="7"/>
        <v>100419.92</v>
      </c>
      <c r="AF15" s="191">
        <f t="shared" si="7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346</v>
      </c>
      <c r="B18" s="161">
        <v>550.32000000000005</v>
      </c>
      <c r="C18" s="161">
        <v>408.74</v>
      </c>
      <c r="D18" s="161">
        <v>0</v>
      </c>
      <c r="E18" s="161">
        <v>0</v>
      </c>
      <c r="N18" s="161">
        <f>SUM(B18:M18)</f>
        <v>959.06000000000006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279</v>
      </c>
      <c r="B19" s="191">
        <f t="shared" ref="B19:M19" si="9">SUM(B18:B18)</f>
        <v>550.32000000000005</v>
      </c>
      <c r="C19" s="191">
        <f t="shared" si="9"/>
        <v>408.74</v>
      </c>
      <c r="D19" s="191">
        <f t="shared" si="9"/>
        <v>0</v>
      </c>
      <c r="E19" s="191">
        <f t="shared" si="9"/>
        <v>0</v>
      </c>
      <c r="F19" s="191">
        <f>SUM(F18:F18)</f>
        <v>0</v>
      </c>
      <c r="G19" s="191">
        <f t="shared" ref="G19:L19" si="10">SUM(G18:G18)</f>
        <v>0</v>
      </c>
      <c r="H19" s="191">
        <f t="shared" si="10"/>
        <v>0</v>
      </c>
      <c r="I19" s="191">
        <f t="shared" si="10"/>
        <v>0</v>
      </c>
      <c r="J19" s="191">
        <f t="shared" si="10"/>
        <v>0</v>
      </c>
      <c r="K19" s="191">
        <f t="shared" si="10"/>
        <v>0</v>
      </c>
      <c r="L19" s="191">
        <f t="shared" si="10"/>
        <v>0</v>
      </c>
      <c r="M19" s="191">
        <f t="shared" si="9"/>
        <v>0</v>
      </c>
      <c r="N19" s="191">
        <f>SUM(N18:N18)</f>
        <v>959.06000000000006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1">SUM(T18:T18)</f>
        <v>489.92</v>
      </c>
      <c r="U19" s="191">
        <f t="shared" si="11"/>
        <v>578.66999999999996</v>
      </c>
      <c r="V19" s="191">
        <f t="shared" si="11"/>
        <v>0</v>
      </c>
      <c r="W19" s="191">
        <f t="shared" si="11"/>
        <v>0</v>
      </c>
      <c r="X19" s="191">
        <f>SUM(X18:X18)</f>
        <v>0</v>
      </c>
      <c r="Y19" s="191">
        <f t="shared" ref="Y19:AD19" si="12">SUM(Y18:Y18)</f>
        <v>579.63</v>
      </c>
      <c r="Z19" s="191">
        <f t="shared" si="12"/>
        <v>0</v>
      </c>
      <c r="AA19" s="191">
        <f t="shared" si="12"/>
        <v>0</v>
      </c>
      <c r="AB19" s="191">
        <f t="shared" si="12"/>
        <v>0</v>
      </c>
      <c r="AC19" s="191">
        <f t="shared" si="12"/>
        <v>0</v>
      </c>
      <c r="AD19" s="191">
        <f t="shared" si="12"/>
        <v>281.19</v>
      </c>
      <c r="AE19" s="191">
        <f t="shared" si="11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208</v>
      </c>
      <c r="B21" s="192">
        <f t="shared" ref="B21:M21" si="13">B15-B19</f>
        <v>139275.04999999999</v>
      </c>
      <c r="C21" s="192">
        <f t="shared" si="13"/>
        <v>111883.67</v>
      </c>
      <c r="D21" s="192">
        <f t="shared" si="13"/>
        <v>50200.469999999994</v>
      </c>
      <c r="E21" s="192">
        <f t="shared" si="13"/>
        <v>-18407.559999999998</v>
      </c>
      <c r="F21" s="192">
        <f>F15-F19</f>
        <v>0</v>
      </c>
      <c r="G21" s="192">
        <f t="shared" ref="G21:L21" si="14">G15-G19</f>
        <v>0</v>
      </c>
      <c r="H21" s="192">
        <f t="shared" si="14"/>
        <v>0</v>
      </c>
      <c r="I21" s="192">
        <f t="shared" si="14"/>
        <v>0</v>
      </c>
      <c r="J21" s="192">
        <f t="shared" si="14"/>
        <v>0</v>
      </c>
      <c r="K21" s="192">
        <f t="shared" si="14"/>
        <v>0</v>
      </c>
      <c r="L21" s="192">
        <f t="shared" si="14"/>
        <v>0</v>
      </c>
      <c r="M21" s="192">
        <f t="shared" si="13"/>
        <v>0</v>
      </c>
      <c r="N21" s="192">
        <f>N15-N19</f>
        <v>282951.63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5">T15-T19</f>
        <v>142281.44999999998</v>
      </c>
      <c r="U21" s="192">
        <f t="shared" si="15"/>
        <v>131356.12999999998</v>
      </c>
      <c r="V21" s="192">
        <f t="shared" si="15"/>
        <v>124581.86</v>
      </c>
      <c r="W21" s="192">
        <f t="shared" si="15"/>
        <v>77635.17</v>
      </c>
      <c r="X21" s="192">
        <f>X15-X19</f>
        <v>28754.35</v>
      </c>
      <c r="Y21" s="192">
        <f t="shared" ref="Y21:AD21" si="16">Y15-Y19</f>
        <v>13428.060000000001</v>
      </c>
      <c r="Z21" s="192">
        <f t="shared" si="16"/>
        <v>7035</v>
      </c>
      <c r="AA21" s="192">
        <f t="shared" si="16"/>
        <v>12346.73</v>
      </c>
      <c r="AB21" s="192">
        <f t="shared" si="16"/>
        <v>8297</v>
      </c>
      <c r="AC21" s="192">
        <f t="shared" si="16"/>
        <v>15287.32</v>
      </c>
      <c r="AD21" s="192">
        <f t="shared" si="16"/>
        <v>129518.14</v>
      </c>
      <c r="AE21" s="192">
        <f t="shared" si="15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206</v>
      </c>
      <c r="S23" s="190"/>
    </row>
    <row r="24" spans="1:32" s="161" customFormat="1" x14ac:dyDescent="0.25">
      <c r="A24" s="128" t="s">
        <v>222</v>
      </c>
      <c r="S24" s="190"/>
      <c r="AF24" s="161">
        <f>SUM(T24:W24)</f>
        <v>0</v>
      </c>
    </row>
    <row r="25" spans="1:32" s="161" customFormat="1" x14ac:dyDescent="0.25">
      <c r="A25" s="127" t="s">
        <v>280</v>
      </c>
      <c r="B25" s="161">
        <v>32259.4</v>
      </c>
      <c r="C25" s="161">
        <v>25756.080000000002</v>
      </c>
      <c r="D25" s="161">
        <v>20493.330000000002</v>
      </c>
      <c r="E25" s="161">
        <v>4200.08</v>
      </c>
      <c r="N25" s="161">
        <f t="shared" ref="N25:N33" si="17">SUM(B25:M25)</f>
        <v>82708.89</v>
      </c>
      <c r="P25" s="161">
        <f t="shared" ref="P25:P33" si="18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19">SUM(T25:AE25)</f>
        <v>241392.05999999997</v>
      </c>
    </row>
    <row r="26" spans="1:32" s="161" customFormat="1" x14ac:dyDescent="0.25">
      <c r="A26" s="127" t="s">
        <v>533</v>
      </c>
      <c r="B26" s="161">
        <v>0</v>
      </c>
      <c r="C26" s="161">
        <v>1500</v>
      </c>
      <c r="D26" s="161">
        <v>750</v>
      </c>
      <c r="E26" s="161">
        <v>0</v>
      </c>
      <c r="N26" s="161">
        <f t="shared" si="17"/>
        <v>2250</v>
      </c>
      <c r="P26" s="161">
        <f t="shared" si="18"/>
        <v>4404.375</v>
      </c>
      <c r="Q26" s="161">
        <f t="shared" ref="Q26:Q33" si="20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19"/>
        <v>5872.5</v>
      </c>
    </row>
    <row r="27" spans="1:32" s="161" customFormat="1" x14ac:dyDescent="0.25">
      <c r="A27" s="127" t="s">
        <v>281</v>
      </c>
      <c r="B27" s="161">
        <v>3798.44</v>
      </c>
      <c r="C27" s="161">
        <v>2383.7199999999998</v>
      </c>
      <c r="D27" s="161">
        <v>1804.65</v>
      </c>
      <c r="E27" s="161">
        <v>236.4</v>
      </c>
      <c r="N27" s="161">
        <f t="shared" si="17"/>
        <v>8223.2099999999991</v>
      </c>
      <c r="P27" s="161">
        <f t="shared" si="18"/>
        <v>15688.710000000003</v>
      </c>
      <c r="Q27" s="161">
        <f t="shared" si="20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19"/>
        <v>20918.280000000002</v>
      </c>
    </row>
    <row r="28" spans="1:32" s="161" customFormat="1" x14ac:dyDescent="0.25">
      <c r="A28" s="127" t="s">
        <v>282</v>
      </c>
      <c r="B28" s="161">
        <v>5213.25</v>
      </c>
      <c r="C28" s="161">
        <v>4802.6400000000003</v>
      </c>
      <c r="D28" s="161">
        <v>4306</v>
      </c>
      <c r="E28" s="161">
        <v>473.45</v>
      </c>
      <c r="N28" s="161">
        <f t="shared" si="17"/>
        <v>14795.34</v>
      </c>
      <c r="P28" s="161">
        <f t="shared" si="18"/>
        <v>44129.16</v>
      </c>
      <c r="Q28" s="161">
        <f t="shared" si="20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19"/>
        <v>58838.880000000005</v>
      </c>
    </row>
    <row r="29" spans="1:32" s="161" customFormat="1" x14ac:dyDescent="0.25">
      <c r="A29" s="127" t="s">
        <v>283</v>
      </c>
      <c r="B29" s="161">
        <v>341.94</v>
      </c>
      <c r="C29" s="161">
        <v>341.94</v>
      </c>
      <c r="D29" s="161">
        <v>341.94</v>
      </c>
      <c r="E29" s="161">
        <v>0</v>
      </c>
      <c r="N29" s="161">
        <f t="shared" si="17"/>
        <v>1025.82</v>
      </c>
      <c r="P29" s="161">
        <f t="shared" si="18"/>
        <v>2803.1850000000004</v>
      </c>
      <c r="Q29" s="161">
        <f t="shared" si="20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19"/>
        <v>3737.5800000000004</v>
      </c>
    </row>
    <row r="30" spans="1:32" s="161" customFormat="1" x14ac:dyDescent="0.25">
      <c r="A30" s="127" t="s">
        <v>348</v>
      </c>
      <c r="B30" s="161">
        <v>174.32</v>
      </c>
      <c r="C30" s="161">
        <v>174.32</v>
      </c>
      <c r="D30" s="161">
        <v>174.32</v>
      </c>
      <c r="E30" s="161">
        <v>0</v>
      </c>
      <c r="N30" s="161">
        <f t="shared" si="17"/>
        <v>522.96</v>
      </c>
      <c r="P30" s="161">
        <f t="shared" si="18"/>
        <v>958.89</v>
      </c>
      <c r="Q30" s="161">
        <f t="shared" si="20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19"/>
        <v>1278.52</v>
      </c>
    </row>
    <row r="31" spans="1:32" s="161" customFormat="1" x14ac:dyDescent="0.25">
      <c r="A31" s="127" t="s">
        <v>327</v>
      </c>
      <c r="B31" s="161">
        <v>500</v>
      </c>
      <c r="C31" s="161">
        <v>500</v>
      </c>
      <c r="D31" s="161">
        <v>500</v>
      </c>
      <c r="E31" s="161">
        <v>0</v>
      </c>
      <c r="N31" s="161">
        <f t="shared" si="17"/>
        <v>1500</v>
      </c>
      <c r="P31" s="161">
        <f t="shared" si="18"/>
        <v>4515.7050000000008</v>
      </c>
      <c r="Q31" s="161">
        <f t="shared" si="20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19"/>
        <v>6020.9400000000005</v>
      </c>
    </row>
    <row r="32" spans="1:32" s="161" customFormat="1" hidden="1" x14ac:dyDescent="0.25">
      <c r="A32" s="127" t="s">
        <v>284</v>
      </c>
      <c r="N32" s="161">
        <f t="shared" si="17"/>
        <v>0</v>
      </c>
      <c r="P32" s="161">
        <f t="shared" si="18"/>
        <v>1181.6624999999999</v>
      </c>
      <c r="Q32" s="161">
        <f t="shared" si="20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19"/>
        <v>1575.55</v>
      </c>
    </row>
    <row r="33" spans="1:32" s="161" customFormat="1" x14ac:dyDescent="0.25">
      <c r="A33" s="127" t="s">
        <v>347</v>
      </c>
      <c r="B33" s="161">
        <v>12482.4</v>
      </c>
      <c r="C33" s="161">
        <v>11000.5</v>
      </c>
      <c r="D33" s="161">
        <v>4236.5</v>
      </c>
      <c r="E33" s="161">
        <v>0</v>
      </c>
      <c r="N33" s="161">
        <f t="shared" si="17"/>
        <v>27719.4</v>
      </c>
      <c r="P33" s="161">
        <f t="shared" si="18"/>
        <v>54785.924999999996</v>
      </c>
      <c r="Q33" s="161">
        <f t="shared" si="20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19"/>
        <v>73047.899999999994</v>
      </c>
    </row>
    <row r="34" spans="1:32" s="161" customFormat="1" x14ac:dyDescent="0.25">
      <c r="A34" s="128" t="s">
        <v>230</v>
      </c>
      <c r="B34" s="191">
        <f>SUM(B25:B33)</f>
        <v>54769.750000000007</v>
      </c>
      <c r="C34" s="191">
        <f t="shared" ref="C34:E34" si="21">SUM(C25:C33)</f>
        <v>46459.200000000004</v>
      </c>
      <c r="D34" s="191">
        <f t="shared" si="21"/>
        <v>32606.74</v>
      </c>
      <c r="E34" s="191">
        <f t="shared" si="21"/>
        <v>4909.9299999999994</v>
      </c>
      <c r="F34" s="191">
        <f t="shared" ref="F34:M34" si="22">SUM(F25:F33)</f>
        <v>0</v>
      </c>
      <c r="G34" s="191">
        <f t="shared" si="22"/>
        <v>0</v>
      </c>
      <c r="H34" s="191">
        <f t="shared" si="22"/>
        <v>0</v>
      </c>
      <c r="I34" s="191">
        <f t="shared" si="22"/>
        <v>0</v>
      </c>
      <c r="J34" s="191">
        <f t="shared" si="22"/>
        <v>0</v>
      </c>
      <c r="K34" s="191">
        <f t="shared" ref="K34:L34" si="23">SUM(K25:K33)</f>
        <v>0</v>
      </c>
      <c r="L34" s="191">
        <f t="shared" si="23"/>
        <v>0</v>
      </c>
      <c r="M34" s="191">
        <f t="shared" si="22"/>
        <v>0</v>
      </c>
      <c r="N34" s="191">
        <f>SUM(N25:N33)</f>
        <v>138745.62000000002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4">SUM(U25:U33)</f>
        <v>44244.71</v>
      </c>
      <c r="V34" s="191">
        <f t="shared" si="24"/>
        <v>63308.95</v>
      </c>
      <c r="W34" s="191">
        <f t="shared" si="24"/>
        <v>33488.33</v>
      </c>
      <c r="X34" s="191">
        <f t="shared" si="24"/>
        <v>27479.37</v>
      </c>
      <c r="Y34" s="191">
        <f t="shared" si="24"/>
        <v>27095.67</v>
      </c>
      <c r="Z34" s="191">
        <f t="shared" si="24"/>
        <v>24193.09</v>
      </c>
      <c r="AA34" s="191">
        <f t="shared" si="24"/>
        <v>23287.040000000001</v>
      </c>
      <c r="AB34" s="191">
        <f t="shared" si="24"/>
        <v>24372.260000000002</v>
      </c>
      <c r="AC34" s="191">
        <f t="shared" si="24"/>
        <v>21971.439999999999</v>
      </c>
      <c r="AD34" s="191">
        <f t="shared" si="24"/>
        <v>40662.76</v>
      </c>
      <c r="AE34" s="191">
        <f t="shared" si="24"/>
        <v>52113.23</v>
      </c>
      <c r="AF34" s="191">
        <f>SUM(AF25:AF33)</f>
        <v>412682.20999999996</v>
      </c>
    </row>
    <row r="35" spans="1:32" s="161" customFormat="1" x14ac:dyDescent="0.25">
      <c r="A35" s="127" t="s">
        <v>58</v>
      </c>
      <c r="S35" s="190"/>
    </row>
    <row r="36" spans="1:32" s="161" customFormat="1" x14ac:dyDescent="0.25">
      <c r="A36" s="128" t="s">
        <v>285</v>
      </c>
      <c r="S36" s="190"/>
    </row>
    <row r="37" spans="1:32" s="161" customFormat="1" x14ac:dyDescent="0.25">
      <c r="A37" s="127" t="s">
        <v>231</v>
      </c>
      <c r="B37" s="161">
        <v>1000</v>
      </c>
      <c r="C37" s="161">
        <v>1000</v>
      </c>
      <c r="D37" s="161">
        <v>1000</v>
      </c>
      <c r="E37" s="161">
        <v>1000</v>
      </c>
      <c r="N37" s="161">
        <f t="shared" ref="N37:N57" si="25">SUM(B37:M37)</f>
        <v>4000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6">SUM(T37:AE37)</f>
        <v>12000</v>
      </c>
    </row>
    <row r="38" spans="1:32" s="161" customFormat="1" x14ac:dyDescent="0.25">
      <c r="A38" s="127" t="s">
        <v>233</v>
      </c>
      <c r="B38" s="161">
        <v>12511.96</v>
      </c>
      <c r="C38" s="161">
        <v>9409.68</v>
      </c>
      <c r="D38" s="161">
        <v>10013.26</v>
      </c>
      <c r="E38" s="161">
        <v>4006.81</v>
      </c>
      <c r="N38" s="161">
        <f t="shared" si="25"/>
        <v>35941.71</v>
      </c>
      <c r="P38" s="161">
        <f t="shared" ref="P38:P57" si="27">Q38/12*$P$6</f>
        <v>55827.277500000011</v>
      </c>
      <c r="Q38" s="161">
        <f t="shared" ref="Q38:Q57" si="28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6"/>
        <v>74436.37000000001</v>
      </c>
    </row>
    <row r="39" spans="1:32" s="161" customFormat="1" x14ac:dyDescent="0.25">
      <c r="A39" s="127" t="s">
        <v>232</v>
      </c>
      <c r="B39" s="161">
        <v>883.5</v>
      </c>
      <c r="C39" s="161">
        <v>864.5</v>
      </c>
      <c r="D39" s="161">
        <v>800</v>
      </c>
      <c r="E39" s="161">
        <v>739.5</v>
      </c>
      <c r="N39" s="161">
        <f t="shared" si="25"/>
        <v>3287.5</v>
      </c>
      <c r="P39" s="161">
        <f t="shared" si="27"/>
        <v>5338.125</v>
      </c>
      <c r="Q39" s="161">
        <f t="shared" si="28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6"/>
        <v>7117.5</v>
      </c>
    </row>
    <row r="40" spans="1:32" s="161" customFormat="1" x14ac:dyDescent="0.25">
      <c r="A40" s="127" t="s">
        <v>332</v>
      </c>
      <c r="B40" s="161">
        <v>0</v>
      </c>
      <c r="C40" s="161">
        <v>649.07000000000005</v>
      </c>
      <c r="D40" s="161">
        <v>0</v>
      </c>
      <c r="E40" s="161">
        <v>443.63</v>
      </c>
      <c r="N40" s="161">
        <f t="shared" si="25"/>
        <v>1092.7</v>
      </c>
      <c r="P40" s="161">
        <f t="shared" si="27"/>
        <v>1665.825</v>
      </c>
      <c r="Q40" s="161">
        <f t="shared" si="28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6"/>
        <v>2221.1</v>
      </c>
    </row>
    <row r="41" spans="1:32" s="161" customFormat="1" x14ac:dyDescent="0.25">
      <c r="A41" s="127" t="s">
        <v>287</v>
      </c>
      <c r="B41" s="161">
        <v>954.58</v>
      </c>
      <c r="C41" s="161">
        <v>869.6</v>
      </c>
      <c r="D41" s="161">
        <v>544</v>
      </c>
      <c r="E41" s="161">
        <v>544</v>
      </c>
      <c r="N41" s="161">
        <f t="shared" si="25"/>
        <v>2912.1800000000003</v>
      </c>
      <c r="P41" s="161">
        <f t="shared" si="27"/>
        <v>5994.6525000000001</v>
      </c>
      <c r="Q41" s="161">
        <f t="shared" si="28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6"/>
        <v>7992.87</v>
      </c>
    </row>
    <row r="42" spans="1:32" s="161" customFormat="1" hidden="1" x14ac:dyDescent="0.25">
      <c r="A42" s="127" t="s">
        <v>436</v>
      </c>
      <c r="N42" s="161">
        <f t="shared" si="25"/>
        <v>0</v>
      </c>
      <c r="P42" s="161">
        <f t="shared" si="27"/>
        <v>0</v>
      </c>
      <c r="Q42" s="161">
        <f t="shared" si="28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6"/>
        <v>0</v>
      </c>
    </row>
    <row r="43" spans="1:32" s="161" customFormat="1" x14ac:dyDescent="0.25">
      <c r="A43" s="127" t="s">
        <v>350</v>
      </c>
      <c r="B43" s="161">
        <v>597.65</v>
      </c>
      <c r="C43" s="161">
        <v>0</v>
      </c>
      <c r="D43" s="161">
        <v>750</v>
      </c>
      <c r="E43" s="161">
        <v>0</v>
      </c>
      <c r="N43" s="161">
        <f t="shared" si="25"/>
        <v>1347.65</v>
      </c>
      <c r="P43" s="161">
        <f t="shared" si="27"/>
        <v>8594.73</v>
      </c>
      <c r="Q43" s="161">
        <f t="shared" si="28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6"/>
        <v>11459.64</v>
      </c>
    </row>
    <row r="44" spans="1:32" s="161" customFormat="1" x14ac:dyDescent="0.25">
      <c r="A44" s="127" t="s">
        <v>351</v>
      </c>
      <c r="B44" s="161">
        <v>1728.62</v>
      </c>
      <c r="C44" s="161">
        <f>259.38+44</f>
        <v>303.38</v>
      </c>
      <c r="D44" s="161">
        <v>94.14</v>
      </c>
      <c r="E44" s="161">
        <v>0</v>
      </c>
      <c r="N44" s="161">
        <f t="shared" si="25"/>
        <v>2126.14</v>
      </c>
      <c r="P44" s="161">
        <f t="shared" si="27"/>
        <v>8654.0399999999991</v>
      </c>
      <c r="Q44" s="161">
        <f t="shared" si="28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6"/>
        <v>11538.72</v>
      </c>
    </row>
    <row r="45" spans="1:32" s="161" customFormat="1" x14ac:dyDescent="0.25">
      <c r="A45" s="127" t="s">
        <v>352</v>
      </c>
      <c r="B45" s="161">
        <f>111.72+4560.78</f>
        <v>4672.5</v>
      </c>
      <c r="C45" s="161">
        <v>1326.96</v>
      </c>
      <c r="D45" s="161">
        <f>116.21+2546.24</f>
        <v>2662.45</v>
      </c>
      <c r="E45" s="161">
        <f>116.21+320.03</f>
        <v>436.23999999999995</v>
      </c>
      <c r="N45" s="161">
        <f t="shared" si="25"/>
        <v>9098.15</v>
      </c>
      <c r="P45" s="161">
        <f t="shared" si="27"/>
        <v>14905.484999999997</v>
      </c>
      <c r="Q45" s="161">
        <f t="shared" si="28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6"/>
        <v>19873.979999999996</v>
      </c>
    </row>
    <row r="46" spans="1:32" s="161" customFormat="1" x14ac:dyDescent="0.25">
      <c r="A46" s="127" t="s">
        <v>236</v>
      </c>
      <c r="B46" s="161">
        <v>231.72</v>
      </c>
      <c r="C46" s="161">
        <v>0</v>
      </c>
      <c r="D46" s="161">
        <v>456</v>
      </c>
      <c r="E46" s="161">
        <v>231.71</v>
      </c>
      <c r="N46" s="161">
        <f t="shared" si="25"/>
        <v>919.43000000000006</v>
      </c>
      <c r="P46" s="161">
        <f t="shared" si="27"/>
        <v>554.75249999999994</v>
      </c>
      <c r="Q46" s="161">
        <f t="shared" si="28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6"/>
        <v>739.67</v>
      </c>
    </row>
    <row r="47" spans="1:32" s="161" customFormat="1" hidden="1" x14ac:dyDescent="0.25">
      <c r="A47" s="127" t="s">
        <v>237</v>
      </c>
      <c r="N47" s="161">
        <f t="shared" si="25"/>
        <v>0</v>
      </c>
      <c r="P47" s="161">
        <f t="shared" si="27"/>
        <v>0</v>
      </c>
      <c r="Q47" s="161">
        <f t="shared" si="28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6"/>
        <v>0</v>
      </c>
    </row>
    <row r="48" spans="1:32" s="161" customFormat="1" x14ac:dyDescent="0.25">
      <c r="A48" s="127" t="s">
        <v>235</v>
      </c>
      <c r="B48" s="161">
        <v>2648.59</v>
      </c>
      <c r="C48" s="161">
        <v>2648.58</v>
      </c>
      <c r="D48" s="161">
        <v>2648.58</v>
      </c>
      <c r="E48" s="161">
        <v>2648.58</v>
      </c>
      <c r="N48" s="161">
        <f t="shared" si="25"/>
        <v>10594.33</v>
      </c>
      <c r="P48" s="161">
        <f t="shared" si="27"/>
        <v>21944.497499999998</v>
      </c>
      <c r="Q48" s="161">
        <f t="shared" si="28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6"/>
        <v>29259.329999999998</v>
      </c>
    </row>
    <row r="49" spans="1:32" s="161" customFormat="1" x14ac:dyDescent="0.25">
      <c r="A49" s="127" t="s">
        <v>349</v>
      </c>
      <c r="B49" s="161">
        <v>110</v>
      </c>
      <c r="C49" s="161">
        <v>0</v>
      </c>
      <c r="D49" s="161">
        <v>0</v>
      </c>
      <c r="E49" s="161">
        <v>0</v>
      </c>
      <c r="N49" s="161">
        <f t="shared" si="25"/>
        <v>110</v>
      </c>
      <c r="P49" s="161">
        <f t="shared" si="27"/>
        <v>1248.75</v>
      </c>
      <c r="Q49" s="161">
        <f t="shared" si="28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6"/>
        <v>1665</v>
      </c>
    </row>
    <row r="50" spans="1:32" s="161" customFormat="1" x14ac:dyDescent="0.25">
      <c r="A50" s="127" t="s">
        <v>364</v>
      </c>
      <c r="B50" s="161">
        <v>0</v>
      </c>
      <c r="C50" s="161">
        <v>0</v>
      </c>
      <c r="D50" s="161">
        <v>450</v>
      </c>
      <c r="E50" s="161">
        <v>0</v>
      </c>
      <c r="N50" s="161">
        <f t="shared" si="25"/>
        <v>450</v>
      </c>
      <c r="P50" s="161">
        <f t="shared" si="27"/>
        <v>3326.5574999999999</v>
      </c>
      <c r="Q50" s="161">
        <f t="shared" si="28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6"/>
        <v>4435.41</v>
      </c>
    </row>
    <row r="51" spans="1:32" s="161" customFormat="1" hidden="1" x14ac:dyDescent="0.25">
      <c r="A51" s="127" t="s">
        <v>238</v>
      </c>
      <c r="N51" s="161">
        <f t="shared" si="25"/>
        <v>0</v>
      </c>
      <c r="P51" s="161">
        <f t="shared" si="27"/>
        <v>1063.1325000000002</v>
      </c>
      <c r="Q51" s="161">
        <f t="shared" si="28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6"/>
        <v>1417.5100000000002</v>
      </c>
    </row>
    <row r="52" spans="1:32" s="161" customFormat="1" hidden="1" x14ac:dyDescent="0.25">
      <c r="A52" s="127" t="s">
        <v>245</v>
      </c>
      <c r="N52" s="161">
        <f t="shared" si="25"/>
        <v>0</v>
      </c>
      <c r="P52" s="161">
        <f t="shared" si="27"/>
        <v>0</v>
      </c>
      <c r="Q52" s="161">
        <f t="shared" si="28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6"/>
        <v>0</v>
      </c>
    </row>
    <row r="53" spans="1:32" s="161" customFormat="1" hidden="1" x14ac:dyDescent="0.25">
      <c r="A53" s="127" t="s">
        <v>239</v>
      </c>
      <c r="N53" s="161">
        <f t="shared" si="25"/>
        <v>0</v>
      </c>
      <c r="P53" s="161">
        <f t="shared" si="27"/>
        <v>0</v>
      </c>
      <c r="Q53" s="161">
        <f t="shared" si="28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6"/>
        <v>0</v>
      </c>
    </row>
    <row r="54" spans="1:32" s="161" customFormat="1" x14ac:dyDescent="0.25">
      <c r="A54" s="127" t="s">
        <v>289</v>
      </c>
      <c r="B54" s="161">
        <v>8414.0300000000007</v>
      </c>
      <c r="C54" s="161">
        <v>8414.0300000000007</v>
      </c>
      <c r="D54" s="161">
        <v>8414.0300000000007</v>
      </c>
      <c r="E54" s="161">
        <v>8406.99</v>
      </c>
      <c r="N54" s="161">
        <f t="shared" si="25"/>
        <v>33649.08</v>
      </c>
      <c r="P54" s="161">
        <f t="shared" si="27"/>
        <v>83006.242500000008</v>
      </c>
      <c r="Q54" s="161">
        <f t="shared" si="28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6"/>
        <v>110674.99</v>
      </c>
    </row>
    <row r="55" spans="1:32" s="161" customFormat="1" hidden="1" x14ac:dyDescent="0.25">
      <c r="A55" s="127" t="s">
        <v>292</v>
      </c>
      <c r="N55" s="161">
        <f t="shared" si="25"/>
        <v>0</v>
      </c>
      <c r="P55" s="161">
        <f t="shared" si="27"/>
        <v>0</v>
      </c>
      <c r="Q55" s="161">
        <f t="shared" si="28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6"/>
        <v>0</v>
      </c>
    </row>
    <row r="56" spans="1:32" s="161" customFormat="1" hidden="1" x14ac:dyDescent="0.25">
      <c r="A56" s="127" t="s">
        <v>361</v>
      </c>
      <c r="N56" s="161">
        <f t="shared" si="25"/>
        <v>0</v>
      </c>
      <c r="P56" s="161">
        <f t="shared" si="27"/>
        <v>1779.5925</v>
      </c>
      <c r="Q56" s="161">
        <f t="shared" si="28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6"/>
        <v>2372.79</v>
      </c>
    </row>
    <row r="57" spans="1:32" s="161" customFormat="1" x14ac:dyDescent="0.25">
      <c r="A57" s="127" t="s">
        <v>362</v>
      </c>
      <c r="B57" s="161">
        <v>823.61</v>
      </c>
      <c r="C57" s="161">
        <v>1209.6099999999999</v>
      </c>
      <c r="D57" s="161">
        <v>373.61</v>
      </c>
      <c r="E57" s="161">
        <v>823.61</v>
      </c>
      <c r="N57" s="161">
        <f t="shared" si="25"/>
        <v>3230.44</v>
      </c>
      <c r="P57" s="161">
        <f t="shared" si="27"/>
        <v>4966.6499999999996</v>
      </c>
      <c r="Q57" s="161">
        <f t="shared" si="28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6"/>
        <v>6622.1999999999989</v>
      </c>
    </row>
    <row r="58" spans="1:32" s="161" customFormat="1" x14ac:dyDescent="0.25">
      <c r="A58" s="128" t="s">
        <v>329</v>
      </c>
      <c r="B58" s="191">
        <f t="shared" ref="B58:N58" si="29">SUM(B37:B57)</f>
        <v>34576.76</v>
      </c>
      <c r="C58" s="191">
        <f t="shared" si="29"/>
        <v>26695.409999999996</v>
      </c>
      <c r="D58" s="191">
        <f t="shared" si="29"/>
        <v>28206.07</v>
      </c>
      <c r="E58" s="191">
        <f t="shared" si="29"/>
        <v>19281.07</v>
      </c>
      <c r="F58" s="191">
        <f t="shared" si="29"/>
        <v>0</v>
      </c>
      <c r="G58" s="191">
        <f t="shared" si="29"/>
        <v>0</v>
      </c>
      <c r="H58" s="191">
        <f t="shared" si="29"/>
        <v>0</v>
      </c>
      <c r="I58" s="191">
        <f t="shared" si="29"/>
        <v>0</v>
      </c>
      <c r="J58" s="191">
        <f t="shared" si="29"/>
        <v>0</v>
      </c>
      <c r="K58" s="191">
        <f t="shared" si="29"/>
        <v>0</v>
      </c>
      <c r="L58" s="191">
        <f t="shared" si="29"/>
        <v>0</v>
      </c>
      <c r="M58" s="191">
        <f t="shared" si="29"/>
        <v>0</v>
      </c>
      <c r="N58" s="191">
        <f t="shared" si="29"/>
        <v>108759.31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0">SUM(T37:T57)</f>
        <v>42252.19</v>
      </c>
      <c r="U58" s="191">
        <f t="shared" si="30"/>
        <v>21778.43</v>
      </c>
      <c r="V58" s="191">
        <f t="shared" si="30"/>
        <v>40785.010000000009</v>
      </c>
      <c r="W58" s="191">
        <f t="shared" si="30"/>
        <v>28457.43</v>
      </c>
      <c r="X58" s="191">
        <f t="shared" si="30"/>
        <v>23283.91</v>
      </c>
      <c r="Y58" s="191">
        <f t="shared" si="30"/>
        <v>18206.140000000003</v>
      </c>
      <c r="Z58" s="191">
        <f t="shared" si="30"/>
        <v>17827.490000000002</v>
      </c>
      <c r="AA58" s="191">
        <f t="shared" si="30"/>
        <v>16741.75</v>
      </c>
      <c r="AB58" s="191">
        <f t="shared" si="30"/>
        <v>16938.330000000002</v>
      </c>
      <c r="AC58" s="191">
        <f t="shared" si="30"/>
        <v>23414.87</v>
      </c>
      <c r="AD58" s="191">
        <f t="shared" si="30"/>
        <v>23629.79</v>
      </c>
      <c r="AE58" s="191">
        <f t="shared" si="30"/>
        <v>30511.739999999998</v>
      </c>
      <c r="AF58" s="191">
        <f t="shared" si="30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290</v>
      </c>
      <c r="S60" s="190"/>
    </row>
    <row r="61" spans="1:32" s="161" customFormat="1" x14ac:dyDescent="0.25">
      <c r="A61" s="127" t="s">
        <v>248</v>
      </c>
      <c r="B61" s="161">
        <v>509.71</v>
      </c>
      <c r="C61" s="161">
        <v>715.71</v>
      </c>
      <c r="D61" s="161">
        <v>326.5</v>
      </c>
      <c r="E61" s="161">
        <v>0</v>
      </c>
      <c r="N61" s="161">
        <f t="shared" ref="N61:N71" si="31">SUM(B61:M61)</f>
        <v>1551.92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2">SUM(T61:AE61)</f>
        <v>3730.92</v>
      </c>
    </row>
    <row r="62" spans="1:32" s="161" customFormat="1" ht="14.25" hidden="1" customHeight="1" x14ac:dyDescent="0.25">
      <c r="A62" s="127" t="s">
        <v>249</v>
      </c>
      <c r="N62" s="161">
        <f t="shared" si="31"/>
        <v>0</v>
      </c>
      <c r="P62" s="161">
        <f t="shared" ref="P62:P71" si="33">Q62/12*$P$6</f>
        <v>2579.3024999999993</v>
      </c>
      <c r="Q62" s="161">
        <f t="shared" ref="Q62:Q71" si="34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2"/>
        <v>3439.0699999999993</v>
      </c>
    </row>
    <row r="63" spans="1:32" s="161" customFormat="1" ht="14.25" customHeight="1" x14ac:dyDescent="0.25">
      <c r="A63" s="127" t="s">
        <v>356</v>
      </c>
      <c r="B63" s="161">
        <v>995.74</v>
      </c>
      <c r="C63" s="161">
        <v>833.97</v>
      </c>
      <c r="D63" s="161">
        <f>395+761.75</f>
        <v>1156.75</v>
      </c>
      <c r="E63" s="161">
        <v>399.69</v>
      </c>
      <c r="N63" s="161">
        <f t="shared" si="31"/>
        <v>3386.15</v>
      </c>
      <c r="P63" s="161">
        <f t="shared" si="33"/>
        <v>3588.6675</v>
      </c>
      <c r="Q63" s="161">
        <f t="shared" si="34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2"/>
        <v>4784.8900000000003</v>
      </c>
    </row>
    <row r="64" spans="1:32" s="161" customFormat="1" hidden="1" x14ac:dyDescent="0.25">
      <c r="A64" s="127" t="s">
        <v>291</v>
      </c>
      <c r="N64" s="161">
        <f t="shared" si="31"/>
        <v>0</v>
      </c>
      <c r="P64" s="161">
        <f t="shared" si="33"/>
        <v>1950</v>
      </c>
      <c r="Q64" s="161">
        <f t="shared" si="34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2"/>
        <v>2600</v>
      </c>
    </row>
    <row r="65" spans="1:32" s="161" customFormat="1" x14ac:dyDescent="0.25">
      <c r="A65" s="127" t="s">
        <v>303</v>
      </c>
      <c r="B65" s="161">
        <v>1277.1500000000001</v>
      </c>
      <c r="C65" s="161">
        <v>581.12</v>
      </c>
      <c r="D65" s="161">
        <v>132.81</v>
      </c>
      <c r="E65" s="161">
        <v>132.81</v>
      </c>
      <c r="N65" s="161">
        <f t="shared" si="31"/>
        <v>2123.89</v>
      </c>
      <c r="P65" s="161">
        <f t="shared" si="33"/>
        <v>1294.8974999999998</v>
      </c>
      <c r="Q65" s="161">
        <f t="shared" si="34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2"/>
        <v>1726.5299999999995</v>
      </c>
    </row>
    <row r="66" spans="1:32" s="161" customFormat="1" x14ac:dyDescent="0.25">
      <c r="A66" s="127" t="s">
        <v>363</v>
      </c>
      <c r="B66" s="161">
        <v>0</v>
      </c>
      <c r="C66" s="161">
        <v>8438.91</v>
      </c>
      <c r="D66" s="161">
        <v>0</v>
      </c>
      <c r="E66" s="161">
        <v>0</v>
      </c>
      <c r="N66" s="161">
        <f t="shared" si="31"/>
        <v>8438.91</v>
      </c>
      <c r="P66" s="161">
        <f t="shared" si="33"/>
        <v>10520.550000000001</v>
      </c>
      <c r="Q66" s="161">
        <f t="shared" si="34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2"/>
        <v>14027.4</v>
      </c>
    </row>
    <row r="67" spans="1:32" s="161" customFormat="1" x14ac:dyDescent="0.25">
      <c r="A67" s="127" t="s">
        <v>250</v>
      </c>
      <c r="B67" s="161">
        <v>89.68</v>
      </c>
      <c r="C67" s="161">
        <v>0</v>
      </c>
      <c r="D67" s="161">
        <v>90.15</v>
      </c>
      <c r="E67" s="161">
        <v>0</v>
      </c>
      <c r="N67" s="161">
        <f t="shared" si="31"/>
        <v>179.83</v>
      </c>
      <c r="P67" s="161">
        <f t="shared" si="33"/>
        <v>801.15</v>
      </c>
      <c r="Q67" s="161">
        <f t="shared" si="34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2"/>
        <v>1068.2</v>
      </c>
    </row>
    <row r="68" spans="1:32" s="161" customFormat="1" x14ac:dyDescent="0.25">
      <c r="A68" s="127" t="s">
        <v>353</v>
      </c>
      <c r="B68" s="161">
        <v>250</v>
      </c>
      <c r="C68" s="161">
        <v>250</v>
      </c>
      <c r="D68" s="161">
        <v>250</v>
      </c>
      <c r="E68" s="161">
        <v>250</v>
      </c>
      <c r="N68" s="161">
        <f t="shared" si="31"/>
        <v>1000</v>
      </c>
      <c r="P68" s="161">
        <f t="shared" si="33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2"/>
        <v>5375</v>
      </c>
    </row>
    <row r="69" spans="1:32" s="161" customFormat="1" x14ac:dyDescent="0.25">
      <c r="A69" s="127" t="s">
        <v>354</v>
      </c>
      <c r="B69" s="161">
        <v>1500</v>
      </c>
      <c r="C69" s="161">
        <v>1500</v>
      </c>
      <c r="D69" s="161">
        <v>1500</v>
      </c>
      <c r="E69" s="161">
        <v>0</v>
      </c>
      <c r="N69" s="161">
        <f t="shared" si="31"/>
        <v>4500</v>
      </c>
      <c r="P69" s="161">
        <f t="shared" si="33"/>
        <v>13500</v>
      </c>
      <c r="Q69" s="161">
        <f t="shared" si="34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2"/>
        <v>18000</v>
      </c>
    </row>
    <row r="70" spans="1:32" s="161" customFormat="1" hidden="1" x14ac:dyDescent="0.25">
      <c r="A70" s="127" t="s">
        <v>355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1"/>
        <v>0</v>
      </c>
      <c r="P70" s="161">
        <f t="shared" si="33"/>
        <v>0</v>
      </c>
      <c r="Q70" s="161">
        <f t="shared" si="34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2"/>
        <v>0</v>
      </c>
    </row>
    <row r="71" spans="1:32" s="161" customFormat="1" hidden="1" x14ac:dyDescent="0.25">
      <c r="A71" s="127" t="s">
        <v>253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1"/>
        <v>0</v>
      </c>
      <c r="P71" s="161">
        <f t="shared" si="33"/>
        <v>481.5</v>
      </c>
      <c r="Q71" s="161">
        <f t="shared" si="34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2"/>
        <v>642</v>
      </c>
    </row>
    <row r="72" spans="1:32" s="161" customFormat="1" x14ac:dyDescent="0.25">
      <c r="A72" s="128" t="s">
        <v>293</v>
      </c>
      <c r="B72" s="191">
        <f>SUM(B61:B71)</f>
        <v>4622.2800000000007</v>
      </c>
      <c r="C72" s="191">
        <f t="shared" ref="C72:E72" si="35">SUM(C61:C71)</f>
        <v>12319.71</v>
      </c>
      <c r="D72" s="191">
        <f t="shared" si="35"/>
        <v>3456.21</v>
      </c>
      <c r="E72" s="191">
        <f t="shared" si="35"/>
        <v>782.5</v>
      </c>
      <c r="F72" s="191">
        <f t="shared" ref="F72:M72" si="36">SUM(F61:F71)</f>
        <v>0</v>
      </c>
      <c r="G72" s="191">
        <f t="shared" si="36"/>
        <v>0</v>
      </c>
      <c r="H72" s="191">
        <f t="shared" si="36"/>
        <v>0</v>
      </c>
      <c r="I72" s="191">
        <f t="shared" si="36"/>
        <v>0</v>
      </c>
      <c r="J72" s="191">
        <f t="shared" si="36"/>
        <v>0</v>
      </c>
      <c r="K72" s="191">
        <f t="shared" ref="K72:L72" si="37">SUM(K61:K71)</f>
        <v>0</v>
      </c>
      <c r="L72" s="191">
        <f t="shared" si="37"/>
        <v>0</v>
      </c>
      <c r="M72" s="191">
        <f t="shared" si="36"/>
        <v>0</v>
      </c>
      <c r="N72" s="191">
        <f>SUM(N61:N71)</f>
        <v>21180.699999999997</v>
      </c>
      <c r="P72" s="191">
        <f>SUM(P61:P71)</f>
        <v>39314.2575</v>
      </c>
      <c r="Q72" s="191">
        <f>SUM(Q61:Q71)</f>
        <v>52419.009999999995</v>
      </c>
      <c r="R72" s="191">
        <v>55394.009999999995</v>
      </c>
      <c r="S72" s="190">
        <f t="shared" si="3"/>
        <v>0</v>
      </c>
      <c r="T72" s="191">
        <f>SUM(P72:Q72)</f>
        <v>91733.267499999987</v>
      </c>
      <c r="U72" s="191">
        <f t="shared" ref="U72:AE72" si="38">SUM(U61:U71)</f>
        <v>11588.320000000002</v>
      </c>
      <c r="V72" s="191">
        <f t="shared" si="38"/>
        <v>3552.63</v>
      </c>
      <c r="W72" s="191">
        <f t="shared" si="38"/>
        <v>7049.9199999999992</v>
      </c>
      <c r="X72" s="191">
        <f t="shared" si="38"/>
        <v>3620.46</v>
      </c>
      <c r="Y72" s="191">
        <f t="shared" si="38"/>
        <v>3606.5</v>
      </c>
      <c r="Z72" s="191">
        <f t="shared" si="38"/>
        <v>2794.74</v>
      </c>
      <c r="AA72" s="191">
        <f t="shared" si="38"/>
        <v>2949.4700000000003</v>
      </c>
      <c r="AB72" s="191">
        <f t="shared" si="38"/>
        <v>2705.38</v>
      </c>
      <c r="AC72" s="191">
        <f t="shared" si="38"/>
        <v>2814.5</v>
      </c>
      <c r="AD72" s="191">
        <f t="shared" si="38"/>
        <v>2884.02</v>
      </c>
      <c r="AE72" s="191">
        <f t="shared" si="38"/>
        <v>7226.91</v>
      </c>
      <c r="AF72" s="191">
        <f>SUM(AF61:AF71)</f>
        <v>55394.009999999995</v>
      </c>
    </row>
    <row r="73" spans="1:32" s="161" customFormat="1" x14ac:dyDescent="0.25">
      <c r="A73" s="127" t="s">
        <v>242</v>
      </c>
      <c r="S73" s="190"/>
    </row>
    <row r="74" spans="1:32" s="161" customFormat="1" ht="15.75" thickBot="1" x14ac:dyDescent="0.3">
      <c r="A74" s="128" t="s">
        <v>207</v>
      </c>
      <c r="B74" s="192">
        <f t="shared" ref="B74:N74" si="39">B34+B58+B72</f>
        <v>93968.790000000008</v>
      </c>
      <c r="C74" s="192">
        <f t="shared" si="39"/>
        <v>85474.32</v>
      </c>
      <c r="D74" s="192">
        <f t="shared" si="39"/>
        <v>64269.02</v>
      </c>
      <c r="E74" s="192">
        <f t="shared" si="39"/>
        <v>24973.5</v>
      </c>
      <c r="F74" s="192">
        <f t="shared" si="39"/>
        <v>0</v>
      </c>
      <c r="G74" s="192">
        <f t="shared" si="39"/>
        <v>0</v>
      </c>
      <c r="H74" s="192">
        <f t="shared" si="39"/>
        <v>0</v>
      </c>
      <c r="I74" s="192">
        <f t="shared" si="39"/>
        <v>0</v>
      </c>
      <c r="J74" s="192">
        <f t="shared" si="39"/>
        <v>0</v>
      </c>
      <c r="K74" s="192">
        <f t="shared" si="39"/>
        <v>0</v>
      </c>
      <c r="L74" s="192">
        <f t="shared" si="39"/>
        <v>0</v>
      </c>
      <c r="M74" s="192">
        <f t="shared" si="39"/>
        <v>0</v>
      </c>
      <c r="N74" s="192">
        <f t="shared" si="39"/>
        <v>268685.63</v>
      </c>
      <c r="P74" s="192">
        <f>P72+P58+P34</f>
        <v>576696.22499999998</v>
      </c>
      <c r="Q74" s="192">
        <f>Q72+Q58+Q34</f>
        <v>768928.3</v>
      </c>
      <c r="R74" s="192">
        <v>771903.3</v>
      </c>
      <c r="S74" s="190">
        <f t="shared" ref="S74:S85" si="40">R74-AF74</f>
        <v>0</v>
      </c>
      <c r="T74" s="192">
        <f t="shared" ref="T74:AF74" si="41">T34+T58+T72</f>
        <v>164450.8175</v>
      </c>
      <c r="U74" s="192">
        <f t="shared" si="41"/>
        <v>77611.460000000006</v>
      </c>
      <c r="V74" s="192">
        <f t="shared" si="41"/>
        <v>107646.59000000001</v>
      </c>
      <c r="W74" s="192">
        <f t="shared" si="41"/>
        <v>68995.680000000008</v>
      </c>
      <c r="X74" s="192">
        <f t="shared" si="41"/>
        <v>54383.74</v>
      </c>
      <c r="Y74" s="192">
        <f t="shared" si="41"/>
        <v>48908.31</v>
      </c>
      <c r="Z74" s="192">
        <f t="shared" si="41"/>
        <v>44815.32</v>
      </c>
      <c r="AA74" s="192">
        <f t="shared" si="41"/>
        <v>42978.26</v>
      </c>
      <c r="AB74" s="192">
        <f t="shared" si="41"/>
        <v>44015.97</v>
      </c>
      <c r="AC74" s="192">
        <f t="shared" si="41"/>
        <v>48200.81</v>
      </c>
      <c r="AD74" s="192">
        <f t="shared" si="41"/>
        <v>67176.570000000007</v>
      </c>
      <c r="AE74" s="192">
        <f t="shared" si="41"/>
        <v>89851.88</v>
      </c>
      <c r="AF74" s="192">
        <f t="shared" si="41"/>
        <v>771903.3</v>
      </c>
    </row>
    <row r="75" spans="1:32" x14ac:dyDescent="0.25">
      <c r="P75" s="161"/>
      <c r="Q75" s="161"/>
      <c r="R75" s="161"/>
      <c r="S75" s="190">
        <f t="shared" si="40"/>
        <v>0</v>
      </c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1" customFormat="1" x14ac:dyDescent="0.25">
      <c r="A76" s="128" t="s">
        <v>294</v>
      </c>
      <c r="S76" s="190"/>
    </row>
    <row r="77" spans="1:32" s="161" customFormat="1" x14ac:dyDescent="0.25">
      <c r="A77" s="127" t="s">
        <v>358</v>
      </c>
      <c r="B77" s="161">
        <v>5000</v>
      </c>
      <c r="C77" s="161">
        <v>5000</v>
      </c>
      <c r="D77" s="161">
        <v>5000</v>
      </c>
      <c r="E77" s="161">
        <v>5000</v>
      </c>
      <c r="N77" s="161">
        <f t="shared" ref="N77:N82" si="42">SUM(B77:M77)</f>
        <v>20000</v>
      </c>
      <c r="P77" s="161">
        <f>Q77/12*$P$6</f>
        <v>45000</v>
      </c>
      <c r="Q77" s="161">
        <f>R77</f>
        <v>60000</v>
      </c>
      <c r="R77" s="161">
        <v>60000</v>
      </c>
      <c r="S77" s="190">
        <f t="shared" si="40"/>
        <v>0</v>
      </c>
      <c r="T77" s="161">
        <v>5000</v>
      </c>
      <c r="U77" s="161">
        <v>5000</v>
      </c>
      <c r="V77" s="161">
        <v>5000</v>
      </c>
      <c r="W77" s="161">
        <v>5000</v>
      </c>
      <c r="X77" s="161">
        <v>5000</v>
      </c>
      <c r="Y77" s="161">
        <v>5000</v>
      </c>
      <c r="Z77" s="161">
        <v>5000</v>
      </c>
      <c r="AA77" s="161">
        <v>5000</v>
      </c>
      <c r="AB77" s="161">
        <v>5000</v>
      </c>
      <c r="AC77" s="161">
        <v>5000</v>
      </c>
      <c r="AD77" s="161">
        <v>5000</v>
      </c>
      <c r="AE77" s="161">
        <v>5000</v>
      </c>
      <c r="AF77" s="161">
        <f>SUM(T77:AE77)</f>
        <v>60000</v>
      </c>
    </row>
    <row r="78" spans="1:32" s="161" customFormat="1" x14ac:dyDescent="0.25">
      <c r="A78" s="127" t="s">
        <v>357</v>
      </c>
      <c r="B78" s="161">
        <v>0</v>
      </c>
      <c r="C78" s="161">
        <v>1000</v>
      </c>
      <c r="D78" s="161">
        <v>0</v>
      </c>
      <c r="E78" s="161">
        <v>0</v>
      </c>
      <c r="N78" s="161">
        <f t="shared" si="42"/>
        <v>1000</v>
      </c>
      <c r="P78" s="161">
        <f t="shared" ref="P78:P82" si="43">Q78/12*$P$6</f>
        <v>3750</v>
      </c>
      <c r="Q78" s="161">
        <f t="shared" ref="Q78:Q82" si="44">R78</f>
        <v>5000</v>
      </c>
      <c r="R78" s="161">
        <v>5000</v>
      </c>
      <c r="S78" s="190">
        <f t="shared" si="40"/>
        <v>0</v>
      </c>
      <c r="T78" s="161">
        <v>1000</v>
      </c>
      <c r="U78" s="161">
        <v>1000</v>
      </c>
      <c r="V78" s="161">
        <v>1000</v>
      </c>
      <c r="W78" s="161">
        <v>1000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1000</v>
      </c>
      <c r="AF78" s="161">
        <f>SUM(T78:AE78)</f>
        <v>5000</v>
      </c>
    </row>
    <row r="79" spans="1:32" s="161" customFormat="1" x14ac:dyDescent="0.25">
      <c r="A79" s="127" t="s">
        <v>267</v>
      </c>
      <c r="B79" s="161">
        <v>645.83000000000004</v>
      </c>
      <c r="C79" s="161">
        <v>604.16999999999996</v>
      </c>
      <c r="D79" s="161">
        <v>645.83000000000004</v>
      </c>
      <c r="E79" s="161">
        <v>625</v>
      </c>
      <c r="N79" s="161">
        <f t="shared" si="42"/>
        <v>2520.83</v>
      </c>
      <c r="S79" s="190"/>
    </row>
    <row r="80" spans="1:32" s="161" customFormat="1" hidden="1" x14ac:dyDescent="0.25">
      <c r="A80" s="127" t="s">
        <v>479</v>
      </c>
      <c r="N80" s="161">
        <f t="shared" si="42"/>
        <v>0</v>
      </c>
      <c r="P80" s="161">
        <f t="shared" si="43"/>
        <v>1434.7349999999999</v>
      </c>
      <c r="Q80" s="161">
        <f t="shared" si="44"/>
        <v>1912.98</v>
      </c>
      <c r="R80" s="161">
        <v>1912.98</v>
      </c>
      <c r="S80" s="190">
        <f t="shared" si="40"/>
        <v>0</v>
      </c>
      <c r="T80" s="161">
        <v>1833.08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79.900000000000006</v>
      </c>
      <c r="AC80" s="161">
        <v>0</v>
      </c>
      <c r="AD80" s="161">
        <v>0</v>
      </c>
      <c r="AE80" s="161">
        <v>0</v>
      </c>
      <c r="AF80" s="161">
        <f>SUM(T80:AE80)</f>
        <v>1912.98</v>
      </c>
    </row>
    <row r="81" spans="1:32" s="161" customFormat="1" x14ac:dyDescent="0.25">
      <c r="A81" s="127" t="s">
        <v>359</v>
      </c>
      <c r="B81" s="161">
        <v>-3252.99</v>
      </c>
      <c r="C81" s="161">
        <v>-3234.1</v>
      </c>
      <c r="D81" s="161">
        <v>-3215.15</v>
      </c>
      <c r="E81" s="161">
        <v>-3196.15</v>
      </c>
      <c r="N81" s="161">
        <f t="shared" si="42"/>
        <v>-12898.39</v>
      </c>
      <c r="P81" s="161">
        <f t="shared" si="43"/>
        <v>-32336.234999999997</v>
      </c>
      <c r="Q81" s="161">
        <f t="shared" si="44"/>
        <v>-43114.979999999996</v>
      </c>
      <c r="R81" s="161">
        <v>-43114.979999999996</v>
      </c>
      <c r="S81" s="190">
        <f t="shared" si="40"/>
        <v>0</v>
      </c>
      <c r="T81" s="161">
        <v>-3691.03</v>
      </c>
      <c r="U81" s="161">
        <v>-3673.36</v>
      </c>
      <c r="V81" s="161">
        <v>-3655.63</v>
      </c>
      <c r="W81" s="161">
        <v>-3637.86</v>
      </c>
      <c r="X81" s="161">
        <v>-3620.04</v>
      </c>
      <c r="Y81" s="161">
        <v>-3602.17</v>
      </c>
      <c r="Z81" s="161">
        <v>-3584.24</v>
      </c>
      <c r="AA81" s="161">
        <v>-3566.27</v>
      </c>
      <c r="AB81" s="161">
        <v>-3548.25</v>
      </c>
      <c r="AC81" s="161">
        <v>-3530.18</v>
      </c>
      <c r="AD81" s="161">
        <v>-3512.06</v>
      </c>
      <c r="AE81" s="161">
        <v>-3493.89</v>
      </c>
      <c r="AF81" s="161">
        <f>SUM(T81:AE81)</f>
        <v>-43114.979999999996</v>
      </c>
    </row>
    <row r="82" spans="1:32" s="161" customFormat="1" x14ac:dyDescent="0.25">
      <c r="A82" s="127" t="s">
        <v>360</v>
      </c>
      <c r="B82" s="161">
        <v>-6058.71</v>
      </c>
      <c r="C82" s="161">
        <v>-6058.71</v>
      </c>
      <c r="D82" s="161">
        <v>-6058.71</v>
      </c>
      <c r="E82" s="161">
        <v>-6058.71</v>
      </c>
      <c r="N82" s="161">
        <f t="shared" si="42"/>
        <v>-24234.84</v>
      </c>
      <c r="P82" s="161">
        <f t="shared" si="43"/>
        <v>-54528.39</v>
      </c>
      <c r="Q82" s="161">
        <f t="shared" si="44"/>
        <v>-72704.52</v>
      </c>
      <c r="R82" s="161">
        <v>-72704.52</v>
      </c>
      <c r="S82" s="190">
        <f t="shared" si="40"/>
        <v>0</v>
      </c>
      <c r="T82" s="161">
        <v>-6058.71</v>
      </c>
      <c r="U82" s="161">
        <v>-6058.71</v>
      </c>
      <c r="V82" s="161">
        <v>-6058.71</v>
      </c>
      <c r="W82" s="161">
        <v>-6058.71</v>
      </c>
      <c r="X82" s="161">
        <v>-6058.71</v>
      </c>
      <c r="Y82" s="161">
        <v>-6058.71</v>
      </c>
      <c r="Z82" s="161">
        <v>-6058.71</v>
      </c>
      <c r="AA82" s="161">
        <v>-6058.71</v>
      </c>
      <c r="AB82" s="161">
        <v>-6058.71</v>
      </c>
      <c r="AC82" s="161">
        <v>-6058.71</v>
      </c>
      <c r="AD82" s="161">
        <v>-6058.71</v>
      </c>
      <c r="AE82" s="161">
        <v>-6058.71</v>
      </c>
      <c r="AF82" s="161">
        <f>SUM(T82:AE82)</f>
        <v>-72704.52</v>
      </c>
    </row>
    <row r="83" spans="1:32" x14ac:dyDescent="0.25">
      <c r="A83" s="128" t="s">
        <v>296</v>
      </c>
      <c r="B83" s="191">
        <f t="shared" ref="B83:M83" si="45">SUM(B77:B82)</f>
        <v>-3665.87</v>
      </c>
      <c r="C83" s="191">
        <f t="shared" si="45"/>
        <v>-2688.64</v>
      </c>
      <c r="D83" s="191">
        <f t="shared" si="45"/>
        <v>-3628.03</v>
      </c>
      <c r="E83" s="191">
        <f t="shared" si="45"/>
        <v>-3629.86</v>
      </c>
      <c r="F83" s="191">
        <f>SUM(F77:F82)</f>
        <v>0</v>
      </c>
      <c r="G83" s="191">
        <f t="shared" ref="G83:L83" si="46">SUM(G77:G82)</f>
        <v>0</v>
      </c>
      <c r="H83" s="191">
        <f t="shared" si="46"/>
        <v>0</v>
      </c>
      <c r="I83" s="191">
        <f t="shared" si="46"/>
        <v>0</v>
      </c>
      <c r="J83" s="191">
        <f t="shared" si="46"/>
        <v>0</v>
      </c>
      <c r="K83" s="191">
        <f t="shared" si="46"/>
        <v>0</v>
      </c>
      <c r="L83" s="191">
        <f t="shared" si="46"/>
        <v>0</v>
      </c>
      <c r="M83" s="191">
        <f t="shared" si="45"/>
        <v>0</v>
      </c>
      <c r="N83" s="191">
        <f>SUM(N77:N82)</f>
        <v>-13612.399999999998</v>
      </c>
      <c r="P83" s="191">
        <f>SUM(P77:P82)</f>
        <v>-36679.89</v>
      </c>
      <c r="Q83" s="191">
        <f>SUM(Q77:Q82)</f>
        <v>-48906.520000000004</v>
      </c>
      <c r="R83" s="191">
        <f>SUM(R77:R82)</f>
        <v>-48906.520000000004</v>
      </c>
      <c r="S83" s="190">
        <f t="shared" si="40"/>
        <v>0</v>
      </c>
      <c r="T83" s="191">
        <f t="shared" ref="T83:AE83" si="47">SUM(T77:T82)</f>
        <v>-1916.6600000000008</v>
      </c>
      <c r="U83" s="191">
        <f t="shared" si="47"/>
        <v>-3732.07</v>
      </c>
      <c r="V83" s="191">
        <f t="shared" si="47"/>
        <v>-3714.34</v>
      </c>
      <c r="W83" s="191">
        <f t="shared" si="47"/>
        <v>-3696.57</v>
      </c>
      <c r="X83" s="191">
        <f>SUM(X77:X82)</f>
        <v>-4678.75</v>
      </c>
      <c r="Y83" s="191">
        <f t="shared" ref="Y83:AD83" si="48">SUM(Y77:Y82)</f>
        <v>-4660.88</v>
      </c>
      <c r="Z83" s="191">
        <f t="shared" si="48"/>
        <v>-4642.95</v>
      </c>
      <c r="AA83" s="191">
        <f t="shared" si="48"/>
        <v>-4624.9799999999996</v>
      </c>
      <c r="AB83" s="191">
        <f t="shared" si="48"/>
        <v>-4527.0600000000004</v>
      </c>
      <c r="AC83" s="191">
        <f t="shared" si="48"/>
        <v>-4588.8899999999994</v>
      </c>
      <c r="AD83" s="191">
        <f t="shared" si="48"/>
        <v>-4570.7700000000004</v>
      </c>
      <c r="AE83" s="191">
        <f t="shared" si="47"/>
        <v>-3552.6</v>
      </c>
      <c r="AF83" s="191">
        <f>SUM(AF77:AF82)</f>
        <v>-48906.520000000004</v>
      </c>
    </row>
    <row r="84" spans="1:32" x14ac:dyDescent="0.25">
      <c r="P84" s="161"/>
      <c r="Q84" s="161"/>
      <c r="R84" s="161"/>
      <c r="S84" s="190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ht="15.75" thickBot="1" x14ac:dyDescent="0.3">
      <c r="A85" s="128" t="s">
        <v>297</v>
      </c>
      <c r="B85" s="194">
        <f t="shared" ref="B85:N85" si="49">B21-B74+B83</f>
        <v>41640.389999999978</v>
      </c>
      <c r="C85" s="194">
        <f t="shared" si="49"/>
        <v>23720.709999999992</v>
      </c>
      <c r="D85" s="194">
        <f t="shared" si="49"/>
        <v>-17696.580000000002</v>
      </c>
      <c r="E85" s="194">
        <f t="shared" si="49"/>
        <v>-47010.92</v>
      </c>
      <c r="F85" s="194">
        <f t="shared" si="49"/>
        <v>0</v>
      </c>
      <c r="G85" s="194">
        <f t="shared" si="49"/>
        <v>0</v>
      </c>
      <c r="H85" s="194">
        <f t="shared" si="49"/>
        <v>0</v>
      </c>
      <c r="I85" s="194">
        <f t="shared" si="49"/>
        <v>0</v>
      </c>
      <c r="J85" s="194">
        <f t="shared" si="49"/>
        <v>0</v>
      </c>
      <c r="K85" s="194">
        <f t="shared" si="49"/>
        <v>0</v>
      </c>
      <c r="L85" s="194">
        <f t="shared" si="49"/>
        <v>0</v>
      </c>
      <c r="M85" s="194">
        <f t="shared" si="49"/>
        <v>0</v>
      </c>
      <c r="N85" s="194">
        <f t="shared" si="49"/>
        <v>653.60000000000218</v>
      </c>
      <c r="O85" s="127"/>
      <c r="P85" s="194">
        <f>P21-P74+P83</f>
        <v>-20170.267499999944</v>
      </c>
      <c r="Q85" s="194">
        <f>Q21-Q74+Q83</f>
        <v>-26893.68999999993</v>
      </c>
      <c r="R85" s="194">
        <v>-29868.68999999993</v>
      </c>
      <c r="S85" s="190">
        <f t="shared" si="40"/>
        <v>0</v>
      </c>
      <c r="T85" s="194">
        <f t="shared" ref="T85:AF85" si="50">T21-T74+T83</f>
        <v>-24086.027500000022</v>
      </c>
      <c r="U85" s="194">
        <f t="shared" si="50"/>
        <v>50012.599999999969</v>
      </c>
      <c r="V85" s="194">
        <f t="shared" si="50"/>
        <v>13220.929999999989</v>
      </c>
      <c r="W85" s="194">
        <f t="shared" si="50"/>
        <v>4942.919999999991</v>
      </c>
      <c r="X85" s="194">
        <f t="shared" si="50"/>
        <v>-30308.14</v>
      </c>
      <c r="Y85" s="194">
        <f t="shared" si="50"/>
        <v>-40141.129999999997</v>
      </c>
      <c r="Z85" s="194">
        <f t="shared" si="50"/>
        <v>-42423.27</v>
      </c>
      <c r="AA85" s="194">
        <f t="shared" si="50"/>
        <v>-35256.51</v>
      </c>
      <c r="AB85" s="194">
        <f t="shared" si="50"/>
        <v>-40246.03</v>
      </c>
      <c r="AC85" s="194">
        <f t="shared" si="50"/>
        <v>-37502.379999999997</v>
      </c>
      <c r="AD85" s="194">
        <f t="shared" si="50"/>
        <v>57770.799999999988</v>
      </c>
      <c r="AE85" s="194">
        <f t="shared" si="50"/>
        <v>7015.4399999999932</v>
      </c>
      <c r="AF85" s="194">
        <f t="shared" si="50"/>
        <v>-29868.68999999993</v>
      </c>
    </row>
    <row r="86" spans="1:32" ht="15.75" thickTop="1" x14ac:dyDescent="0.25">
      <c r="P86" s="161"/>
      <c r="Q86" s="161"/>
      <c r="R86" s="127"/>
      <c r="S86" s="190"/>
    </row>
    <row r="87" spans="1:32" x14ac:dyDescent="0.25">
      <c r="C87" s="161">
        <v>23720.71</v>
      </c>
      <c r="D87" s="161">
        <v>-17696.580000000002</v>
      </c>
      <c r="N87" s="161">
        <v>47664.52</v>
      </c>
      <c r="P87" s="161"/>
      <c r="Q87" s="161"/>
      <c r="R87" s="127"/>
      <c r="S87" s="190"/>
    </row>
    <row r="88" spans="1:32" x14ac:dyDescent="0.25">
      <c r="B88" s="161">
        <f t="shared" ref="B88:M88" si="51">B85-B87</f>
        <v>41640.389999999978</v>
      </c>
      <c r="C88" s="161">
        <f t="shared" si="51"/>
        <v>0</v>
      </c>
      <c r="D88" s="161">
        <f>D85-D87</f>
        <v>0</v>
      </c>
      <c r="E88" s="161">
        <f t="shared" si="51"/>
        <v>-47010.92</v>
      </c>
      <c r="F88" s="161">
        <f t="shared" si="51"/>
        <v>0</v>
      </c>
      <c r="G88" s="161">
        <f>G85-G87</f>
        <v>0</v>
      </c>
      <c r="H88" s="161">
        <f t="shared" ref="H88:L88" si="52">H85-H87</f>
        <v>0</v>
      </c>
      <c r="I88" s="161">
        <f t="shared" si="52"/>
        <v>0</v>
      </c>
      <c r="J88" s="161">
        <f t="shared" si="52"/>
        <v>0</v>
      </c>
      <c r="K88" s="161">
        <f t="shared" si="52"/>
        <v>0</v>
      </c>
      <c r="L88" s="161">
        <f t="shared" si="52"/>
        <v>0</v>
      </c>
      <c r="M88" s="161">
        <f t="shared" si="51"/>
        <v>0</v>
      </c>
      <c r="N88" s="161">
        <f>N85-N87</f>
        <v>-47010.92</v>
      </c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88"/>
      <c r="Q295" s="188"/>
      <c r="R295" s="188"/>
    </row>
    <row r="296" spans="16:18" x14ac:dyDescent="0.25">
      <c r="P296" s="161"/>
      <c r="Q296" s="161"/>
      <c r="R296" s="161"/>
    </row>
    <row r="297" spans="16:18" x14ac:dyDescent="0.25">
      <c r="P297" s="161"/>
      <c r="Q297" s="161"/>
      <c r="R297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2" fitToHeight="0" orientation="portrait" r:id="rId1"/>
  <headerFooter>
    <oddFooter>&amp;CPage &amp;P of &amp;N</oddFooter>
  </headerFooter>
  <rowBreaks count="1" manualBreakCount="1">
    <brk id="35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2020-05-29T15:24:35Z</cp:lastPrinted>
  <dcterms:created xsi:type="dcterms:W3CDTF">2018-05-13T15:03:39Z</dcterms:created>
  <dcterms:modified xsi:type="dcterms:W3CDTF">2020-05-29T15:26:34Z</dcterms:modified>
</cp:coreProperties>
</file>