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6107D698-42D6-4587-814F-A371481481C9}" xr6:coauthVersionLast="40" xr6:coauthVersionMax="40" xr10:uidLastSave="{00000000-0000-0000-0000-000000000000}"/>
  <bookViews>
    <workbookView xWindow="28680" yWindow="-120" windowWidth="29040" windowHeight="164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4" i="12" l="1"/>
  <c r="D174" i="12"/>
  <c r="C174" i="12"/>
  <c r="B174" i="12"/>
  <c r="C108" i="12"/>
  <c r="G106" i="12"/>
  <c r="D94" i="12"/>
  <c r="D89" i="12"/>
  <c r="D90" i="12"/>
  <c r="D92" i="12"/>
  <c r="C90" i="12"/>
  <c r="C89" i="12"/>
  <c r="B92" i="12"/>
  <c r="B90" i="12"/>
  <c r="B89" i="12"/>
  <c r="C69" i="12"/>
  <c r="C68" i="12"/>
  <c r="B69" i="12"/>
  <c r="B68" i="12"/>
  <c r="C60" i="12"/>
  <c r="B60" i="12"/>
  <c r="C50" i="12"/>
  <c r="B46" i="12"/>
  <c r="C46" i="12"/>
  <c r="D46" i="12"/>
  <c r="B43" i="12"/>
  <c r="C43" i="12"/>
  <c r="D43" i="12"/>
  <c r="D41" i="12"/>
  <c r="C41" i="12"/>
  <c r="B41" i="12"/>
  <c r="B40" i="12"/>
  <c r="C40" i="12"/>
  <c r="D40" i="12"/>
  <c r="D37" i="12"/>
  <c r="C37" i="12"/>
  <c r="B37" i="12"/>
  <c r="B107" i="12"/>
  <c r="D69" i="12"/>
  <c r="D44" i="12" l="1"/>
  <c r="N77" i="5" l="1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39" i="5"/>
  <c r="N29" i="5"/>
  <c r="N30" i="5"/>
  <c r="N31" i="5"/>
  <c r="N32" i="5"/>
  <c r="N33" i="5"/>
  <c r="N34" i="5"/>
  <c r="N35" i="5"/>
  <c r="N28" i="5"/>
  <c r="N20" i="5"/>
  <c r="N21" i="5"/>
  <c r="N22" i="5"/>
  <c r="N19" i="5"/>
  <c r="N9" i="5"/>
  <c r="N10" i="5"/>
  <c r="N11" i="5"/>
  <c r="N12" i="5"/>
  <c r="N13" i="5"/>
  <c r="N14" i="5"/>
  <c r="N15" i="5"/>
  <c r="N16" i="5"/>
  <c r="N8" i="5"/>
  <c r="N75" i="6"/>
  <c r="N74" i="6"/>
  <c r="N73" i="6"/>
  <c r="N60" i="6"/>
  <c r="N61" i="6"/>
  <c r="N62" i="6"/>
  <c r="N63" i="6"/>
  <c r="N64" i="6"/>
  <c r="N65" i="6"/>
  <c r="N66" i="6"/>
  <c r="N67" i="6"/>
  <c r="N68" i="6"/>
  <c r="N69" i="6"/>
  <c r="N59" i="6"/>
  <c r="N55" i="6"/>
  <c r="N54" i="6"/>
  <c r="N53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18" i="7"/>
  <c r="N17" i="7"/>
  <c r="N13" i="7"/>
  <c r="N12" i="7"/>
  <c r="N11" i="7"/>
  <c r="N10" i="7"/>
  <c r="N9" i="7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24" i="10"/>
  <c r="N25" i="10"/>
  <c r="N26" i="10"/>
  <c r="N27" i="10"/>
  <c r="N28" i="10"/>
  <c r="N29" i="10"/>
  <c r="N30" i="10"/>
  <c r="N31" i="10"/>
  <c r="N32" i="10"/>
  <c r="N23" i="10"/>
  <c r="N17" i="10"/>
  <c r="N9" i="10"/>
  <c r="N10" i="10"/>
  <c r="N11" i="10"/>
  <c r="N12" i="10"/>
  <c r="N13" i="10"/>
  <c r="N8" i="10"/>
  <c r="N26" i="14"/>
  <c r="N25" i="14"/>
  <c r="N24" i="14"/>
  <c r="N23" i="14"/>
  <c r="N22" i="14"/>
  <c r="N21" i="14"/>
  <c r="N15" i="14"/>
  <c r="N11" i="14"/>
  <c r="N10" i="14"/>
  <c r="N26" i="17"/>
  <c r="N25" i="17"/>
  <c r="N24" i="17"/>
  <c r="N23" i="17"/>
  <c r="N22" i="17"/>
  <c r="N16" i="17"/>
  <c r="N15" i="17"/>
  <c r="N11" i="17"/>
  <c r="N10" i="17"/>
  <c r="N280" i="2"/>
  <c r="N274" i="2"/>
  <c r="N275" i="2"/>
  <c r="N276" i="2"/>
  <c r="N277" i="2"/>
  <c r="N278" i="2"/>
  <c r="N279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B98" i="12" s="1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6" i="2"/>
  <c r="N91" i="2"/>
  <c r="N92" i="2"/>
  <c r="N93" i="2"/>
  <c r="N94" i="2"/>
  <c r="N90" i="2"/>
  <c r="N86" i="2"/>
  <c r="N85" i="2"/>
  <c r="N73" i="2"/>
  <c r="N74" i="2"/>
  <c r="N75" i="2"/>
  <c r="N76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B94" i="12"/>
  <c r="N129" i="2" l="1"/>
  <c r="N27" i="17" l="1"/>
  <c r="C94" i="12" l="1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G114" i="18" s="1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I114" i="18" s="1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L72" i="18" s="1"/>
  <c r="AA72" i="18" s="1"/>
  <c r="F72" i="18"/>
  <c r="B72" i="18"/>
  <c r="W71" i="18"/>
  <c r="L71" i="18"/>
  <c r="F71" i="18"/>
  <c r="B71" i="18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L54" i="18" s="1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102" i="18" l="1"/>
  <c r="H49" i="18"/>
  <c r="G96" i="18"/>
  <c r="D114" i="18"/>
  <c r="AA105" i="18"/>
  <c r="L107" i="18"/>
  <c r="AE107" i="18" s="1"/>
  <c r="L29" i="18"/>
  <c r="AA29" i="18" s="1"/>
  <c r="L31" i="18"/>
  <c r="AA31" i="18" s="1"/>
  <c r="L55" i="18"/>
  <c r="AA55" i="18" s="1"/>
  <c r="D74" i="18"/>
  <c r="L61" i="18"/>
  <c r="AG61" i="18" s="1"/>
  <c r="AI61" i="18" s="1"/>
  <c r="L77" i="18"/>
  <c r="AA77" i="18" s="1"/>
  <c r="L62" i="18"/>
  <c r="AA62" i="18" s="1"/>
  <c r="L73" i="18"/>
  <c r="L81" i="18"/>
  <c r="AE81" i="18" s="1"/>
  <c r="B114" i="18"/>
  <c r="L104" i="18"/>
  <c r="AA104" i="18" s="1"/>
  <c r="L108" i="18"/>
  <c r="L17" i="18"/>
  <c r="AE17" i="18" s="1"/>
  <c r="L27" i="18"/>
  <c r="L28" i="18"/>
  <c r="F49" i="18"/>
  <c r="L56" i="18"/>
  <c r="AG56" i="18" s="1"/>
  <c r="AI56" i="18" s="1"/>
  <c r="L91" i="18"/>
  <c r="AG91" i="18" s="1"/>
  <c r="L64" i="18"/>
  <c r="AA64" i="18" s="1"/>
  <c r="B133" i="18"/>
  <c r="C133" i="18" s="1"/>
  <c r="L16" i="18"/>
  <c r="AE16" i="18" s="1"/>
  <c r="L22" i="18"/>
  <c r="K98" i="18"/>
  <c r="K116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B33" i="18"/>
  <c r="L30" i="18"/>
  <c r="AA30" i="18" s="1"/>
  <c r="F74" i="18"/>
  <c r="L53" i="18"/>
  <c r="L58" i="18"/>
  <c r="AE58" i="18" s="1"/>
  <c r="L60" i="18"/>
  <c r="AG60" i="18" s="1"/>
  <c r="AI60" i="18" s="1"/>
  <c r="L67" i="18"/>
  <c r="AE67" i="18" s="1"/>
  <c r="K74" i="18"/>
  <c r="L69" i="18"/>
  <c r="L84" i="18"/>
  <c r="AE84" i="18" s="1"/>
  <c r="L87" i="18"/>
  <c r="AA87" i="18" s="1"/>
  <c r="L106" i="18"/>
  <c r="AA21" i="18"/>
  <c r="AA28" i="18"/>
  <c r="AG28" i="18"/>
  <c r="AI28" i="18" s="1"/>
  <c r="AE28" i="18"/>
  <c r="AC21" i="18"/>
  <c r="AC22" i="18"/>
  <c r="AC27" i="18"/>
  <c r="L40" i="18"/>
  <c r="AC45" i="18"/>
  <c r="AC17" i="18"/>
  <c r="L20" i="18"/>
  <c r="AE21" i="18"/>
  <c r="B23" i="18"/>
  <c r="W23" i="18"/>
  <c r="X22" i="18" s="1"/>
  <c r="D33" i="18"/>
  <c r="L33" i="18" s="1"/>
  <c r="X26" i="18"/>
  <c r="AA27" i="18"/>
  <c r="AG27" i="18"/>
  <c r="AI27" i="18" s="1"/>
  <c r="AE27" i="18"/>
  <c r="AC29" i="18"/>
  <c r="L32" i="18"/>
  <c r="AC46" i="18"/>
  <c r="AG53" i="18"/>
  <c r="AI53" i="18" s="1"/>
  <c r="AA53" i="18"/>
  <c r="AE53" i="18"/>
  <c r="AA16" i="18"/>
  <c r="AE73" i="18"/>
  <c r="AA73" i="18"/>
  <c r="AC18" i="18"/>
  <c r="AA22" i="18"/>
  <c r="AG22" i="18"/>
  <c r="AI22" i="18" s="1"/>
  <c r="AE22" i="18"/>
  <c r="AE31" i="18"/>
  <c r="AC43" i="18"/>
  <c r="AG16" i="18"/>
  <c r="AI16" i="18" s="1"/>
  <c r="L18" i="18"/>
  <c r="AC19" i="18"/>
  <c r="X19" i="18"/>
  <c r="W20" i="18"/>
  <c r="U35" i="18"/>
  <c r="U116" i="18" s="1"/>
  <c r="U120" i="18" s="1"/>
  <c r="W33" i="18"/>
  <c r="X28" i="18" s="1"/>
  <c r="AE29" i="18"/>
  <c r="X31" i="18"/>
  <c r="AC41" i="18"/>
  <c r="AC44" i="18"/>
  <c r="AA54" i="18"/>
  <c r="AE54" i="18"/>
  <c r="AA58" i="18"/>
  <c r="AA69" i="18"/>
  <c r="AG69" i="18"/>
  <c r="AI69" i="18" s="1"/>
  <c r="AG71" i="18"/>
  <c r="AI71" i="18" s="1"/>
  <c r="AE71" i="18"/>
  <c r="D23" i="18"/>
  <c r="AC31" i="18"/>
  <c r="P49" i="18"/>
  <c r="AG54" i="18"/>
  <c r="AI54" i="18" s="1"/>
  <c r="AC55" i="18"/>
  <c r="X55" i="18"/>
  <c r="AC56" i="18"/>
  <c r="X56" i="18"/>
  <c r="L57" i="18"/>
  <c r="X61" i="18"/>
  <c r="AA65" i="18"/>
  <c r="AG65" i="18"/>
  <c r="AI65" i="18" s="1"/>
  <c r="AC68" i="18"/>
  <c r="X68" i="18"/>
  <c r="AC78" i="18"/>
  <c r="X86" i="18"/>
  <c r="AE92" i="18"/>
  <c r="AA92" i="18"/>
  <c r="AA102" i="18"/>
  <c r="AE102" i="18"/>
  <c r="AE70" i="18"/>
  <c r="AA70" i="18"/>
  <c r="H74" i="18"/>
  <c r="AA106" i="18"/>
  <c r="AE106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A71" i="18"/>
  <c r="AE91" i="18"/>
  <c r="AA91" i="18"/>
  <c r="AA95" i="18"/>
  <c r="AE95" i="18"/>
  <c r="AG55" i="18"/>
  <c r="AI55" i="18" s="1"/>
  <c r="X72" i="18"/>
  <c r="AE89" i="18"/>
  <c r="AA89" i="18"/>
  <c r="L26" i="18"/>
  <c r="X52" i="18"/>
  <c r="AC52" i="18"/>
  <c r="X53" i="18"/>
  <c r="AC53" i="18"/>
  <c r="AE55" i="18"/>
  <c r="AE56" i="18"/>
  <c r="W59" i="18"/>
  <c r="T74" i="18"/>
  <c r="W74" i="18" s="1"/>
  <c r="X63" i="18" s="1"/>
  <c r="AG62" i="18"/>
  <c r="AI62" i="18" s="1"/>
  <c r="AE62" i="18"/>
  <c r="AE64" i="18"/>
  <c r="AC65" i="18"/>
  <c r="X65" i="18"/>
  <c r="X66" i="18"/>
  <c r="AG67" i="18"/>
  <c r="AI67" i="18" s="1"/>
  <c r="AA68" i="18"/>
  <c r="AG68" i="18"/>
  <c r="AI68" i="18" s="1"/>
  <c r="AE69" i="18"/>
  <c r="AE72" i="18"/>
  <c r="AG77" i="18"/>
  <c r="AI77" i="18" s="1"/>
  <c r="AE77" i="18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4" i="18"/>
  <c r="AE108" i="18"/>
  <c r="AA108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AG78" i="18"/>
  <c r="AI78" i="18" s="1"/>
  <c r="D96" i="18"/>
  <c r="D98" i="18" s="1"/>
  <c r="AC84" i="18"/>
  <c r="G98" i="18"/>
  <c r="G116" i="18" s="1"/>
  <c r="B131" i="18"/>
  <c r="D131" i="18"/>
  <c r="E131" i="18" s="1"/>
  <c r="H96" i="18"/>
  <c r="AE78" i="18"/>
  <c r="AA80" i="18"/>
  <c r="AG80" i="18"/>
  <c r="AI80" i="18" s="1"/>
  <c r="AE80" i="18"/>
  <c r="AA81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G29" i="18" l="1"/>
  <c r="AI29" i="18" s="1"/>
  <c r="AA107" i="18"/>
  <c r="AG64" i="18"/>
  <c r="AI64" i="18" s="1"/>
  <c r="AE61" i="18"/>
  <c r="AA90" i="18"/>
  <c r="AA19" i="18"/>
  <c r="AA67" i="18"/>
  <c r="AG81" i="18"/>
  <c r="AI81" i="18" s="1"/>
  <c r="F98" i="18"/>
  <c r="F116" i="18" s="1"/>
  <c r="AA61" i="18"/>
  <c r="D35" i="18"/>
  <c r="D116" i="18" s="1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M70" i="18"/>
  <c r="L74" i="18"/>
  <c r="M52" i="18" s="1"/>
  <c r="G120" i="18"/>
  <c r="G141" i="18"/>
  <c r="G145" i="18" s="1"/>
  <c r="I120" i="18"/>
  <c r="I141" i="18"/>
  <c r="I145" i="18" s="1"/>
  <c r="AG33" i="18"/>
  <c r="AI33" i="18" s="1"/>
  <c r="AA33" i="18"/>
  <c r="M31" i="18"/>
  <c r="M30" i="18"/>
  <c r="M27" i="18"/>
  <c r="M29" i="18"/>
  <c r="M28" i="18"/>
  <c r="F120" i="18"/>
  <c r="L23" i="18"/>
  <c r="M20" i="18" s="1"/>
  <c r="B35" i="18"/>
  <c r="AG74" i="18"/>
  <c r="AI74" i="18" s="1"/>
  <c r="M64" i="18"/>
  <c r="L114" i="18"/>
  <c r="AE101" i="18"/>
  <c r="AA101" i="18"/>
  <c r="X84" i="18"/>
  <c r="AA83" i="18"/>
  <c r="AG83" i="18"/>
  <c r="AI83" i="18" s="1"/>
  <c r="AE83" i="18"/>
  <c r="C130" i="18"/>
  <c r="L130" i="18" s="1"/>
  <c r="M62" i="18"/>
  <c r="X62" i="18"/>
  <c r="AG52" i="18"/>
  <c r="AI52" i="18" s="1"/>
  <c r="AA52" i="18"/>
  <c r="AE52" i="18"/>
  <c r="F139" i="18"/>
  <c r="F141" i="18" s="1"/>
  <c r="F145" i="18" s="1"/>
  <c r="X77" i="18"/>
  <c r="M69" i="18"/>
  <c r="X20" i="18"/>
  <c r="AC20" i="18"/>
  <c r="M53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M72" i="18"/>
  <c r="M68" i="18"/>
  <c r="D139" i="18"/>
  <c r="E127" i="18"/>
  <c r="E139" i="18" s="1"/>
  <c r="M61" i="18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M63" i="18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M55" i="18"/>
  <c r="AE59" i="18"/>
  <c r="AA59" i="18"/>
  <c r="M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M57" i="18"/>
  <c r="X73" i="18"/>
  <c r="AC33" i="18"/>
  <c r="X32" i="18"/>
  <c r="X30" i="18"/>
  <c r="X18" i="18"/>
  <c r="X29" i="18"/>
  <c r="X33" i="18" s="1"/>
  <c r="X17" i="18"/>
  <c r="X27" i="18"/>
  <c r="X21" i="18"/>
  <c r="H120" i="18" l="1"/>
  <c r="L127" i="18"/>
  <c r="L139" i="18" s="1"/>
  <c r="AE33" i="18"/>
  <c r="M65" i="18"/>
  <c r="M71" i="18"/>
  <c r="M66" i="18"/>
  <c r="M56" i="18"/>
  <c r="M58" i="18"/>
  <c r="M67" i="18"/>
  <c r="M33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40" i="2" l="1"/>
  <c r="N38" i="2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N86" i="10" s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N212" i="2" s="1"/>
  <c r="H211" i="2"/>
  <c r="N211" i="2" s="1"/>
  <c r="H210" i="2"/>
  <c r="N210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B44" i="12" l="1"/>
  <c r="N214" i="2"/>
  <c r="H78" i="6"/>
  <c r="H73" i="5"/>
  <c r="H214" i="2"/>
  <c r="H72" i="2" s="1"/>
  <c r="N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B95" i="11" l="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P238" i="2" l="1"/>
  <c r="Q238" i="2" s="1"/>
  <c r="B120" i="12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19" i="12"/>
  <c r="I362" i="12"/>
  <c r="K362" i="12" s="1"/>
  <c r="G362" i="12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N83" i="5" s="1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G40" i="15" l="1"/>
  <c r="N96" i="2"/>
  <c r="P96" i="2" s="1"/>
  <c r="Q96" i="2" s="1"/>
  <c r="H176" i="12"/>
  <c r="H174" i="12"/>
  <c r="G114" i="11"/>
  <c r="H114" i="11"/>
  <c r="B173" i="12"/>
  <c r="C173" i="12"/>
  <c r="C65" i="16"/>
  <c r="C113" i="11"/>
  <c r="E122" i="12"/>
  <c r="E124" i="12" s="1"/>
  <c r="E173" i="12"/>
  <c r="J91" i="12"/>
  <c r="J83" i="12"/>
  <c r="E114" i="11"/>
  <c r="L41" i="15"/>
  <c r="S40" i="15"/>
  <c r="I308" i="12"/>
  <c r="J26" i="12"/>
  <c r="J28" i="12"/>
  <c r="B36" i="16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E176" i="12" l="1"/>
  <c r="E174" i="12"/>
  <c r="C40" i="15"/>
  <c r="C176" i="12"/>
  <c r="C114" i="11"/>
  <c r="B176" i="12"/>
  <c r="F173" i="12"/>
  <c r="I32" i="12"/>
  <c r="I337" i="12" s="1"/>
  <c r="K337" i="12" s="1"/>
  <c r="D173" i="12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F176" i="12" l="1"/>
  <c r="F174" i="12"/>
  <c r="D40" i="15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1" i="18" l="1"/>
  <c r="L41" i="18" s="1"/>
  <c r="B45" i="18"/>
  <c r="L45" i="18" s="1"/>
  <c r="AA45" i="18" s="1"/>
  <c r="B42" i="18"/>
  <c r="L42" i="18" s="1"/>
  <c r="AA42" i="18" s="1"/>
  <c r="B43" i="18"/>
  <c r="L43" i="18" s="1"/>
  <c r="AE43" i="18" s="1"/>
  <c r="B46" i="18"/>
  <c r="L46" i="18" s="1"/>
  <c r="AG46" i="18" s="1"/>
  <c r="AI46" i="18" s="1"/>
  <c r="B44" i="18"/>
  <c r="L44" i="18" s="1"/>
  <c r="AE44" i="18" s="1"/>
  <c r="B47" i="18"/>
  <c r="L47" i="18" s="1"/>
  <c r="AE47" i="18" s="1"/>
  <c r="AG45" i="18"/>
  <c r="AI45" i="18" s="1"/>
  <c r="AE45" i="18" l="1"/>
  <c r="AG44" i="18"/>
  <c r="AI44" i="18" s="1"/>
  <c r="AA44" i="18"/>
  <c r="AE46" i="18"/>
  <c r="AE42" i="18"/>
  <c r="AA46" i="18"/>
  <c r="AG43" i="18"/>
  <c r="AI43" i="18" s="1"/>
  <c r="AG47" i="18"/>
  <c r="AI47" i="18" s="1"/>
  <c r="AA43" i="18"/>
  <c r="AG42" i="18"/>
  <c r="AI42" i="18" s="1"/>
  <c r="AA47" i="18"/>
  <c r="B49" i="18"/>
  <c r="L49" i="18" s="1"/>
  <c r="M41" i="18" s="1"/>
  <c r="AA41" i="18"/>
  <c r="AE41" i="18"/>
  <c r="AG41" i="18"/>
  <c r="AI41" i="18" s="1"/>
  <c r="B98" i="18" l="1"/>
  <c r="L98" i="18" s="1"/>
  <c r="M40" i="18"/>
  <c r="M48" i="18"/>
  <c r="AE49" i="18"/>
  <c r="AG49" i="18"/>
  <c r="AI49" i="18" s="1"/>
  <c r="AA49" i="18"/>
  <c r="M45" i="18"/>
  <c r="M42" i="18"/>
  <c r="M43" i="18"/>
  <c r="M46" i="18"/>
  <c r="M44" i="18"/>
  <c r="M47" i="18"/>
  <c r="B116" i="18" l="1"/>
  <c r="B141" i="18" s="1"/>
  <c r="B145" i="18" s="1"/>
  <c r="M49" i="18"/>
  <c r="AG98" i="18"/>
  <c r="M98" i="18"/>
  <c r="AE98" i="18"/>
  <c r="AA98" i="18"/>
  <c r="B120" i="18" l="1"/>
  <c r="L116" i="18"/>
  <c r="AA116" i="18" s="1"/>
  <c r="L121" i="18"/>
  <c r="L120" i="18" l="1"/>
  <c r="L141" i="18"/>
  <c r="L145" i="18" s="1"/>
  <c r="AE11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<sst xmlns="http://schemas.openxmlformats.org/spreadsheetml/2006/main" count="1625" uniqueCount="564">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</sst>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1" fillId="4" borderId="0" xfId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4117107118.1100001</v>
      </c>
      <c r="C7" s="49">
        <f>'Comp Summary YTD 2018-2017 Dec'!C21</f>
        <v>63519486.560000002</v>
      </c>
      <c r="D7" s="49">
        <f>'Comp Summary YTD 2018-2017 Dec'!D21</f>
        <v>2454254.9000000004</v>
      </c>
      <c r="E7" s="49">
        <f>'Comp Summary YTD 2018-2017 Dec'!E21</f>
        <v>0</v>
      </c>
      <c r="F7" s="49">
        <f>'Comp Summary YTD 2018-2017 Dec'!F21</f>
        <v>547363.97000000009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4183628223.54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4112543928.4899983</v>
      </c>
      <c r="C9" s="61">
        <f>'Comp Summary YTD 2018-2017 Dec'!C25</f>
        <v>62695310.809999987</v>
      </c>
      <c r="D9" s="61">
        <f>'Comp Summary YTD 2018-2017 Dec'!D25</f>
        <v>278193.64</v>
      </c>
      <c r="E9" s="61">
        <f>'Comp Summary YTD 2018-2017 Dec'!E25</f>
        <v>0</v>
      </c>
      <c r="F9" s="61">
        <f>'Comp Summary YTD 2018-2017 Dec'!F25</f>
        <v>1648.2199999999998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4175519081.1599979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4563189.6200017929</v>
      </c>
      <c r="C11" s="50">
        <f t="shared" si="0"/>
        <v>824175.7500000149</v>
      </c>
      <c r="D11" s="50">
        <f t="shared" si="0"/>
        <v>2176061.2600000002</v>
      </c>
      <c r="E11" s="50">
        <f t="shared" si="0"/>
        <v>0</v>
      </c>
      <c r="F11" s="50">
        <f t="shared" si="0"/>
        <v>545715.75000000012</v>
      </c>
      <c r="G11" s="50">
        <f>G7-G9</f>
        <v>0</v>
      </c>
      <c r="H11" s="50">
        <f t="shared" si="0"/>
        <v>0</v>
      </c>
      <c r="I11" s="50">
        <f>SUM(B11:H11)</f>
        <v>8109142.3800018076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1850896.77</v>
      </c>
      <c r="C16" s="48">
        <f>'Summary YTD 12.31.18'!C32</f>
        <v>469372.33</v>
      </c>
      <c r="D16" s="48">
        <f>'Summary YTD 12.31.18'!D32</f>
        <v>555423.87</v>
      </c>
      <c r="E16" s="48">
        <f>'Summary YTD 12.31.18'!E32</f>
        <v>0</v>
      </c>
      <c r="F16" s="48">
        <f>'Summary YTD 12.31.18'!F32+'Comp YTD 2018-2017 Dec'!F38</f>
        <v>228303.50999999998</v>
      </c>
      <c r="G16" s="48">
        <f>'Summary YTD 12.31.18'!G32</f>
        <v>0</v>
      </c>
      <c r="H16" s="48">
        <f>'Summary YTD 12.31.18'!H32</f>
        <v>0</v>
      </c>
      <c r="I16" s="48">
        <f>SUM(B16:H16)</f>
        <v>3103996.48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154532.52999999997</v>
      </c>
      <c r="C17" s="48">
        <f>'Summary YTD 12.31.18'!C35</f>
        <v>40004.019999999997</v>
      </c>
      <c r="D17" s="48">
        <f>'Summary YTD 12.31.18'!D35</f>
        <v>48099.020000000004</v>
      </c>
      <c r="E17" s="48">
        <f>'Summary YTD 12.31.18'!E35</f>
        <v>0</v>
      </c>
      <c r="F17" s="48">
        <f>'Summary YTD 12.31.18'!F35</f>
        <v>15186.350000000002</v>
      </c>
      <c r="G17" s="48">
        <f>'Summary YTD 12.31.18'!G35</f>
        <v>0</v>
      </c>
      <c r="H17" s="48">
        <f>'Summary YTD 12.31.18'!H35</f>
        <v>0</v>
      </c>
      <c r="I17" s="48">
        <f>SUM(B17:H17)</f>
        <v>257821.91999999995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322888.76999999996</v>
      </c>
      <c r="C18" s="48">
        <f>'Summary YTD 12.31.18'!C34+'Summary YTD 12.31.18'!C36+'Summary YTD 12.31.18'!C37+'Summary YTD 12.31.18'!C38+'Summary YTD 12.31.18'!C39+'Summary YTD 12.31.18'!C40+'Summary YTD 12.31.18'!C41</f>
        <v>51678.630000000005</v>
      </c>
      <c r="D18" s="48">
        <f>'Summary YTD 12.31.18'!D34+'Summary YTD 12.31.18'!D36+'Summary YTD 12.31.18'!D37+'Summary YTD 12.31.18'!D38+'Summary YTD 12.31.18'!D39+'Summary YTD 12.31.18'!D40+'Summary YTD 12.31.18'!D41</f>
        <v>108708.12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54444.92</v>
      </c>
      <c r="G18" s="48">
        <v>0</v>
      </c>
      <c r="H18" s="48">
        <f>'BSC (Dome)'!O24</f>
        <v>0</v>
      </c>
      <c r="I18" s="48">
        <f>SUM(B18:H18)</f>
        <v>537720.43999999994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2328318.0699999998</v>
      </c>
      <c r="C19" s="49">
        <f t="shared" si="1"/>
        <v>561054.98</v>
      </c>
      <c r="D19" s="49">
        <f t="shared" si="1"/>
        <v>712231.01</v>
      </c>
      <c r="E19" s="49">
        <f t="shared" si="1"/>
        <v>0</v>
      </c>
      <c r="F19" s="49">
        <f t="shared" si="1"/>
        <v>297934.77999999997</v>
      </c>
      <c r="G19" s="49">
        <f t="shared" si="1"/>
        <v>0</v>
      </c>
      <c r="H19" s="49">
        <f t="shared" si="1"/>
        <v>0</v>
      </c>
      <c r="I19" s="49">
        <f>SUM(B19:H19)</f>
        <v>3899538.8399999994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387800</v>
      </c>
      <c r="C22" s="48">
        <f>'Summary YTD 12.31.18'!C45</f>
        <v>45000</v>
      </c>
      <c r="D22" s="48">
        <f>'Summary YTD 12.31.18'!D45</f>
        <v>337500</v>
      </c>
      <c r="E22" s="48">
        <f>'Summary YTD 12.31.18'!E45</f>
        <v>0</v>
      </c>
      <c r="F22" s="48">
        <f>'Summary YTD 12.31.18'!F45</f>
        <v>9000</v>
      </c>
      <c r="G22" s="48">
        <f>'Summary YTD 12.31.18'!G45</f>
        <v>0</v>
      </c>
      <c r="H22" s="48">
        <f>'Summary YTD 12.31.18'!H45</f>
        <v>0</v>
      </c>
      <c r="I22" s="48">
        <f>SUM(B22:H22)</f>
        <v>779300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10284.720000000001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62173.06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67441.89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139899.66999999998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121956.04999999999</v>
      </c>
      <c r="C24" s="48">
        <f>'Summary YTD 12.31.18'!C49+'Summary YTD 12.31.18'!C50+'Summary YTD 12.31.18'!C51+'Summary YTD 12.31.18'!C52</f>
        <v>2719.73</v>
      </c>
      <c r="D24" s="48">
        <f>'Summary YTD 12.31.18'!D49+'Summary YTD 12.31.18'!D50+'Summary YTD 12.31.18'!D51+'Summary YTD 12.31.18'!D52</f>
        <v>47608.94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19799.080000000002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192083.8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79598.200000000012</v>
      </c>
      <c r="C25" s="48">
        <f>'Summary YTD 12.31.18'!C53</f>
        <v>0</v>
      </c>
      <c r="D25" s="48">
        <f>'Summary YTD 12.31.18'!D53</f>
        <v>47875.950000000012</v>
      </c>
      <c r="E25" s="48">
        <f>'Summary YTD 12.31.18'!E53</f>
        <v>0</v>
      </c>
      <c r="F25" s="48">
        <f>'Summary YTD 12.31.18'!F53</f>
        <v>486.66999999999996</v>
      </c>
      <c r="G25" s="48">
        <f>'Summary YTD 12.31.18'!G53</f>
        <v>0</v>
      </c>
      <c r="H25" s="48">
        <f>'Summary YTD 12.31.18'!H53</f>
        <v>0</v>
      </c>
      <c r="I25" s="48">
        <f t="shared" si="2"/>
        <v>127960.82000000002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33500</v>
      </c>
      <c r="C26" s="48">
        <f>'Summary YTD 12.31.18'!C54</f>
        <v>0</v>
      </c>
      <c r="D26" s="48">
        <f>'Summary YTD 12.31.18'!D54</f>
        <v>11805.94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45305.94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41020.459999999992</v>
      </c>
      <c r="C27" s="48">
        <f>'Summary YTD 12.31.18'!C55</f>
        <v>4557.83</v>
      </c>
      <c r="D27" s="48">
        <f>'Summary YTD 12.31.18'!D55</f>
        <v>149035.41</v>
      </c>
      <c r="E27" s="48">
        <f>'Summary YTD 12.31.18'!E55</f>
        <v>0</v>
      </c>
      <c r="F27" s="48">
        <f>'Summary YTD 12.31.18'!F55</f>
        <v>21818</v>
      </c>
      <c r="G27" s="48">
        <f>'Summary YTD 12.31.18'!G55</f>
        <v>0</v>
      </c>
      <c r="H27" s="48">
        <f>'Summary YTD 12.31.18'!H55</f>
        <v>0</v>
      </c>
      <c r="I27" s="48">
        <f t="shared" si="2"/>
        <v>216431.7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1663</v>
      </c>
      <c r="C28" s="48">
        <f>'Summary YTD 12.31.18'!C56</f>
        <v>408.90000000000003</v>
      </c>
      <c r="D28" s="48">
        <f>'Summary YTD 12.31.18'!D56</f>
        <v>449</v>
      </c>
      <c r="E28" s="48">
        <f>'Summary YTD 12.31.18'!E56</f>
        <v>109</v>
      </c>
      <c r="F28" s="48">
        <f>'Summary YTD 12.31.18'!F56</f>
        <v>865</v>
      </c>
      <c r="G28" s="48">
        <f>'Summary YTD 12.31.18'!G56</f>
        <v>520</v>
      </c>
      <c r="H28" s="48">
        <f>'Summary YTD 12.31.18'!H56</f>
        <v>520</v>
      </c>
      <c r="I28" s="48">
        <f t="shared" si="2"/>
        <v>4534.8999999999996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16793.27</v>
      </c>
      <c r="C29" s="48">
        <f>'Summary YTD 12.31.18'!C58+'Summary YTD 12.31.18'!C57</f>
        <v>0</v>
      </c>
      <c r="D29" s="48">
        <f>'Summary YTD 12.31.18'!D58+'Summary YTD 12.31.18'!D57</f>
        <v>187.99</v>
      </c>
      <c r="E29" s="48">
        <f>'Summary YTD 12.31.18'!E58+'Summary YTD 12.31.18'!E57</f>
        <v>0</v>
      </c>
      <c r="F29" s="48">
        <f>'Summary YTD 12.31.18'!F58+'Summary YTD 12.31.18'!F57</f>
        <v>14796.87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31778.130000000005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7006.41</v>
      </c>
      <c r="C30" s="48">
        <f>'Summary YTD 12.31.18'!C59</f>
        <v>0</v>
      </c>
      <c r="D30" s="48">
        <f>'Summary YTD 12.31.18'!D59</f>
        <v>3305.3999999999996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10311.81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1130261.8500000001</v>
      </c>
      <c r="C31" s="48">
        <f>'Summary YTD 12.31.18'!C61</f>
        <v>3488.74</v>
      </c>
      <c r="D31" s="48">
        <f>'Summary YTD 12.31.18'!D61</f>
        <v>94198.39</v>
      </c>
      <c r="E31" s="48">
        <f>'Summary YTD 12.31.18'!E61</f>
        <v>0</v>
      </c>
      <c r="F31" s="48">
        <f>'Summary YTD 12.31.18'!F61</f>
        <v>84595.9</v>
      </c>
      <c r="G31" s="48">
        <f>'Summary YTD 12.31.18'!G61</f>
        <v>83261.430000000022</v>
      </c>
      <c r="H31" s="48">
        <f>'Summary YTD 12.31.18'!H61</f>
        <v>132232.72</v>
      </c>
      <c r="I31" s="48">
        <f t="shared" si="2"/>
        <v>1528039.0299999998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2999.97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2999.97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1268.68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1268.68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102322.82999999999</v>
      </c>
      <c r="C34" s="48">
        <f>'Summary YTD 12.31.18'!C64</f>
        <v>18056.97</v>
      </c>
      <c r="D34" s="48">
        <f>'Summary YTD 12.31.18'!D64</f>
        <v>64648.75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185028.55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52682.57</v>
      </c>
      <c r="C35" s="48">
        <f>'Summary YTD 12.31.18'!C63+'Summary YTD 12.31.18'!C65+'Summary YTD 12.31.18'!C66</f>
        <v>7718.6</v>
      </c>
      <c r="D35" s="48">
        <f>'Summary YTD 12.31.18'!D63+'Summary YTD 12.31.18'!D65+'Summary YTD 12.31.18'!D66</f>
        <v>29488.869999999995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7467.2699999999995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97357.31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1989158.01</v>
      </c>
      <c r="C36" s="49">
        <f t="shared" si="3"/>
        <v>81950.770000000019</v>
      </c>
      <c r="D36" s="49">
        <f t="shared" si="3"/>
        <v>848277.70000000007</v>
      </c>
      <c r="E36" s="49">
        <f t="shared" si="3"/>
        <v>109</v>
      </c>
      <c r="F36" s="49">
        <f t="shared" si="3"/>
        <v>226270.68</v>
      </c>
      <c r="G36" s="49">
        <f t="shared" si="3"/>
        <v>83781.430000000022</v>
      </c>
      <c r="H36" s="49">
        <f t="shared" si="3"/>
        <v>132752.72</v>
      </c>
      <c r="I36" s="49">
        <f>SUM(B36:H36)</f>
        <v>3362300.3100000005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8050.6</v>
      </c>
      <c r="C39" s="48">
        <f>'Summary YTD 12.31.18'!C70</f>
        <v>0</v>
      </c>
      <c r="D39" s="48">
        <f>'Summary YTD 12.31.18'!D70</f>
        <v>1409.28</v>
      </c>
      <c r="E39" s="48">
        <f>'Summary YTD 12.31.18'!E70</f>
        <v>0</v>
      </c>
      <c r="F39" s="48">
        <f>'Summary YTD 12.31.18'!F70</f>
        <v>2926.56</v>
      </c>
      <c r="G39" s="48">
        <f>'Summary YTD 12.31.18'!G70</f>
        <v>0</v>
      </c>
      <c r="H39" s="48">
        <f>'Summary YTD 12.31.18'!H70</f>
        <v>0</v>
      </c>
      <c r="I39" s="48">
        <f>SUM(B39:H39)</f>
        <v>12386.44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91089.459999999992</v>
      </c>
      <c r="C41" s="48">
        <f>'Summary YTD 12.31.18'!C73</f>
        <v>7737.42</v>
      </c>
      <c r="D41" s="48">
        <f>'Summary YTD 12.31.18'!D73</f>
        <v>6558.06</v>
      </c>
      <c r="E41" s="48">
        <f>'Summary YTD 12.31.18'!E73</f>
        <v>1833.2100000000003</v>
      </c>
      <c r="F41" s="48">
        <f>'Summary YTD 12.31.18'!F73</f>
        <v>2328.1199999999994</v>
      </c>
      <c r="G41" s="48">
        <f>'Summary YTD 12.31.18'!G73</f>
        <v>0</v>
      </c>
      <c r="H41" s="48">
        <f>'Summary YTD 12.31.18'!H73</f>
        <v>714.47000000000014</v>
      </c>
      <c r="I41" s="48">
        <f t="shared" ref="I41:I51" si="4">SUM(B41:H41)</f>
        <v>110260.73999999999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3495.7000000000003</v>
      </c>
      <c r="G42" s="48">
        <f>'Summary YTD 12.31.18'!G74</f>
        <v>0</v>
      </c>
      <c r="H42" s="48">
        <f>'Summary YTD 12.31.18'!H74</f>
        <v>0</v>
      </c>
      <c r="I42" s="48">
        <f t="shared" si="4"/>
        <v>3495.7000000000003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8320.81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1068.2</v>
      </c>
      <c r="G43" s="48">
        <f>'Summary YTD 12.31.18'!G75</f>
        <v>0</v>
      </c>
      <c r="H43" s="48">
        <f>'Summary YTD 12.31.18'!H75</f>
        <v>0</v>
      </c>
      <c r="I43" s="48">
        <f t="shared" si="4"/>
        <v>9389.01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398296.14</v>
      </c>
      <c r="C44" s="48">
        <f>'Summary YTD 12.31.18'!C76+'Summary YTD 12.31.18'!C77+'Summary YTD 12.31.18'!C78+'Summary YTD 12.31.18'!C79+'Summary YTD 12.31.18'!C80</f>
        <v>53103.71</v>
      </c>
      <c r="D44" s="48">
        <f>'Summary YTD 12.31.18'!D76+'Summary YTD 12.31.18'!D77+'Summary YTD 12.31.18'!D78+'Summary YTD 12.31.18'!D79+'Summary YTD 12.31.18'!D80</f>
        <v>77311.930000000008</v>
      </c>
      <c r="E44" s="48">
        <f>'Summary YTD 12.31.18'!E76+'Summary YTD 12.31.18'!E77+'Summary YTD 12.31.18'!E78+'Summary YTD 12.31.18'!E79+'Summary YTD 12.31.18'!E80</f>
        <v>12672.51</v>
      </c>
      <c r="F44" s="48">
        <f>'Summary YTD 12.31.18'!F76+'Summary YTD 12.31.18'!F77+'Summary YTD 12.31.18'!F78+'Summary YTD 12.31.18'!F79+'Summary YTD 12.31.18'!F80</f>
        <v>17750</v>
      </c>
      <c r="G44" s="48">
        <f>'Summary YTD 12.31.18'!G76+'Summary YTD 12.31.18'!G77+'Summary YTD 12.31.18'!G78+'Summary YTD 12.31.18'!G79+'Summary YTD 12.31.18'!G80</f>
        <v>2650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561784.29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16111.960000000006</v>
      </c>
      <c r="C45" s="48">
        <f>'Summary YTD 12.31.18'!C81</f>
        <v>0</v>
      </c>
      <c r="D45" s="48">
        <f>'Summary YTD 12.31.18'!D81</f>
        <v>28670.78</v>
      </c>
      <c r="E45" s="48">
        <f>'Summary YTD 12.31.18'!E81</f>
        <v>0</v>
      </c>
      <c r="F45" s="48">
        <f>'Summary YTD 12.31.18'!F81</f>
        <v>1328.0999999999997</v>
      </c>
      <c r="G45" s="48">
        <f>'Summary YTD 12.31.18'!G81</f>
        <v>0</v>
      </c>
      <c r="H45" s="48">
        <f>'Summary YTD 12.31.18'!H81</f>
        <v>0</v>
      </c>
      <c r="I45" s="48">
        <f t="shared" si="4"/>
        <v>46110.840000000004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27536.76</v>
      </c>
      <c r="C46" s="48">
        <f>'Summary YTD 12.31.18'!C82</f>
        <v>912.49</v>
      </c>
      <c r="D46" s="48">
        <f>'Summary YTD 12.31.18'!D82</f>
        <v>2477.5</v>
      </c>
      <c r="E46" s="48">
        <f>'Summary YTD 12.31.18'!E82</f>
        <v>0</v>
      </c>
      <c r="F46" s="48">
        <f>'Summary YTD 12.31.18'!F82</f>
        <v>642</v>
      </c>
      <c r="G46" s="48">
        <f>'Summary YTD 12.31.18'!G82</f>
        <v>0</v>
      </c>
      <c r="H46" s="48">
        <f>'Summary YTD 12.31.18'!H82</f>
        <v>0</v>
      </c>
      <c r="I46" s="48">
        <f t="shared" si="4"/>
        <v>31568.75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19020.120000000003</v>
      </c>
      <c r="C47" s="48">
        <f>'Summary YTD 12.31.18'!C83</f>
        <v>0</v>
      </c>
      <c r="D47" s="48">
        <f>'Summary YTD 12.31.18'!D83</f>
        <v>6496.38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25516.500000000004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543.67999999999995</v>
      </c>
      <c r="C48" s="48">
        <f>'Summary YTD 12.31.18'!C84</f>
        <v>0</v>
      </c>
      <c r="D48" s="48">
        <f>'Summary YTD 12.31.18'!D84</f>
        <v>300</v>
      </c>
      <c r="E48" s="48">
        <f>'Summary YTD 12.31.18'!E84</f>
        <v>0</v>
      </c>
      <c r="F48" s="48">
        <f>'Summary YTD 12.31.18'!F84</f>
        <v>2600</v>
      </c>
      <c r="G48" s="48">
        <f>'Summary YTD 12.31.18'!G84</f>
        <v>0</v>
      </c>
      <c r="H48" s="48">
        <f>'Summary YTD 12.31.18'!H84</f>
        <v>0</v>
      </c>
      <c r="I48" s="48">
        <f t="shared" si="4"/>
        <v>3443.68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397.63</v>
      </c>
      <c r="C49" s="48">
        <v>0</v>
      </c>
      <c r="D49" s="48">
        <v>0</v>
      </c>
      <c r="E49" s="48">
        <v>0</v>
      </c>
      <c r="F49" s="48">
        <f>'BSC (Dome)'!N65</f>
        <v>10329.9</v>
      </c>
      <c r="G49" s="48">
        <v>0</v>
      </c>
      <c r="H49" s="48">
        <f>'BSC (Dome)'!O65</f>
        <v>0</v>
      </c>
      <c r="I49" s="48">
        <f t="shared" si="4"/>
        <v>10727.529999999999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28204.16</v>
      </c>
      <c r="C50" s="48">
        <f>'Summary YTD 12.31.18'!C86+'Summary YTD 12.31.18'!C87</f>
        <v>7140.03</v>
      </c>
      <c r="D50" s="48">
        <f>'Summary YTD 12.31.18'!D86+'Summary YTD 12.31.18'!D87</f>
        <v>6690.94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42035.130000000005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22542.49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22542.49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620113.81000000006</v>
      </c>
      <c r="C52" s="49">
        <f t="shared" si="5"/>
        <v>68893.649999999994</v>
      </c>
      <c r="D52" s="49">
        <f t="shared" si="5"/>
        <v>129914.87000000001</v>
      </c>
      <c r="E52" s="49">
        <f t="shared" si="5"/>
        <v>14505.720000000001</v>
      </c>
      <c r="F52" s="49">
        <f t="shared" si="5"/>
        <v>42468.58</v>
      </c>
      <c r="G52" s="49">
        <f t="shared" si="5"/>
        <v>2650</v>
      </c>
      <c r="H52" s="49">
        <f t="shared" si="5"/>
        <v>714.47000000000014</v>
      </c>
      <c r="I52" s="49">
        <f>SUM(B52:H52)</f>
        <v>879261.1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4937589.8900000006</v>
      </c>
      <c r="C54" s="50">
        <f t="shared" si="6"/>
        <v>711899.4</v>
      </c>
      <c r="D54" s="50">
        <f t="shared" si="6"/>
        <v>1690423.58</v>
      </c>
      <c r="E54" s="50">
        <f t="shared" si="6"/>
        <v>14614.720000000001</v>
      </c>
      <c r="F54" s="50">
        <f t="shared" si="6"/>
        <v>566674.03999999992</v>
      </c>
      <c r="G54" s="50">
        <f>G19+G36+G52</f>
        <v>86431.430000000022</v>
      </c>
      <c r="H54" s="50">
        <f t="shared" si="6"/>
        <v>133467.19</v>
      </c>
      <c r="I54" s="50">
        <f>SUM(B54:H54)</f>
        <v>8141100.2500000009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112500</v>
      </c>
      <c r="C57" s="48">
        <v>0</v>
      </c>
      <c r="D57" s="48">
        <f>DEP!N76</f>
        <v>112500</v>
      </c>
      <c r="E57" s="48">
        <v>0</v>
      </c>
      <c r="F57" s="48">
        <f>'BSC (Dome)'!N76+'BSC (Dome)'!N77</f>
        <v>49000</v>
      </c>
      <c r="G57" s="48">
        <f>'Summary YTD 12.31.18'!G95</f>
        <v>204300</v>
      </c>
      <c r="H57" s="48">
        <f>'722 Bedford St'!N22+'722 Bedford St'!N23</f>
        <v>142500</v>
      </c>
      <c r="I57" s="48">
        <f t="shared" ref="I57:I62" si="7">SUM(B57:H57)</f>
        <v>620800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284989.14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1912.98</v>
      </c>
      <c r="G58" s="48">
        <f>'Summary YTD 12.31.18'!G102</f>
        <v>1.01</v>
      </c>
      <c r="H58" s="48">
        <v>0</v>
      </c>
      <c r="I58" s="48">
        <f t="shared" si="7"/>
        <v>286903.13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183407.18</v>
      </c>
      <c r="C59" s="48">
        <f>'Summary YTD 12.31.18'!C100</f>
        <v>9639.16</v>
      </c>
      <c r="D59" s="48">
        <f>'Summary YTD 12.31.18'!D100</f>
        <v>24546.61</v>
      </c>
      <c r="E59" s="48">
        <f>'Summary YTD 12.31.18'!E100</f>
        <v>39725.869999999995</v>
      </c>
      <c r="F59" s="48">
        <f>'Summary YTD 12.31.18'!F100</f>
        <v>0</v>
      </c>
      <c r="G59" s="48">
        <f>'Summary YTD 12.31.18'!G100</f>
        <v>32578.850000000002</v>
      </c>
      <c r="H59" s="48">
        <v>0</v>
      </c>
      <c r="I59" s="48">
        <f t="shared" si="7"/>
        <v>289897.67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-137770.54999999999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-4702.0200000000004</v>
      </c>
      <c r="F60" s="48">
        <f>'Summary YTD 12.31.18'!F101</f>
        <v>-87107.24</v>
      </c>
      <c r="G60" s="48">
        <f>'Summary YTD 12.31.18'!G101</f>
        <v>-7748.3700000000008</v>
      </c>
      <c r="H60" s="48">
        <f>'Summary YTD 12.31.18'!H101</f>
        <v>0</v>
      </c>
      <c r="I60" s="48">
        <f t="shared" si="7"/>
        <v>-237328.18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-49196.87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-49196.87</v>
      </c>
      <c r="L61" s="46"/>
    </row>
    <row r="62" spans="1:12" s="44" customFormat="1" ht="30" customHeight="1" x14ac:dyDescent="0.3">
      <c r="A62" s="47" t="s">
        <v>463</v>
      </c>
      <c r="B62" s="49">
        <f>SUM(B57:B61)</f>
        <v>443125.77000000008</v>
      </c>
      <c r="C62" s="49">
        <f t="shared" ref="C62:H62" si="8">SUM(C57:C61)</f>
        <v>-39557.710000000006</v>
      </c>
      <c r="D62" s="49">
        <f t="shared" si="8"/>
        <v>137046.60999999999</v>
      </c>
      <c r="E62" s="49">
        <f t="shared" si="8"/>
        <v>35023.849999999991</v>
      </c>
      <c r="F62" s="49">
        <f t="shared" si="8"/>
        <v>-36194.26</v>
      </c>
      <c r="G62" s="49">
        <f t="shared" si="8"/>
        <v>229131.49000000002</v>
      </c>
      <c r="H62" s="49">
        <f t="shared" si="8"/>
        <v>142500</v>
      </c>
      <c r="I62" s="49">
        <f t="shared" si="7"/>
        <v>911075.75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68725.500001792389</v>
      </c>
      <c r="C64" s="51">
        <f t="shared" ref="C64:H64" si="9">C11-C54+C62</f>
        <v>72718.640000014871</v>
      </c>
      <c r="D64" s="51">
        <f t="shared" si="9"/>
        <v>622684.29000000015</v>
      </c>
      <c r="E64" s="51">
        <f t="shared" si="9"/>
        <v>20409.12999999999</v>
      </c>
      <c r="F64" s="51">
        <f t="shared" si="9"/>
        <v>-57152.549999999806</v>
      </c>
      <c r="G64" s="51">
        <f>G11-G54+G62</f>
        <v>142700.06</v>
      </c>
      <c r="H64" s="51">
        <f t="shared" si="9"/>
        <v>9032.8099999999977</v>
      </c>
      <c r="I64" s="51">
        <f>SUM(B64:H64)</f>
        <v>879117.88000180759</v>
      </c>
      <c r="L64" s="46"/>
    </row>
    <row r="65" spans="1:9" ht="15.75" thickTop="1" x14ac:dyDescent="0.25">
      <c r="A65" t="s">
        <v>331</v>
      </c>
      <c r="B65" s="14">
        <f>CNT!N287</f>
        <v>68725.499999527587</v>
      </c>
      <c r="C65" s="14">
        <f>BPM!N80</f>
        <v>72718.640000022366</v>
      </c>
      <c r="D65" s="14">
        <f>DEP!N80</f>
        <v>622684.29000000015</v>
      </c>
      <c r="E65" s="14">
        <f>Lending!N21</f>
        <v>20409.12999999999</v>
      </c>
      <c r="F65" s="14">
        <f>'BSC (Dome)'!N85</f>
        <v>-29868.69</v>
      </c>
      <c r="G65" s="14">
        <f>'Oliari Co.'!N29</f>
        <v>142700.06</v>
      </c>
      <c r="H65" s="14">
        <f>'722 Bedford St'!N29</f>
        <v>9032.8099999999977</v>
      </c>
      <c r="I65" s="14">
        <f>SUM(B65:H65)</f>
        <v>906401.73999955016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987640134.21000004</v>
      </c>
      <c r="C8" s="28">
        <f>'Comp YTD 2018-2017 Dec'!C12</f>
        <v>57867472.350000001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1045507606.5600001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3095980605.7100005</v>
      </c>
      <c r="C9" s="28">
        <f>'Comp YTD 2018-2017 Dec'!C13</f>
        <v>2741915.1799999997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3098722520.8900003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13281836.700000001</v>
      </c>
      <c r="C10" s="28">
        <f>'Comp YTD 2018-2017 Dec'!C14</f>
        <v>275361.21000000002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13557197.910000002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11807404.91</v>
      </c>
      <c r="C11" s="28">
        <f>'Comp YTD 2018-2017 Dec'!C15</f>
        <v>21067.5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11828472.41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5022730.9700000007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5022730.9700000007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2622625.92</v>
      </c>
      <c r="C13" s="28">
        <f>'Comp YTD 2018-2017 Dec'!C17</f>
        <v>2039.82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2624665.7399999998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751779.69</v>
      </c>
      <c r="C14" s="28">
        <f>'Comp YTD 2018-2017 Dec'!C18</f>
        <v>2611630.5</v>
      </c>
      <c r="D14" s="28">
        <f>DEP!N17</f>
        <v>2454254.9000000004</v>
      </c>
      <c r="E14" s="28">
        <v>0</v>
      </c>
      <c r="F14" s="28">
        <f>'BSC (Dome)'!N14</f>
        <v>547363.97000000009</v>
      </c>
      <c r="G14" s="28">
        <v>0</v>
      </c>
      <c r="H14" s="28">
        <v>0</v>
      </c>
      <c r="I14" s="28">
        <f t="shared" si="0"/>
        <v>6365029.0599999996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4117107118.1100001</v>
      </c>
      <c r="C15" s="32">
        <f t="shared" si="1"/>
        <v>63519486.560000002</v>
      </c>
      <c r="D15" s="32">
        <f t="shared" si="1"/>
        <v>2454254.9000000004</v>
      </c>
      <c r="E15" s="32">
        <f t="shared" si="1"/>
        <v>0</v>
      </c>
      <c r="F15" s="32">
        <f t="shared" si="1"/>
        <v>547363.97000000009</v>
      </c>
      <c r="G15" s="32">
        <f t="shared" si="1"/>
        <v>0</v>
      </c>
      <c r="H15" s="32">
        <f t="shared" si="1"/>
        <v>0</v>
      </c>
      <c r="I15" s="32">
        <f t="shared" si="0"/>
        <v>4183628223.54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1004400301.8899999</v>
      </c>
      <c r="C18" s="28">
        <f>BPM!N20+BPM!N31</f>
        <v>57705401.129999995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1062105703.0199999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3091078805.7099991</v>
      </c>
      <c r="C19" s="28">
        <f>BPM!N21+BPM!N32</f>
        <v>2518888.9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3093597694.6099992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12587660.74</v>
      </c>
      <c r="C20" s="28">
        <f>BPM!N22+BPM!N33</f>
        <v>256268.82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12843929.560000001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12058066.880000003</v>
      </c>
      <c r="C21" s="28">
        <f>BPM!N23</f>
        <v>13142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12071208.880000003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4877108.4499999993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4877108.4499999993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2496097.4699999997</v>
      </c>
      <c r="C23" s="28">
        <f>BPM!N25</f>
        <v>916.55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2497014.0199999996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-14954112.650000002</v>
      </c>
      <c r="C24" s="28">
        <f>BPM!N24+BPM!N26+BPM!N27+BPM!N34+BPM!N35+BPM!N29+BPM!N30+BPM!N28</f>
        <v>2200693.41</v>
      </c>
      <c r="D24" s="28">
        <f>DEP!N23</f>
        <v>278193.64</v>
      </c>
      <c r="E24" s="28">
        <v>0</v>
      </c>
      <c r="F24" s="28">
        <f>'BSC (Dome)'!N17</f>
        <v>1648.2199999999998</v>
      </c>
      <c r="G24" s="28">
        <v>0</v>
      </c>
      <c r="H24" s="28">
        <v>0</v>
      </c>
      <c r="I24" s="28">
        <f t="shared" si="2"/>
        <v>-12473577.380000001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4112543928.4899983</v>
      </c>
      <c r="C25" s="32">
        <f t="shared" si="3"/>
        <v>62695310.809999987</v>
      </c>
      <c r="D25" s="32">
        <f t="shared" si="3"/>
        <v>278193.64</v>
      </c>
      <c r="E25" s="32">
        <f t="shared" si="3"/>
        <v>0</v>
      </c>
      <c r="F25" s="32">
        <f t="shared" si="3"/>
        <v>1648.2199999999998</v>
      </c>
      <c r="G25" s="32">
        <f t="shared" si="3"/>
        <v>0</v>
      </c>
      <c r="H25" s="32">
        <f t="shared" si="3"/>
        <v>0</v>
      </c>
      <c r="I25" s="32">
        <f t="shared" si="2"/>
        <v>4175519081.1599979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4563189.6200017929</v>
      </c>
      <c r="C27" s="38">
        <f t="shared" si="4"/>
        <v>824175.7500000149</v>
      </c>
      <c r="D27" s="38">
        <f t="shared" si="4"/>
        <v>2176061.2600000002</v>
      </c>
      <c r="E27" s="38">
        <f t="shared" si="4"/>
        <v>0</v>
      </c>
      <c r="F27" s="38">
        <f t="shared" si="4"/>
        <v>545715.75000000012</v>
      </c>
      <c r="G27" s="38">
        <f t="shared" si="4"/>
        <v>0</v>
      </c>
      <c r="H27" s="38">
        <f t="shared" si="4"/>
        <v>0</v>
      </c>
      <c r="I27" s="38">
        <f>SUM(B27:H27)</f>
        <v>8109142.3800018076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1850896.77</v>
      </c>
      <c r="C32" s="28">
        <f>BPM!N43</f>
        <v>469372.33</v>
      </c>
      <c r="D32" s="28">
        <f>DEP!N29</f>
        <v>555423.87</v>
      </c>
      <c r="E32" s="28">
        <v>0</v>
      </c>
      <c r="F32" s="28">
        <f>'BSC (Dome)'!N24+'BSC (Dome)'!N32</f>
        <v>228303.50999999998</v>
      </c>
      <c r="G32" s="28">
        <v>0</v>
      </c>
      <c r="H32" s="28">
        <v>0</v>
      </c>
      <c r="I32" s="28">
        <f t="shared" ref="I32:I42" si="5">SUM(B32:H32)</f>
        <v>3103996.48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26017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26017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154532.52999999997</v>
      </c>
      <c r="C35" s="28">
        <f>BPM!N44</f>
        <v>40004.019999999997</v>
      </c>
      <c r="D35" s="28">
        <f>DEP!N30</f>
        <v>48099.020000000004</v>
      </c>
      <c r="E35" s="28">
        <v>0</v>
      </c>
      <c r="F35" s="28">
        <f>'BSC (Dome)'!N26</f>
        <v>15186.350000000002</v>
      </c>
      <c r="G35" s="28">
        <v>0</v>
      </c>
      <c r="H35" s="28">
        <v>0</v>
      </c>
      <c r="I35" s="28">
        <f t="shared" si="5"/>
        <v>257821.91999999995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172528.27000000002</v>
      </c>
      <c r="C36" s="28">
        <f>BPM!N45</f>
        <v>26663.29</v>
      </c>
      <c r="D36" s="28">
        <f>DEP!N31</f>
        <v>76806.16</v>
      </c>
      <c r="E36" s="28">
        <v>0</v>
      </c>
      <c r="F36" s="28">
        <f>'BSC (Dome)'!N27</f>
        <v>44795.31</v>
      </c>
      <c r="G36" s="28">
        <v>0</v>
      </c>
      <c r="H36" s="28">
        <v>0</v>
      </c>
      <c r="I36" s="28">
        <f t="shared" si="5"/>
        <v>320793.03000000003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23030.460000000003</v>
      </c>
      <c r="C37" s="28">
        <f>BPM!N46</f>
        <v>6794.01</v>
      </c>
      <c r="D37" s="28">
        <f>DEP!N32</f>
        <v>1952.82</v>
      </c>
      <c r="E37" s="28">
        <v>0</v>
      </c>
      <c r="F37" s="28">
        <f>'BSC (Dome)'!N28</f>
        <v>2753.04</v>
      </c>
      <c r="G37" s="28">
        <v>0</v>
      </c>
      <c r="H37" s="28">
        <v>0</v>
      </c>
      <c r="I37" s="28">
        <f t="shared" si="5"/>
        <v>34530.33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52322.59</v>
      </c>
      <c r="C38" s="28">
        <f>BPM!N47</f>
        <v>13656.46</v>
      </c>
      <c r="D38" s="28">
        <f>DEP!N33</f>
        <v>17055.95</v>
      </c>
      <c r="E38" s="28">
        <v>0</v>
      </c>
      <c r="F38" s="28">
        <f>'BSC (Dome)'!N30</f>
        <v>4250</v>
      </c>
      <c r="G38" s="28">
        <v>0</v>
      </c>
      <c r="H38" s="28">
        <v>0</v>
      </c>
      <c r="I38" s="28">
        <f t="shared" si="5"/>
        <v>87284.999999999985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12577.039999999999</v>
      </c>
      <c r="C39" s="28">
        <v>0</v>
      </c>
      <c r="D39" s="28">
        <f>DEP!N34</f>
        <v>1481.01</v>
      </c>
      <c r="E39" s="28">
        <v>0</v>
      </c>
      <c r="F39" s="28">
        <f>'BSC (Dome)'!N29+'BSC (Dome)'!N31</f>
        <v>2646.5699999999997</v>
      </c>
      <c r="G39" s="28">
        <v>0</v>
      </c>
      <c r="H39" s="28">
        <v>0</v>
      </c>
      <c r="I39" s="28">
        <f t="shared" si="5"/>
        <v>16704.62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6741.74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6741.74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29671.670000000002</v>
      </c>
      <c r="C41" s="28">
        <f>BPM!N48</f>
        <v>4564.87</v>
      </c>
      <c r="D41" s="28">
        <f>DEP!N35</f>
        <v>11412.18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45648.72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2328318.0700000003</v>
      </c>
      <c r="C42" s="32">
        <f t="shared" si="6"/>
        <v>561054.98</v>
      </c>
      <c r="D42" s="32">
        <f t="shared" si="6"/>
        <v>712231.01</v>
      </c>
      <c r="E42" s="32">
        <f t="shared" si="6"/>
        <v>0</v>
      </c>
      <c r="F42" s="32">
        <f t="shared" si="6"/>
        <v>297934.77999999997</v>
      </c>
      <c r="G42" s="32">
        <f t="shared" si="6"/>
        <v>0</v>
      </c>
      <c r="H42" s="32">
        <f t="shared" si="6"/>
        <v>0</v>
      </c>
      <c r="I42" s="32">
        <f t="shared" si="5"/>
        <v>3899538.8400000003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387800</v>
      </c>
      <c r="C45" s="28">
        <f>BPM!N52</f>
        <v>45000</v>
      </c>
      <c r="D45" s="28">
        <f>DEP!N39</f>
        <v>337500</v>
      </c>
      <c r="E45" s="28">
        <v>0</v>
      </c>
      <c r="F45" s="28">
        <f>'BSC (Dome)'!N36</f>
        <v>9000</v>
      </c>
      <c r="G45" s="28">
        <v>0</v>
      </c>
      <c r="H45" s="28">
        <v>0</v>
      </c>
      <c r="I45" s="28">
        <f t="shared" ref="I45:I67" si="7">SUM(B45:H45)</f>
        <v>779300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893.98000000000138</v>
      </c>
      <c r="C46" s="28">
        <v>0</v>
      </c>
      <c r="D46" s="28">
        <f>DEP!N40</f>
        <v>62173.06</v>
      </c>
      <c r="E46" s="28">
        <v>0</v>
      </c>
      <c r="F46" s="28">
        <f>'BSC (Dome)'!N38</f>
        <v>5384.5</v>
      </c>
      <c r="G46" s="28">
        <v>0</v>
      </c>
      <c r="H46" s="28">
        <v>0</v>
      </c>
      <c r="I46" s="28">
        <f t="shared" si="7"/>
        <v>68451.540000000008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8811.7099999999991</v>
      </c>
      <c r="C47" s="28">
        <v>0</v>
      </c>
      <c r="D47" s="28">
        <v>0</v>
      </c>
      <c r="E47" s="28">
        <v>0</v>
      </c>
      <c r="F47" s="28">
        <f>'BSC (Dome)'!N37</f>
        <v>60025.37</v>
      </c>
      <c r="G47" s="28">
        <v>0</v>
      </c>
      <c r="H47" s="28">
        <v>0</v>
      </c>
      <c r="I47" s="28">
        <f t="shared" si="7"/>
        <v>68837.08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579.03</v>
      </c>
      <c r="C48" s="28">
        <v>0</v>
      </c>
      <c r="D48" s="28">
        <v>0</v>
      </c>
      <c r="E48" s="28">
        <v>0</v>
      </c>
      <c r="F48" s="28">
        <f>'BSC (Dome)'!N39</f>
        <v>2032.02</v>
      </c>
      <c r="G48" s="28">
        <v>0</v>
      </c>
      <c r="H48" s="28">
        <v>0</v>
      </c>
      <c r="I48" s="28">
        <f t="shared" si="7"/>
        <v>2611.0500000000002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178.45</v>
      </c>
      <c r="C49" s="28">
        <v>0</v>
      </c>
      <c r="D49" s="28">
        <f>DEP!N41</f>
        <v>1350</v>
      </c>
      <c r="E49" s="28">
        <v>0</v>
      </c>
      <c r="F49" s="28">
        <f>'BSC (Dome)'!N40</f>
        <v>5749.14</v>
      </c>
      <c r="G49" s="28">
        <v>0</v>
      </c>
      <c r="H49" s="28">
        <v>0</v>
      </c>
      <c r="I49" s="28">
        <f t="shared" si="7"/>
        <v>7277.59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19715</v>
      </c>
      <c r="C50" s="28">
        <v>0</v>
      </c>
      <c r="D50" s="28">
        <f>DEP!N42</f>
        <v>19724.2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39439.199999999997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102062.59999999999</v>
      </c>
      <c r="C51" s="28">
        <f>BPM!N53</f>
        <v>2719.73</v>
      </c>
      <c r="D51" s="28">
        <f>DEP!N43</f>
        <v>26534.739999999998</v>
      </c>
      <c r="E51" s="28">
        <v>0</v>
      </c>
      <c r="F51" s="28">
        <f>'BSC (Dome)'!N42</f>
        <v>2914.58</v>
      </c>
      <c r="G51" s="28">
        <v>0</v>
      </c>
      <c r="H51" s="28">
        <v>0</v>
      </c>
      <c r="I51" s="28">
        <f t="shared" si="7"/>
        <v>134231.64999999997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11135.36</v>
      </c>
      <c r="G52" s="28">
        <v>0</v>
      </c>
      <c r="H52" s="28">
        <v>0</v>
      </c>
      <c r="I52" s="28">
        <f t="shared" si="7"/>
        <v>11135.36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79598.200000000012</v>
      </c>
      <c r="C53" s="28">
        <v>0</v>
      </c>
      <c r="D53" s="28">
        <f>DEP!N44</f>
        <v>47875.950000000012</v>
      </c>
      <c r="E53" s="28">
        <v>0</v>
      </c>
      <c r="F53" s="28">
        <f>'BSC (Dome)'!N45</f>
        <v>486.66999999999996</v>
      </c>
      <c r="G53" s="28">
        <v>0</v>
      </c>
      <c r="H53" s="28">
        <v>0</v>
      </c>
      <c r="I53" s="28">
        <f t="shared" si="7"/>
        <v>127960.82000000002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33500</v>
      </c>
      <c r="C54" s="28">
        <v>0</v>
      </c>
      <c r="D54" s="28">
        <f>DEP!N45</f>
        <v>11805.94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45305.94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41020.459999999992</v>
      </c>
      <c r="C55" s="28">
        <f>BPM!N54</f>
        <v>4557.83</v>
      </c>
      <c r="D55" s="28">
        <f>DEP!N46</f>
        <v>149035.41</v>
      </c>
      <c r="E55" s="28">
        <v>0</v>
      </c>
      <c r="F55" s="28">
        <f>'BSC (Dome)'!N47</f>
        <v>21818</v>
      </c>
      <c r="G55" s="28">
        <v>0</v>
      </c>
      <c r="H55" s="28">
        <v>0</v>
      </c>
      <c r="I55" s="28">
        <f t="shared" si="7"/>
        <v>216431.7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1663</v>
      </c>
      <c r="C56" s="28">
        <f>BPM!N67</f>
        <v>408.90000000000003</v>
      </c>
      <c r="D56" s="28">
        <f>DEP!N69</f>
        <v>449</v>
      </c>
      <c r="E56" s="28">
        <f>Lending!N11</f>
        <v>109</v>
      </c>
      <c r="F56" s="28">
        <f>'BSC (Dome)'!N48</f>
        <v>865</v>
      </c>
      <c r="G56" s="28">
        <f>'Oliari Co.'!N10</f>
        <v>520</v>
      </c>
      <c r="H56" s="28">
        <f>'722 Bedford St'!N10</f>
        <v>520</v>
      </c>
      <c r="I56" s="28">
        <f t="shared" si="7"/>
        <v>4534.8999999999996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13379.36</v>
      </c>
      <c r="G57" s="28">
        <v>0</v>
      </c>
      <c r="H57" s="28">
        <v>0</v>
      </c>
      <c r="I57" s="28">
        <f t="shared" si="7"/>
        <v>13379.36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16793.27</v>
      </c>
      <c r="C58" s="28">
        <v>0</v>
      </c>
      <c r="D58" s="28">
        <f>DEP!N47</f>
        <v>187.99</v>
      </c>
      <c r="E58" s="28">
        <v>0</v>
      </c>
      <c r="F58" s="28">
        <f>'BSC (Dome)'!N50</f>
        <v>1417.5100000000002</v>
      </c>
      <c r="G58" s="28">
        <v>0</v>
      </c>
      <c r="H58" s="28">
        <v>0</v>
      </c>
      <c r="I58" s="28">
        <f t="shared" si="7"/>
        <v>18398.770000000004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7006.41</v>
      </c>
      <c r="C59" s="28">
        <v>0</v>
      </c>
      <c r="D59" s="28">
        <f>DEP!N49</f>
        <v>3305.3999999999996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10311.81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2999.97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2999.97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1130261.8500000001</v>
      </c>
      <c r="C61" s="28">
        <f>BPM!N55</f>
        <v>3488.74</v>
      </c>
      <c r="D61" s="28">
        <f>DEP!N50</f>
        <v>94198.39</v>
      </c>
      <c r="E61" s="28">
        <v>0</v>
      </c>
      <c r="F61" s="28">
        <f>'BSC (Dome)'!N53</f>
        <v>84595.9</v>
      </c>
      <c r="G61" s="28">
        <f>'Oliari Co.'!N11</f>
        <v>83261.430000000022</v>
      </c>
      <c r="H61" s="28">
        <f>'722 Bedford St'!N11</f>
        <v>132232.72</v>
      </c>
      <c r="I61" s="28">
        <f t="shared" si="7"/>
        <v>1528039.0299999998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1268.68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1268.68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13030.69</v>
      </c>
      <c r="C63" s="28">
        <f>BPM!N68</f>
        <v>2299.5300000000002</v>
      </c>
      <c r="D63" s="28">
        <f>DEP!N51</f>
        <v>15061.969999999998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30392.19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102322.82999999999</v>
      </c>
      <c r="C64" s="28">
        <f>BPM!N62</f>
        <v>18056.97</v>
      </c>
      <c r="D64" s="28">
        <f>DEP!N48</f>
        <v>64648.75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185028.55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26546.309999999998</v>
      </c>
      <c r="C65" s="28">
        <v>0</v>
      </c>
      <c r="D65" s="28">
        <f>DEP!N52</f>
        <v>7476.93</v>
      </c>
      <c r="E65" s="28">
        <v>0</v>
      </c>
      <c r="F65" s="28">
        <f>'BSC (Dome)'!N55</f>
        <v>2372.79</v>
      </c>
      <c r="G65" s="28">
        <v>0</v>
      </c>
      <c r="H65" s="28">
        <v>0</v>
      </c>
      <c r="I65" s="28">
        <f>SUM(B65:H65)</f>
        <v>36396.03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13105.57</v>
      </c>
      <c r="C66" s="28">
        <f>BPM!N61</f>
        <v>5419.07</v>
      </c>
      <c r="D66" s="28">
        <f>DEP!N53</f>
        <v>6949.9699999999993</v>
      </c>
      <c r="E66" s="28">
        <v>0</v>
      </c>
      <c r="F66" s="28">
        <f>'BSC (Dome)'!N56</f>
        <v>5094.4799999999996</v>
      </c>
      <c r="G66" s="28">
        <v>0</v>
      </c>
      <c r="H66" s="28">
        <v>0</v>
      </c>
      <c r="I66" s="28">
        <f t="shared" si="7"/>
        <v>30569.09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1989158.0100000002</v>
      </c>
      <c r="C67" s="32">
        <f t="shared" si="8"/>
        <v>81950.770000000019</v>
      </c>
      <c r="D67" s="32">
        <f t="shared" si="8"/>
        <v>848277.70000000007</v>
      </c>
      <c r="E67" s="32">
        <f t="shared" si="8"/>
        <v>109</v>
      </c>
      <c r="F67" s="32">
        <f t="shared" si="8"/>
        <v>226270.68000000002</v>
      </c>
      <c r="G67" s="32">
        <f t="shared" si="8"/>
        <v>83781.430000000022</v>
      </c>
      <c r="H67" s="32">
        <f t="shared" si="8"/>
        <v>132752.72</v>
      </c>
      <c r="I67" s="32">
        <f t="shared" si="7"/>
        <v>3362300.310000001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8050.6</v>
      </c>
      <c r="C70" s="28">
        <v>0</v>
      </c>
      <c r="D70" s="28">
        <f>DEP!N57</f>
        <v>1409.28</v>
      </c>
      <c r="E70" s="28">
        <v>0</v>
      </c>
      <c r="F70" s="28">
        <f>'BSC (Dome)'!N60</f>
        <v>2926.56</v>
      </c>
      <c r="G70" s="28">
        <v>0</v>
      </c>
      <c r="H70" s="28">
        <v>0</v>
      </c>
      <c r="I70" s="28">
        <f t="shared" ref="I70:I90" si="9">SUM(B70:H70)</f>
        <v>12386.44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4500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4500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91089.459999999992</v>
      </c>
      <c r="C73" s="28">
        <f>BPM!N59</f>
        <v>7737.42</v>
      </c>
      <c r="D73" s="28">
        <f>DEP!N58</f>
        <v>6558.06</v>
      </c>
      <c r="E73" s="28">
        <f>Lending!N10</f>
        <v>1833.2100000000003</v>
      </c>
      <c r="F73" s="28">
        <f>'BSC (Dome)'!N61</f>
        <v>2328.1199999999994</v>
      </c>
      <c r="G73" s="28">
        <v>0</v>
      </c>
      <c r="H73" s="28">
        <f>'722 Bedford St'!N16</f>
        <v>714.47000000000014</v>
      </c>
      <c r="I73" s="28">
        <f t="shared" si="9"/>
        <v>110260.73999999999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3495.7000000000003</v>
      </c>
      <c r="G74" s="28">
        <v>0</v>
      </c>
      <c r="H74" s="28">
        <v>0</v>
      </c>
      <c r="I74" s="28">
        <f t="shared" si="9"/>
        <v>3495.7000000000003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3820.81</v>
      </c>
      <c r="C75" s="28">
        <v>0</v>
      </c>
      <c r="D75" s="28">
        <f>DEP!N68</f>
        <v>0</v>
      </c>
      <c r="E75" s="28">
        <v>0</v>
      </c>
      <c r="F75" s="28">
        <f>'BSC (Dome)'!N66</f>
        <v>1068.2</v>
      </c>
      <c r="G75" s="28">
        <v>0</v>
      </c>
      <c r="H75" s="28">
        <v>0</v>
      </c>
      <c r="I75" s="28">
        <f t="shared" si="9"/>
        <v>4889.01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261714.28000000003</v>
      </c>
      <c r="C76" s="28">
        <f>BPM!N64</f>
        <v>10103</v>
      </c>
      <c r="D76" s="28">
        <f>DEP!N62</f>
        <v>41000</v>
      </c>
      <c r="E76" s="28">
        <v>0</v>
      </c>
      <c r="F76" s="28">
        <f>'BSC (Dome)'!N67</f>
        <v>4250</v>
      </c>
      <c r="G76" s="28">
        <f>'Oliari Co.'!N15</f>
        <v>2650</v>
      </c>
      <c r="H76" s="28">
        <f>'722 Bedford St'!N15</f>
        <v>0</v>
      </c>
      <c r="I76" s="28">
        <f t="shared" si="9"/>
        <v>319717.28000000003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68000</v>
      </c>
      <c r="C77" s="28">
        <f>BPM!N65</f>
        <v>33750</v>
      </c>
      <c r="D77" s="28">
        <f>DEP!N63</f>
        <v>20250</v>
      </c>
      <c r="E77" s="28">
        <f>Lending!N12</f>
        <v>11250</v>
      </c>
      <c r="F77" s="28">
        <f>'BSC (Dome)'!N68</f>
        <v>13500</v>
      </c>
      <c r="G77" s="28">
        <v>0</v>
      </c>
      <c r="H77" s="28">
        <v>0</v>
      </c>
      <c r="I77" s="28">
        <f t="shared" si="9"/>
        <v>146750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43002.740000000005</v>
      </c>
      <c r="C78" s="28">
        <f>BPM!N63</f>
        <v>5315.4600000000009</v>
      </c>
      <c r="D78" s="28">
        <f>DEP!N61</f>
        <v>-401.22000000000025</v>
      </c>
      <c r="E78" s="28">
        <f>Lending!N13</f>
        <v>1422.5100000000002</v>
      </c>
      <c r="F78" s="28">
        <v>0</v>
      </c>
      <c r="G78" s="28">
        <v>0</v>
      </c>
      <c r="H78" s="28">
        <v>0</v>
      </c>
      <c r="I78" s="28">
        <f t="shared" si="9"/>
        <v>49339.490000000005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25579.120000000003</v>
      </c>
      <c r="C79" s="28">
        <f>BPM!N66</f>
        <v>3935.25</v>
      </c>
      <c r="D79" s="28">
        <f>DEP!N65</f>
        <v>9838.1299999999992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39352.5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6625.0199999999995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6625.0199999999995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16111.960000000006</v>
      </c>
      <c r="C81" s="28">
        <v>0</v>
      </c>
      <c r="D81" s="28">
        <f>DEP!N60</f>
        <v>28670.78</v>
      </c>
      <c r="E81" s="28">
        <v>0</v>
      </c>
      <c r="F81" s="28">
        <f>'BSC (Dome)'!N64</f>
        <v>1328.0999999999997</v>
      </c>
      <c r="G81" s="28">
        <v>0</v>
      </c>
      <c r="H81" s="28">
        <v>0</v>
      </c>
      <c r="I81" s="28">
        <f t="shared" si="9"/>
        <v>46110.840000000004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27536.76</v>
      </c>
      <c r="C82" s="28">
        <f>BPM!N60</f>
        <v>912.49</v>
      </c>
      <c r="D82" s="28">
        <f>DEP!N70</f>
        <v>2477.5</v>
      </c>
      <c r="E82" s="28">
        <v>0</v>
      </c>
      <c r="F82" s="28">
        <f>'BSC (Dome)'!N70</f>
        <v>642</v>
      </c>
      <c r="G82" s="28">
        <v>0</v>
      </c>
      <c r="H82" s="28">
        <v>0</v>
      </c>
      <c r="I82" s="28">
        <f t="shared" si="9"/>
        <v>31568.75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19020.120000000003</v>
      </c>
      <c r="C83" s="28">
        <f>0</f>
        <v>0</v>
      </c>
      <c r="D83" s="28">
        <f>DEP!N67</f>
        <v>6496.38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25516.500000000004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543.67999999999995</v>
      </c>
      <c r="C84" s="28">
        <f>0</f>
        <v>0</v>
      </c>
      <c r="D84" s="28">
        <f>DEP!N59</f>
        <v>300</v>
      </c>
      <c r="E84" s="28">
        <v>0</v>
      </c>
      <c r="F84" s="28">
        <f>'BSC (Dome)'!N63</f>
        <v>2600</v>
      </c>
      <c r="G84" s="28">
        <v>0</v>
      </c>
      <c r="H84" s="28">
        <v>0</v>
      </c>
      <c r="I84" s="28">
        <f t="shared" si="9"/>
        <v>3443.68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397.63</v>
      </c>
      <c r="C85" s="28">
        <v>0</v>
      </c>
      <c r="D85" s="28">
        <v>0</v>
      </c>
      <c r="E85" s="28">
        <v>0</v>
      </c>
      <c r="F85" s="28">
        <f>'BSC (Dome)'!N65</f>
        <v>10329.9</v>
      </c>
      <c r="G85" s="28">
        <v>0</v>
      </c>
      <c r="H85" s="28">
        <v>0</v>
      </c>
      <c r="I85" s="28">
        <f t="shared" si="9"/>
        <v>10727.529999999999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10195.619999999999</v>
      </c>
      <c r="C86" s="28">
        <f>BPM!N69</f>
        <v>7140.03</v>
      </c>
      <c r="D86" s="28">
        <f>DEP!N66</f>
        <v>6690.94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24026.589999999997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18008.54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18008.54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4592.21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4592.21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17950.280000000002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17950.280000000002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620113.81000000006</v>
      </c>
      <c r="C90" s="32">
        <f t="shared" ref="C90:H90" si="10">SUM(C70:C89)</f>
        <v>68893.649999999994</v>
      </c>
      <c r="D90" s="32">
        <f t="shared" si="10"/>
        <v>129914.87000000001</v>
      </c>
      <c r="E90" s="32">
        <f t="shared" si="10"/>
        <v>14505.720000000001</v>
      </c>
      <c r="F90" s="32">
        <f t="shared" si="10"/>
        <v>42468.58</v>
      </c>
      <c r="G90" s="32">
        <f t="shared" si="10"/>
        <v>2650</v>
      </c>
      <c r="H90" s="32">
        <f t="shared" si="10"/>
        <v>714.47000000000014</v>
      </c>
      <c r="I90" s="32">
        <f t="shared" si="9"/>
        <v>879261.1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4937589.8900000006</v>
      </c>
      <c r="C92" s="38">
        <f t="shared" si="11"/>
        <v>711899.4</v>
      </c>
      <c r="D92" s="38">
        <f t="shared" si="11"/>
        <v>1690423.58</v>
      </c>
      <c r="E92" s="38">
        <f t="shared" si="11"/>
        <v>14614.720000000001</v>
      </c>
      <c r="F92" s="38">
        <f t="shared" si="11"/>
        <v>566674.03999999992</v>
      </c>
      <c r="G92" s="38">
        <f t="shared" si="11"/>
        <v>86431.430000000022</v>
      </c>
      <c r="H92" s="38">
        <f t="shared" si="11"/>
        <v>133467.19</v>
      </c>
      <c r="I92" s="38">
        <f>SUM(B92:H92)</f>
        <v>8141100.2500000009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112500</v>
      </c>
      <c r="C95" s="28">
        <v>0</v>
      </c>
      <c r="D95" s="28">
        <f>DEP!N76</f>
        <v>112500</v>
      </c>
      <c r="E95" s="28">
        <v>0</v>
      </c>
      <c r="F95" s="28">
        <f>'BSC (Dome)'!N76+'BSC (Dome)'!N77</f>
        <v>49000</v>
      </c>
      <c r="G95" s="28">
        <f>'Oliari Co.'!N21+'Oliari Co.'!N22+'Oliari Co.'!N23</f>
        <v>204300</v>
      </c>
      <c r="H95" s="28">
        <f>'722 Bedford St'!N22+'722 Bedford St'!N23</f>
        <v>142500</v>
      </c>
      <c r="I95" s="28">
        <f t="shared" ref="I95:I107" si="12">SUM(B95:H95)</f>
        <v>620800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0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0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49196.87</v>
      </c>
      <c r="C98" s="28">
        <f>-BPM!N74</f>
        <v>-49196.87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154224.38999999998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154224.38999999998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183407.18</v>
      </c>
      <c r="C100" s="28">
        <f>-BPM!N75</f>
        <v>9639.16</v>
      </c>
      <c r="D100" s="28">
        <f>DEP!N77</f>
        <v>24546.61</v>
      </c>
      <c r="E100" s="28">
        <f>Lending!N17</f>
        <v>39725.869999999995</v>
      </c>
      <c r="F100" s="28">
        <v>0</v>
      </c>
      <c r="G100" s="28">
        <f>'Oliari Co.'!N25</f>
        <v>32578.850000000002</v>
      </c>
      <c r="H100" s="28">
        <v>0</v>
      </c>
      <c r="I100" s="28">
        <f t="shared" si="12"/>
        <v>289897.67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-137770.54999999999</v>
      </c>
      <c r="C101" s="28">
        <v>0</v>
      </c>
      <c r="D101" s="28">
        <v>0</v>
      </c>
      <c r="E101" s="28">
        <f>Lending!N18</f>
        <v>-4702.0200000000004</v>
      </c>
      <c r="F101" s="28">
        <f>'BSC (Dome)'!N79+'BSC (Dome)'!N80</f>
        <v>-87107.24</v>
      </c>
      <c r="G101" s="28">
        <f>'Oliari Co.'!N26</f>
        <v>-7748.3700000000008</v>
      </c>
      <c r="H101" s="28">
        <f>'722 Bedford St'!N26</f>
        <v>0</v>
      </c>
      <c r="I101" s="28">
        <f t="shared" si="12"/>
        <v>-237328.18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49.6</v>
      </c>
      <c r="C102" s="28">
        <v>0</v>
      </c>
      <c r="D102" s="28">
        <v>0</v>
      </c>
      <c r="E102" s="28"/>
      <c r="F102" s="28">
        <f>'BSC (Dome)'!N78</f>
        <v>1912.98</v>
      </c>
      <c r="G102" s="28">
        <f>'Oliari Co.'!N24</f>
        <v>1.01</v>
      </c>
      <c r="H102" s="28">
        <v>0</v>
      </c>
      <c r="I102" s="28">
        <f t="shared" si="12"/>
        <v>1963.59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25869.809999999998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25869.809999999998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5035.16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5035.16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25430.999999999996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25430.999999999996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22084.030000000002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22084.030000000002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3098.28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3098.28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443125.77</v>
      </c>
      <c r="C108" s="32">
        <f t="shared" si="13"/>
        <v>-39557.710000000006</v>
      </c>
      <c r="D108" s="32">
        <f t="shared" si="13"/>
        <v>137046.60999999999</v>
      </c>
      <c r="E108" s="32">
        <f t="shared" si="13"/>
        <v>35023.849999999991</v>
      </c>
      <c r="F108" s="32">
        <f t="shared" si="13"/>
        <v>-36194.26</v>
      </c>
      <c r="G108" s="32">
        <f t="shared" si="13"/>
        <v>229131.49000000002</v>
      </c>
      <c r="H108" s="32">
        <f t="shared" si="13"/>
        <v>142500</v>
      </c>
      <c r="I108" s="32">
        <f t="shared" si="13"/>
        <v>911075.75000000012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68725.50000179233</v>
      </c>
      <c r="C110" s="42">
        <f t="shared" si="14"/>
        <v>72718.640000014871</v>
      </c>
      <c r="D110" s="42">
        <f t="shared" si="14"/>
        <v>622684.29000000015</v>
      </c>
      <c r="E110" s="42">
        <f t="shared" si="14"/>
        <v>20409.12999999999</v>
      </c>
      <c r="F110" s="42">
        <f t="shared" si="14"/>
        <v>-57152.549999999806</v>
      </c>
      <c r="G110" s="42">
        <f t="shared" si="14"/>
        <v>142700.06</v>
      </c>
      <c r="H110" s="42">
        <f t="shared" si="14"/>
        <v>9032.8099999999977</v>
      </c>
      <c r="I110" s="42">
        <f>SUM(B110:H110)</f>
        <v>879117.88000180759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68725.499999527587</v>
      </c>
      <c r="C113" s="28">
        <f>BPM!N80</f>
        <v>72718.640000022366</v>
      </c>
      <c r="D113" s="28">
        <f>DEP!N82</f>
        <v>844796.72</v>
      </c>
      <c r="E113" s="28">
        <f>Lending!N21</f>
        <v>20409.12999999999</v>
      </c>
      <c r="F113" s="28">
        <f>'BSC (Dome)'!N85</f>
        <v>-29868.69</v>
      </c>
      <c r="G113" s="28">
        <f>'Oliari Co.'!N29</f>
        <v>142700.06</v>
      </c>
      <c r="H113" s="28">
        <f>'722 Bedford St'!N29</f>
        <v>9032.8099999999977</v>
      </c>
      <c r="I113" s="14">
        <f>SUM(B113:H113)</f>
        <v>1128514.1699995501</v>
      </c>
    </row>
    <row r="114" spans="1:9" x14ac:dyDescent="0.25">
      <c r="B114" s="14">
        <f t="shared" ref="B114:H114" si="15">B110-B113</f>
        <v>2.2647436708211899E-6</v>
      </c>
      <c r="C114" s="14">
        <f t="shared" si="15"/>
        <v>-7.4942363426089287E-9</v>
      </c>
      <c r="D114" s="14">
        <f t="shared" si="15"/>
        <v>-222112.42999999982</v>
      </c>
      <c r="E114" s="14">
        <f t="shared" si="15"/>
        <v>0</v>
      </c>
      <c r="F114" s="14">
        <f t="shared" si="15"/>
        <v>-27283.859999999808</v>
      </c>
      <c r="G114" s="14">
        <f t="shared" si="15"/>
        <v>0</v>
      </c>
      <c r="H114" s="14">
        <f t="shared" si="15"/>
        <v>0</v>
      </c>
      <c r="I114" s="14">
        <f>I110-I113</f>
        <v>-249396.28999774251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4117107118.1100001</v>
      </c>
      <c r="C20" s="28">
        <f>'Comp YTD 2018-2017 Dec'!C19</f>
        <v>63519486.560000002</v>
      </c>
      <c r="D20" s="28">
        <f>'Comp YTD 2018-2017 Dec'!D19</f>
        <v>2454254.9000000004</v>
      </c>
      <c r="E20" s="28">
        <f>'Comp YTD 2018-2017 Dec'!E19</f>
        <v>0</v>
      </c>
      <c r="F20" s="28">
        <f>'Comp YTD 2018-2017 Dec'!F19</f>
        <v>547363.97000000009</v>
      </c>
      <c r="G20" s="28">
        <f>'Comp YTD 2018-2017 Dec'!G19</f>
        <v>0</v>
      </c>
      <c r="H20" s="28">
        <f>'Comp YTD 2018-2017 Dec'!H19</f>
        <v>0</v>
      </c>
      <c r="I20" s="28">
        <f>SUM(B20:H20)</f>
        <v>4183628223.54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4183628223.54</v>
      </c>
      <c r="X20" s="30"/>
      <c r="Y20" s="31">
        <f t="shared" ref="Y20:Y27" si="1">S20</f>
        <v>3262601024.6100001</v>
      </c>
      <c r="Z20" s="30"/>
      <c r="AA20" s="31">
        <f>I20-S20</f>
        <v>921027198.92999983</v>
      </c>
      <c r="AB20" s="57"/>
      <c r="AC20" s="30">
        <f>I20/S20</f>
        <v>1.2822984459278457</v>
      </c>
      <c r="AD20" s="31"/>
      <c r="AE20" s="30">
        <f>AC20-1</f>
        <v>0.2822984459278457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4117107118.1100001</v>
      </c>
      <c r="C21" s="32">
        <f t="shared" si="2"/>
        <v>63519486.560000002</v>
      </c>
      <c r="D21" s="32">
        <f t="shared" si="2"/>
        <v>2454254.9000000004</v>
      </c>
      <c r="E21" s="32">
        <f t="shared" si="2"/>
        <v>0</v>
      </c>
      <c r="F21" s="32">
        <f t="shared" si="2"/>
        <v>547363.97000000009</v>
      </c>
      <c r="G21" s="32">
        <f t="shared" si="2"/>
        <v>0</v>
      </c>
      <c r="H21" s="32">
        <f t="shared" si="2"/>
        <v>0</v>
      </c>
      <c r="I21" s="32">
        <f>SUM(B21:H21)</f>
        <v>4183628223.54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4183628223.54</v>
      </c>
      <c r="X21" s="35"/>
      <c r="Y21" s="36">
        <f t="shared" si="1"/>
        <v>3262601024.6100001</v>
      </c>
      <c r="Z21" s="35"/>
      <c r="AA21" s="36">
        <f>I21-S21</f>
        <v>921027198.92999983</v>
      </c>
      <c r="AB21" s="57"/>
      <c r="AC21" s="34">
        <f>I21/S21</f>
        <v>1.2822984459278457</v>
      </c>
      <c r="AD21" s="36"/>
      <c r="AE21" s="34">
        <f t="shared" ref="AE21:AE27" si="4">AC21-1</f>
        <v>0.2822984459278457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4112543928.4899983</v>
      </c>
      <c r="C24" s="28">
        <f>'Comp YTD 2018-2017 Dec'!C30</f>
        <v>62695310.809999987</v>
      </c>
      <c r="D24" s="28">
        <f>'Comp YTD 2018-2017 Dec'!D30</f>
        <v>278193.64</v>
      </c>
      <c r="E24" s="28">
        <f>'Comp YTD 2018-2017 Dec'!E30</f>
        <v>0</v>
      </c>
      <c r="F24" s="28">
        <f>'Comp YTD 2018-2017 Dec'!F30</f>
        <v>1648.2199999999998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4175519081.1599979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4175519081.1599979</v>
      </c>
      <c r="X24" s="30"/>
      <c r="Y24" s="31">
        <f t="shared" si="1"/>
        <v>3256862396.8499999</v>
      </c>
      <c r="Z24" s="30"/>
      <c r="AA24" s="31">
        <f>I24-S24</f>
        <v>918656684.30999804</v>
      </c>
      <c r="AB24" s="57"/>
      <c r="AC24" s="30">
        <f>I24/S24</f>
        <v>1.2820680066798378</v>
      </c>
      <c r="AD24" s="31"/>
      <c r="AE24" s="30">
        <f t="shared" si="4"/>
        <v>0.28206800667983778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4112543928.4899983</v>
      </c>
      <c r="C25" s="32">
        <f t="shared" si="5"/>
        <v>62695310.809999987</v>
      </c>
      <c r="D25" s="32">
        <f t="shared" si="5"/>
        <v>278193.64</v>
      </c>
      <c r="E25" s="32">
        <f t="shared" si="5"/>
        <v>0</v>
      </c>
      <c r="F25" s="32">
        <f t="shared" si="5"/>
        <v>1648.2199999999998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4175519081.1599979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4175519081.1599979</v>
      </c>
      <c r="X25" s="35"/>
      <c r="Y25" s="36">
        <f t="shared" si="1"/>
        <v>3256862396.8499999</v>
      </c>
      <c r="Z25" s="35"/>
      <c r="AA25" s="36">
        <f>SUM(AA24:AA24)</f>
        <v>918656684.30999804</v>
      </c>
      <c r="AB25" s="57"/>
      <c r="AC25" s="34">
        <f>I25/S25</f>
        <v>1.2820680066798378</v>
      </c>
      <c r="AD25" s="36"/>
      <c r="AE25" s="34">
        <f t="shared" si="4"/>
        <v>0.28206800667983778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4563189.6200017929</v>
      </c>
      <c r="C27" s="38">
        <f t="shared" si="8"/>
        <v>824175.7500000149</v>
      </c>
      <c r="D27" s="38">
        <f t="shared" si="8"/>
        <v>2176061.2600000002</v>
      </c>
      <c r="E27" s="38">
        <f t="shared" si="8"/>
        <v>0</v>
      </c>
      <c r="F27" s="38">
        <f t="shared" si="8"/>
        <v>545715.75000000012</v>
      </c>
      <c r="G27" s="38">
        <f>G21-G25</f>
        <v>0</v>
      </c>
      <c r="H27" s="38">
        <f t="shared" si="8"/>
        <v>0</v>
      </c>
      <c r="I27" s="38">
        <f t="shared" si="6"/>
        <v>8109142.3800018076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8109142.3800018076</v>
      </c>
      <c r="Y27" s="39">
        <f t="shared" si="1"/>
        <v>5738627.7600005995</v>
      </c>
      <c r="AA27" s="39">
        <f>I27-S27</f>
        <v>2370514.620001208</v>
      </c>
      <c r="AB27" s="57"/>
      <c r="AC27" s="40">
        <f>I27/S27</f>
        <v>1.4130803946762631</v>
      </c>
      <c r="AD27" s="39"/>
      <c r="AE27" s="40">
        <f t="shared" si="4"/>
        <v>0.41308039467626312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2328318.0700000003</v>
      </c>
      <c r="C30" s="28">
        <f>'Comp YTD 2018-2017 Dec'!C47</f>
        <v>561054.98</v>
      </c>
      <c r="D30" s="28">
        <f>'Comp YTD 2018-2017 Dec'!D47</f>
        <v>712231.01</v>
      </c>
      <c r="E30" s="28">
        <f>'Comp YTD 2018-2017 Dec'!E47</f>
        <v>0</v>
      </c>
      <c r="F30" s="28">
        <f>'Comp YTD 2018-2017 Dec'!F47</f>
        <v>297934.77999999997</v>
      </c>
      <c r="G30" s="28">
        <f>'Comp YTD 2018-2017 Dec'!G47</f>
        <v>0</v>
      </c>
      <c r="H30" s="28">
        <f>'Comp YTD 2018-2017 Dec'!H47</f>
        <v>0</v>
      </c>
      <c r="I30" s="28">
        <f t="shared" si="6"/>
        <v>3899538.8400000003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3899538.8400000003</v>
      </c>
      <c r="Y30" s="31">
        <f t="shared" ref="Y30:Y37" si="10">S30</f>
        <v>5467827.2799999993</v>
      </c>
      <c r="AA30" s="31">
        <f>I30-S30</f>
        <v>-1568288.439999999</v>
      </c>
      <c r="AB30" s="57"/>
      <c r="AC30" s="37">
        <f>I30/S30</f>
        <v>0.71317886251886153</v>
      </c>
      <c r="AD30" s="31"/>
      <c r="AE30" s="37">
        <f>AC30-1</f>
        <v>-0.28682113748113847</v>
      </c>
    </row>
    <row r="31" spans="1:31" s="19" customFormat="1" ht="30" customHeight="1" x14ac:dyDescent="0.5">
      <c r="A31" s="26" t="s">
        <v>486</v>
      </c>
      <c r="B31" s="28">
        <f>'Comp YTD 2018-2017 Dec'!B72</f>
        <v>1989158.0100000002</v>
      </c>
      <c r="C31" s="28">
        <f>'Comp YTD 2018-2017 Dec'!C72</f>
        <v>81950.770000000019</v>
      </c>
      <c r="D31" s="28">
        <f>'Comp YTD 2018-2017 Dec'!D72</f>
        <v>848277.70000000007</v>
      </c>
      <c r="E31" s="28">
        <f>'Comp YTD 2018-2017 Dec'!E72</f>
        <v>109</v>
      </c>
      <c r="F31" s="28">
        <f>'Comp YTD 2018-2017 Dec'!F72</f>
        <v>226270.68000000002</v>
      </c>
      <c r="G31" s="28">
        <f>'Comp YTD 2018-2017 Dec'!G72</f>
        <v>83781.430000000022</v>
      </c>
      <c r="H31" s="28">
        <f>'Comp YTD 2018-2017 Dec'!H72</f>
        <v>132752.72</v>
      </c>
      <c r="I31" s="28">
        <f t="shared" si="6"/>
        <v>3362300.310000001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3362300.310000001</v>
      </c>
      <c r="Y31" s="31">
        <f t="shared" si="10"/>
        <v>3164945.4600000004</v>
      </c>
      <c r="AA31" s="31">
        <f>I31-S31</f>
        <v>197354.85000000056</v>
      </c>
      <c r="AB31" s="57"/>
      <c r="AC31" s="37">
        <f>I31/S31</f>
        <v>1.0623564773846057</v>
      </c>
      <c r="AD31" s="31"/>
      <c r="AE31" s="37">
        <f>AC31-1</f>
        <v>6.2356477384605702E-2</v>
      </c>
    </row>
    <row r="32" spans="1:31" s="19" customFormat="1" ht="30" customHeight="1" x14ac:dyDescent="0.5">
      <c r="A32" s="26" t="s">
        <v>250</v>
      </c>
      <c r="B32" s="28">
        <f>'Comp YTD 2018-2017 Dec'!B101</f>
        <v>620113.81000000006</v>
      </c>
      <c r="C32" s="28">
        <f>'Comp YTD 2018-2017 Dec'!C101</f>
        <v>68893.649999999994</v>
      </c>
      <c r="D32" s="28">
        <f>'Comp YTD 2018-2017 Dec'!D101</f>
        <v>129914.87000000001</v>
      </c>
      <c r="E32" s="28">
        <f>'Comp YTD 2018-2017 Dec'!E101</f>
        <v>14505.720000000001</v>
      </c>
      <c r="F32" s="28">
        <f>'Comp YTD 2018-2017 Dec'!F101</f>
        <v>42468.58</v>
      </c>
      <c r="G32" s="28">
        <f>'Comp YTD 2018-2017 Dec'!G101</f>
        <v>2650</v>
      </c>
      <c r="H32" s="28">
        <f>'Comp YTD 2018-2017 Dec'!H101</f>
        <v>714.47000000000014</v>
      </c>
      <c r="I32" s="28">
        <f>'Comp YTD 2018-2017 Dec'!I101</f>
        <v>879261.1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879261.1</v>
      </c>
      <c r="Y32" s="31">
        <f t="shared" si="10"/>
        <v>1049263.77</v>
      </c>
      <c r="AA32" s="31">
        <f>I32-S32</f>
        <v>-170002.67000000004</v>
      </c>
      <c r="AB32" s="57"/>
      <c r="AC32" s="37">
        <f>I32/S32</f>
        <v>0.83797909080573707</v>
      </c>
      <c r="AD32" s="31"/>
      <c r="AE32" s="37">
        <f>AC32-1</f>
        <v>-0.16202090919426293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4937589.8900000006</v>
      </c>
      <c r="C33" s="38">
        <f>SUM(C30:C32)</f>
        <v>711899.4</v>
      </c>
      <c r="D33" s="38">
        <f t="shared" ref="D33:I33" si="11">SUM(D30:D32)</f>
        <v>1690423.58</v>
      </c>
      <c r="E33" s="38">
        <f t="shared" si="11"/>
        <v>14614.720000000001</v>
      </c>
      <c r="F33" s="38">
        <f t="shared" si="11"/>
        <v>566674.03999999992</v>
      </c>
      <c r="G33" s="38">
        <f>SUM(G30:G32)</f>
        <v>86431.430000000022</v>
      </c>
      <c r="H33" s="38">
        <f t="shared" si="11"/>
        <v>133467.19</v>
      </c>
      <c r="I33" s="38">
        <f t="shared" si="11"/>
        <v>8141100.2500000009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8141100.2500000009</v>
      </c>
      <c r="Y33" s="39">
        <f t="shared" si="10"/>
        <v>9682036.5099999998</v>
      </c>
      <c r="AA33" s="39">
        <f>I33-S33</f>
        <v>-1540936.2599999988</v>
      </c>
      <c r="AB33" s="57"/>
      <c r="AC33" s="41">
        <f>I33/S33</f>
        <v>0.84084585320366667</v>
      </c>
      <c r="AD33" s="39"/>
      <c r="AE33" s="41">
        <f>AC33-1</f>
        <v>-0.15915414679633333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443125.77</v>
      </c>
      <c r="C35" s="28">
        <f>'Comp YTD 2018-2017 Dec'!C120</f>
        <v>-39557.710000000006</v>
      </c>
      <c r="D35" s="28">
        <f>'Comp YTD 2018-2017 Dec'!D120</f>
        <v>137046.60999999999</v>
      </c>
      <c r="E35" s="28">
        <f>'Comp YTD 2018-2017 Dec'!E120</f>
        <v>35023.849999999991</v>
      </c>
      <c r="F35" s="28">
        <f>'Comp YTD 2018-2017 Dec'!F120</f>
        <v>-36194.26</v>
      </c>
      <c r="G35" s="28">
        <f>'Comp YTD 2018-2017 Dec'!G120</f>
        <v>229131.49000000002</v>
      </c>
      <c r="H35" s="28">
        <f>'Comp YTD 2018-2017 Dec'!H120</f>
        <v>142500</v>
      </c>
      <c r="I35" s="28">
        <f>SUM(B35:H35)</f>
        <v>911075.74999999988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911075.74999999988</v>
      </c>
      <c r="Y35" s="22">
        <f t="shared" si="10"/>
        <v>703010.23</v>
      </c>
      <c r="AA35" s="22">
        <f>I35-S35</f>
        <v>208065.5199999999</v>
      </c>
      <c r="AB35" s="58"/>
      <c r="AC35" s="37">
        <f>I35/S35</f>
        <v>1.2959637159191835</v>
      </c>
      <c r="AD35" s="23"/>
      <c r="AE35" s="37">
        <f>AC35-1</f>
        <v>0.29596371591918347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68725.50000179233</v>
      </c>
      <c r="C37" s="42">
        <f t="shared" si="13"/>
        <v>72718.640000014871</v>
      </c>
      <c r="D37" s="42">
        <f t="shared" si="13"/>
        <v>622684.29000000015</v>
      </c>
      <c r="E37" s="42">
        <f t="shared" si="13"/>
        <v>20409.12999999999</v>
      </c>
      <c r="F37" s="42">
        <f t="shared" si="13"/>
        <v>-57152.549999999806</v>
      </c>
      <c r="G37" s="42">
        <f>G27-G33+G35</f>
        <v>142700.06</v>
      </c>
      <c r="H37" s="42">
        <f t="shared" si="13"/>
        <v>9032.8099999999977</v>
      </c>
      <c r="I37" s="42">
        <f t="shared" si="13"/>
        <v>879117.88000180654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879117.88000180654</v>
      </c>
      <c r="Y37" s="43">
        <f t="shared" si="10"/>
        <v>-3240398.5199994007</v>
      </c>
      <c r="AA37" s="43">
        <f>I37-S37</f>
        <v>4119516.4000012074</v>
      </c>
      <c r="AB37" s="59"/>
      <c r="AC37" s="40">
        <f>I37/S37</f>
        <v>-0.27129930919792211</v>
      </c>
      <c r="AD37" s="39"/>
      <c r="AE37" s="40">
        <f>AC37-1</f>
        <v>-1.2712993091979221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5.8440491557121277E-7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7" zoomScale="20" zoomScaleNormal="20" zoomScaleSheetLayoutView="10" workbookViewId="0">
      <pane ySplit="4" topLeftCell="A83" activePane="bottomLeft" state="frozen"/>
      <selection activeCell="A7" sqref="A7"/>
      <selection pane="bottomLeft" activeCell="G175" sqref="G175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43159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987640134.21000004</v>
      </c>
      <c r="C12" s="81">
        <f>BPM!N8+BPM!N15</f>
        <v>57867472.350000001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1045507606.5600001</v>
      </c>
      <c r="J12" s="82">
        <f>I12/$I$19</f>
        <v>0.24990452083606465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3095980605.7100005</v>
      </c>
      <c r="C13" s="81">
        <f>BPM!N9+BPM!N16</f>
        <v>2741915.1799999997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3098722520.8900003</v>
      </c>
      <c r="J13" s="82">
        <f t="shared" ref="J13:J18" si="1">I13/$I$19</f>
        <v>0.74067827142345821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13281836.700000001</v>
      </c>
      <c r="C14" s="81">
        <f>BPM!N10</f>
        <v>275361.21000000002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13557197.910000002</v>
      </c>
      <c r="J14" s="82">
        <f t="shared" si="1"/>
        <v>3.2405360098007236E-3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11807404.91</v>
      </c>
      <c r="C15" s="81">
        <f>BPM!N11</f>
        <v>21067.5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11828472.41</v>
      </c>
      <c r="J15" s="82">
        <f t="shared" si="1"/>
        <v>2.8273239824334281E-3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5022730.9700000007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5022730.9700000007</v>
      </c>
      <c r="J16" s="82">
        <f t="shared" si="1"/>
        <v>1.2005681914417313E-3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2622625.92</v>
      </c>
      <c r="C17" s="81">
        <f>BPM!N12</f>
        <v>2039.82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2624665.7399999998</v>
      </c>
      <c r="J17" s="82">
        <f t="shared" si="1"/>
        <v>6.2736591297281297E-4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751779.69</v>
      </c>
      <c r="C18" s="81">
        <f>BPM!N14+BPM!N13</f>
        <v>2611630.5</v>
      </c>
      <c r="D18" s="81">
        <f>DEP!N17</f>
        <v>2454254.9000000004</v>
      </c>
      <c r="E18" s="81">
        <v>0</v>
      </c>
      <c r="F18" s="81">
        <f>'BSC (Dome)'!N14</f>
        <v>547363.97000000009</v>
      </c>
      <c r="G18" s="81">
        <v>0</v>
      </c>
      <c r="H18" s="81">
        <v>0</v>
      </c>
      <c r="I18" s="81">
        <f t="shared" si="0"/>
        <v>6365029.0599999996</v>
      </c>
      <c r="J18" s="82">
        <f t="shared" si="1"/>
        <v>1.5214136438285607E-3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4117107118.1100001</v>
      </c>
      <c r="C19" s="83">
        <f>SUM(C12:C18)</f>
        <v>63519486.560000002</v>
      </c>
      <c r="D19" s="83">
        <f t="shared" ref="D19:H19" si="2">SUM(D12:D18)</f>
        <v>2454254.9000000004</v>
      </c>
      <c r="E19" s="83">
        <f t="shared" si="2"/>
        <v>0</v>
      </c>
      <c r="F19" s="83">
        <f>SUM(F12:F18)</f>
        <v>547363.97000000009</v>
      </c>
      <c r="G19" s="83">
        <f>SUM(G12:G18)</f>
        <v>0</v>
      </c>
      <c r="H19" s="83">
        <f t="shared" si="2"/>
        <v>0</v>
      </c>
      <c r="I19" s="83">
        <f t="shared" si="0"/>
        <v>4183628223.54</v>
      </c>
      <c r="J19" s="84">
        <f>SUM(J12:J18)</f>
        <v>1.0000000000000002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1004400301.8899999</v>
      </c>
      <c r="C22" s="81">
        <f>BPM!N20+BPM!N31</f>
        <v>57705401.129999995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1062105703.0199999</v>
      </c>
      <c r="J22" s="82">
        <f t="shared" ref="J22:J29" si="3">I22/$I$30</f>
        <v>0.25436495017164118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3091078805.7099991</v>
      </c>
      <c r="C23" s="81">
        <f>BPM!N21+BPM!N32</f>
        <v>2518888.9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3093597694.6099992</v>
      </c>
      <c r="J23" s="82">
        <f t="shared" si="3"/>
        <v>0.74088936835862074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12587660.74</v>
      </c>
      <c r="C24" s="81">
        <f>BPM!N22+BPM!N33</f>
        <v>256268.82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12843929.560000001</v>
      </c>
      <c r="J24" s="82">
        <f t="shared" si="3"/>
        <v>3.0760078712014504E-3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12058066.880000003</v>
      </c>
      <c r="C25" s="81">
        <f>BPM!N23</f>
        <v>13142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12071208.880000003</v>
      </c>
      <c r="J25" s="82">
        <f t="shared" si="3"/>
        <v>2.8909480822313736E-3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4877108.4499999993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4877108.4499999993</v>
      </c>
      <c r="J26" s="82">
        <f t="shared" si="3"/>
        <v>1.1680244671867462E-3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2496097.4699999997</v>
      </c>
      <c r="C27" s="81">
        <f>BPM!N25</f>
        <v>916.55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2497014.0199999996</v>
      </c>
      <c r="J27" s="82">
        <f t="shared" si="3"/>
        <v>5.9801283899445288E-4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-14954112.650000002</v>
      </c>
      <c r="C28" s="81">
        <f>BPM!N26+BPM!N27+BPM!N28+BPM!N29+BPM!N30+BPM!N34+BPM!N35+BPM!N24</f>
        <v>2200693.41</v>
      </c>
      <c r="D28" s="81">
        <f>DEP!N23</f>
        <v>278193.64</v>
      </c>
      <c r="E28" s="81">
        <v>0</v>
      </c>
      <c r="F28" s="81">
        <f>'BSC (Dome)'!N17</f>
        <v>1648.2199999999998</v>
      </c>
      <c r="G28" s="81">
        <v>0</v>
      </c>
      <c r="H28" s="81">
        <v>0</v>
      </c>
      <c r="I28" s="81">
        <f t="shared" ref="I28" si="4">SUM(B28:H28)</f>
        <v>-12473577.380000001</v>
      </c>
      <c r="J28" s="82">
        <f t="shared" si="3"/>
        <v>-2.9873117898756496E-3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4112543928.4899983</v>
      </c>
      <c r="C30" s="83">
        <f t="shared" ref="C30:H30" si="5">SUM(C22:C29)</f>
        <v>62695310.809999987</v>
      </c>
      <c r="D30" s="83">
        <f t="shared" si="5"/>
        <v>278193.64</v>
      </c>
      <c r="E30" s="83">
        <f t="shared" si="5"/>
        <v>0</v>
      </c>
      <c r="F30" s="83">
        <f>SUM(F22:F29)</f>
        <v>1648.2199999999998</v>
      </c>
      <c r="G30" s="83">
        <f>SUM(G22:G29)</f>
        <v>0</v>
      </c>
      <c r="H30" s="83">
        <f t="shared" si="5"/>
        <v>0</v>
      </c>
      <c r="I30" s="83">
        <f t="shared" si="0"/>
        <v>4175519081.1599979</v>
      </c>
      <c r="J30" s="84">
        <f>SUM(J22:J29)</f>
        <v>1.0000000000000004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4563189.6200017929</v>
      </c>
      <c r="C32" s="86">
        <f t="shared" ref="C32:H32" si="6">C19-C30</f>
        <v>824175.7500000149</v>
      </c>
      <c r="D32" s="86">
        <f t="shared" si="6"/>
        <v>2176061.2600000002</v>
      </c>
      <c r="E32" s="86">
        <f t="shared" si="6"/>
        <v>0</v>
      </c>
      <c r="F32" s="86">
        <f>F19-F30</f>
        <v>545715.75000000012</v>
      </c>
      <c r="G32" s="86">
        <f>G19-G30</f>
        <v>0</v>
      </c>
      <c r="H32" s="86">
        <f t="shared" si="6"/>
        <v>0</v>
      </c>
      <c r="I32" s="86">
        <f t="shared" si="0"/>
        <v>8109142.3800018076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186">
        <f>CNT!N202</f>
        <v>1850896.77</v>
      </c>
      <c r="C37" s="186">
        <f>BPM!N43</f>
        <v>469372.33</v>
      </c>
      <c r="D37" s="186">
        <f>DEP!N29</f>
        <v>555423.87</v>
      </c>
      <c r="E37" s="81">
        <v>0</v>
      </c>
      <c r="F37" s="81">
        <f>'BSC (Dome)'!N24+'BSC (Dome)'!N32</f>
        <v>228303.50999999998</v>
      </c>
      <c r="G37" s="81">
        <v>0</v>
      </c>
      <c r="H37" s="81">
        <v>0</v>
      </c>
      <c r="I37" s="81">
        <f t="shared" si="0"/>
        <v>3103996.48</v>
      </c>
      <c r="J37" s="82">
        <f>I37/$I$47</f>
        <v>0.79599065616692244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26017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26017</v>
      </c>
      <c r="J39" s="82">
        <f t="shared" ref="J39:J46" si="7">I39/$I$47</f>
        <v>6.6718145574362325E-3</v>
      </c>
      <c r="K39" s="82"/>
    </row>
    <row r="40" spans="1:11" s="19" customFormat="1" ht="54.95" customHeight="1" x14ac:dyDescent="0.85">
      <c r="A40" s="75" t="s">
        <v>228</v>
      </c>
      <c r="B40" s="186">
        <f>CNT!N205</f>
        <v>154532.52999999997</v>
      </c>
      <c r="C40" s="186">
        <f>BPM!N44</f>
        <v>40004.019999999997</v>
      </c>
      <c r="D40" s="186">
        <f>DEP!N30</f>
        <v>48099.020000000004</v>
      </c>
      <c r="E40" s="81">
        <v>0</v>
      </c>
      <c r="F40" s="81">
        <f>'BSC (Dome)'!N26</f>
        <v>15186.350000000002</v>
      </c>
      <c r="G40" s="81">
        <v>0</v>
      </c>
      <c r="H40" s="81">
        <v>0</v>
      </c>
      <c r="I40" s="81">
        <f t="shared" si="0"/>
        <v>257821.91999999995</v>
      </c>
      <c r="J40" s="82">
        <f t="shared" si="7"/>
        <v>6.6116002578397171E-2</v>
      </c>
      <c r="K40" s="82"/>
    </row>
    <row r="41" spans="1:11" s="19" customFormat="1" ht="54.95" customHeight="1" x14ac:dyDescent="0.85">
      <c r="A41" s="75" t="s">
        <v>229</v>
      </c>
      <c r="B41" s="81">
        <f>CNT!N206</f>
        <v>172528.27000000002</v>
      </c>
      <c r="C41" s="81">
        <f>BPM!N45</f>
        <v>26663.29</v>
      </c>
      <c r="D41" s="81">
        <f>DEP!N31</f>
        <v>76806.16</v>
      </c>
      <c r="E41" s="81">
        <v>0</v>
      </c>
      <c r="F41" s="81">
        <f>'BSC (Dome)'!N27</f>
        <v>44795.31</v>
      </c>
      <c r="G41" s="81">
        <v>0</v>
      </c>
      <c r="H41" s="81">
        <v>0</v>
      </c>
      <c r="I41" s="81">
        <f t="shared" si="0"/>
        <v>320793.03000000003</v>
      </c>
      <c r="J41" s="82">
        <f t="shared" si="7"/>
        <v>8.2264350519970719E-2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23030.460000000003</v>
      </c>
      <c r="C42" s="81">
        <f>BPM!N46</f>
        <v>6794.01</v>
      </c>
      <c r="D42" s="81">
        <f>DEP!N32</f>
        <v>1952.82</v>
      </c>
      <c r="E42" s="81">
        <v>0</v>
      </c>
      <c r="F42" s="81">
        <f>'BSC (Dome)'!N28</f>
        <v>2753.04</v>
      </c>
      <c r="G42" s="81">
        <v>0</v>
      </c>
      <c r="H42" s="81">
        <v>0</v>
      </c>
      <c r="I42" s="81">
        <f t="shared" si="0"/>
        <v>34530.33</v>
      </c>
      <c r="J42" s="82">
        <f t="shared" si="7"/>
        <v>8.8549778363023052E-3</v>
      </c>
      <c r="K42" s="82"/>
    </row>
    <row r="43" spans="1:11" s="19" customFormat="1" ht="54.95" customHeight="1" x14ac:dyDescent="0.85">
      <c r="A43" s="75" t="s">
        <v>231</v>
      </c>
      <c r="B43" s="186">
        <f>CNT!N208</f>
        <v>52322.59</v>
      </c>
      <c r="C43" s="186">
        <f>BPM!N47</f>
        <v>13656.46</v>
      </c>
      <c r="D43" s="186">
        <f>DEP!N33</f>
        <v>17055.95</v>
      </c>
      <c r="E43" s="81">
        <v>0</v>
      </c>
      <c r="F43" s="81">
        <f>'BSC (Dome)'!N30</f>
        <v>4250</v>
      </c>
      <c r="G43" s="81">
        <v>0</v>
      </c>
      <c r="H43" s="81">
        <v>0</v>
      </c>
      <c r="I43" s="81">
        <f t="shared" si="0"/>
        <v>87284.999999999985</v>
      </c>
      <c r="J43" s="82">
        <f t="shared" si="7"/>
        <v>2.2383415983619228E-2</v>
      </c>
      <c r="K43" s="82"/>
    </row>
    <row r="44" spans="1:11" s="19" customFormat="1" ht="54.95" customHeight="1" x14ac:dyDescent="0.85">
      <c r="A44" s="75" t="s">
        <v>307</v>
      </c>
      <c r="B44" s="81">
        <f>CNT!N210+CNT!N209</f>
        <v>12577.039999999999</v>
      </c>
      <c r="C44" s="81">
        <v>0</v>
      </c>
      <c r="D44" s="81">
        <f>DEP!N34</f>
        <v>1481.01</v>
      </c>
      <c r="E44" s="81">
        <v>0</v>
      </c>
      <c r="F44" s="81">
        <f>'BSC (Dome)'!N29+'BSC (Dome)'!N31</f>
        <v>2646.5699999999997</v>
      </c>
      <c r="G44" s="81">
        <v>0</v>
      </c>
      <c r="H44" s="81">
        <v>0</v>
      </c>
      <c r="I44" s="81">
        <f t="shared" si="0"/>
        <v>16704.62</v>
      </c>
      <c r="J44" s="82">
        <f t="shared" si="7"/>
        <v>4.283742433502726E-3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6741.74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6741.74</v>
      </c>
      <c r="J45" s="82">
        <f t="shared" si="7"/>
        <v>1.7288557125898505E-3</v>
      </c>
      <c r="K45" s="82"/>
    </row>
    <row r="46" spans="1:11" s="19" customFormat="1" ht="54.95" customHeight="1" x14ac:dyDescent="0.85">
      <c r="A46" s="75" t="s">
        <v>246</v>
      </c>
      <c r="B46" s="186">
        <f>CNT!N241</f>
        <v>29671.670000000002</v>
      </c>
      <c r="C46" s="186">
        <f>BPM!N48</f>
        <v>4564.87</v>
      </c>
      <c r="D46" s="186">
        <f>DEP!N35</f>
        <v>11412.18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45648.72</v>
      </c>
      <c r="J46" s="82">
        <f t="shared" si="7"/>
        <v>1.1706184211259196E-2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2328318.0700000003</v>
      </c>
      <c r="C47" s="83">
        <f t="shared" si="8"/>
        <v>561054.98</v>
      </c>
      <c r="D47" s="83">
        <f t="shared" si="8"/>
        <v>712231.01</v>
      </c>
      <c r="E47" s="83">
        <f t="shared" si="8"/>
        <v>0</v>
      </c>
      <c r="F47" s="83">
        <f>SUM(F37:F46)</f>
        <v>297934.77999999997</v>
      </c>
      <c r="G47" s="83">
        <f t="shared" si="8"/>
        <v>0</v>
      </c>
      <c r="H47" s="83">
        <f t="shared" si="8"/>
        <v>0</v>
      </c>
      <c r="I47" s="83">
        <f t="shared" si="0"/>
        <v>3899538.8400000003</v>
      </c>
      <c r="J47" s="84">
        <f>SUM(J37:J46)</f>
        <v>1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387800</v>
      </c>
      <c r="C50" s="186">
        <f>BPM!N52</f>
        <v>45000</v>
      </c>
      <c r="D50" s="81">
        <f>DEP!N39</f>
        <v>337500</v>
      </c>
      <c r="E50" s="81">
        <v>0</v>
      </c>
      <c r="F50" s="81">
        <f>'BSC (Dome)'!N36</f>
        <v>9000</v>
      </c>
      <c r="G50" s="81">
        <v>0</v>
      </c>
      <c r="H50" s="81">
        <v>0</v>
      </c>
      <c r="I50" s="81">
        <f t="shared" ref="I50:I72" si="9">SUM(B50:H50)</f>
        <v>779300</v>
      </c>
      <c r="J50" s="82">
        <f t="shared" ref="J50:J71" si="10">I50/$I$72</f>
        <v>0.2317758463401503</v>
      </c>
      <c r="K50" s="82"/>
    </row>
    <row r="51" spans="1:11" s="19" customFormat="1" ht="54.95" customHeight="1" x14ac:dyDescent="0.85">
      <c r="A51" s="75" t="s">
        <v>235</v>
      </c>
      <c r="B51" s="81">
        <f>CNT!N218</f>
        <v>893.98000000000138</v>
      </c>
      <c r="C51" s="81">
        <v>0</v>
      </c>
      <c r="D51" s="81">
        <f>DEP!N40</f>
        <v>62173.06</v>
      </c>
      <c r="E51" s="81">
        <v>0</v>
      </c>
      <c r="F51" s="81">
        <f>'BSC (Dome)'!N38</f>
        <v>5384.5</v>
      </c>
      <c r="G51" s="81">
        <v>0</v>
      </c>
      <c r="H51" s="81">
        <v>0</v>
      </c>
      <c r="I51" s="81">
        <f t="shared" si="9"/>
        <v>68451.540000000008</v>
      </c>
      <c r="J51" s="82">
        <f t="shared" si="10"/>
        <v>2.0358544356199992E-2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8811.7099999999991</v>
      </c>
      <c r="C52" s="81">
        <v>0</v>
      </c>
      <c r="D52" s="81">
        <v>0</v>
      </c>
      <c r="E52" s="81">
        <v>0</v>
      </c>
      <c r="F52" s="81">
        <f>'BSC (Dome)'!N37</f>
        <v>60025.37</v>
      </c>
      <c r="G52" s="81">
        <v>0</v>
      </c>
      <c r="H52" s="81">
        <v>0</v>
      </c>
      <c r="I52" s="81">
        <f t="shared" si="9"/>
        <v>68837.08</v>
      </c>
      <c r="J52" s="82">
        <f t="shared" si="10"/>
        <v>2.0473209901943585E-2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579.03</v>
      </c>
      <c r="C53" s="81">
        <v>0</v>
      </c>
      <c r="D53" s="81">
        <v>0</v>
      </c>
      <c r="E53" s="81">
        <v>0</v>
      </c>
      <c r="F53" s="81">
        <f>'BSC (Dome)'!N39</f>
        <v>2032.02</v>
      </c>
      <c r="G53" s="81">
        <v>0</v>
      </c>
      <c r="H53" s="81">
        <v>0</v>
      </c>
      <c r="I53" s="81">
        <f t="shared" si="9"/>
        <v>2611.0500000000002</v>
      </c>
      <c r="J53" s="82">
        <f t="shared" si="10"/>
        <v>7.7656656433523611E-4</v>
      </c>
      <c r="K53" s="82"/>
    </row>
    <row r="54" spans="1:11" s="19" customFormat="1" ht="54.95" customHeight="1" x14ac:dyDescent="0.85">
      <c r="A54" s="75" t="s">
        <v>290</v>
      </c>
      <c r="B54" s="81">
        <f>CNT!N221</f>
        <v>178.45</v>
      </c>
      <c r="C54" s="81">
        <v>0</v>
      </c>
      <c r="D54" s="81">
        <f>DEP!N41</f>
        <v>1350</v>
      </c>
      <c r="E54" s="81">
        <v>0</v>
      </c>
      <c r="F54" s="81">
        <f>'BSC (Dome)'!N40</f>
        <v>5749.14</v>
      </c>
      <c r="G54" s="81">
        <v>0</v>
      </c>
      <c r="H54" s="81">
        <v>0</v>
      </c>
      <c r="I54" s="81">
        <f t="shared" si="9"/>
        <v>7277.59</v>
      </c>
      <c r="J54" s="82">
        <f t="shared" si="10"/>
        <v>2.164467575473649E-3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19715</v>
      </c>
      <c r="C55" s="81">
        <v>0</v>
      </c>
      <c r="D55" s="81">
        <f>DEP!N42</f>
        <v>19724.2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39439.199999999997</v>
      </c>
      <c r="J55" s="82">
        <f t="shared" si="10"/>
        <v>1.1729826714972996E-2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102062.59999999999</v>
      </c>
      <c r="C56" s="81">
        <v>0</v>
      </c>
      <c r="D56" s="81">
        <f>DEP!N43</f>
        <v>26534.739999999998</v>
      </c>
      <c r="E56" s="81">
        <v>0</v>
      </c>
      <c r="F56" s="81">
        <f>'BSC (Dome)'!N42</f>
        <v>2914.58</v>
      </c>
      <c r="G56" s="81">
        <v>0</v>
      </c>
      <c r="H56" s="81">
        <v>0</v>
      </c>
      <c r="I56" s="81">
        <f t="shared" si="9"/>
        <v>131511.91999999998</v>
      </c>
      <c r="J56" s="82">
        <f t="shared" si="10"/>
        <v>3.9113674530755982E-2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2719.73</v>
      </c>
      <c r="D57" s="81">
        <v>0</v>
      </c>
      <c r="E57" s="81">
        <v>0</v>
      </c>
      <c r="F57" s="81">
        <f>'BSC (Dome)'!N43+'BSC (Dome)'!N49</f>
        <v>11135.36</v>
      </c>
      <c r="G57" s="81">
        <v>0</v>
      </c>
      <c r="H57" s="81">
        <v>0</v>
      </c>
      <c r="I57" s="81">
        <f t="shared" si="9"/>
        <v>13855.09</v>
      </c>
      <c r="J57" s="82">
        <f t="shared" si="10"/>
        <v>4.1207175809944221E-3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79598.200000000012</v>
      </c>
      <c r="C58" s="81">
        <v>0</v>
      </c>
      <c r="D58" s="81">
        <f>DEP!N44</f>
        <v>47875.950000000012</v>
      </c>
      <c r="E58" s="81">
        <v>0</v>
      </c>
      <c r="F58" s="81">
        <f>'BSC (Dome)'!N45</f>
        <v>486.66999999999996</v>
      </c>
      <c r="G58" s="81">
        <v>0</v>
      </c>
      <c r="H58" s="81">
        <v>0</v>
      </c>
      <c r="I58" s="81">
        <f t="shared" si="9"/>
        <v>127960.82000000002</v>
      </c>
      <c r="J58" s="82">
        <f t="shared" si="10"/>
        <v>3.8057522589348955E-2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33500</v>
      </c>
      <c r="C59" s="81">
        <v>0</v>
      </c>
      <c r="D59" s="81">
        <f>DEP!N45</f>
        <v>11805.94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45305.94</v>
      </c>
      <c r="J59" s="82">
        <f t="shared" si="10"/>
        <v>1.3474685727878955E-2</v>
      </c>
      <c r="K59" s="82"/>
    </row>
    <row r="60" spans="1:11" s="19" customFormat="1" ht="54.95" customHeight="1" x14ac:dyDescent="0.85">
      <c r="A60" s="75" t="s">
        <v>238</v>
      </c>
      <c r="B60" s="186">
        <f>CNT!N226</f>
        <v>41020.459999999992</v>
      </c>
      <c r="C60" s="81">
        <f>BPM!N54</f>
        <v>4557.83</v>
      </c>
      <c r="D60" s="81">
        <f>DEP!N46</f>
        <v>149035.41</v>
      </c>
      <c r="E60" s="81">
        <v>0</v>
      </c>
      <c r="F60" s="81">
        <f>'BSC (Dome)'!N47</f>
        <v>21818</v>
      </c>
      <c r="G60" s="81">
        <v>0</v>
      </c>
      <c r="H60" s="81">
        <v>0</v>
      </c>
      <c r="I60" s="81">
        <f t="shared" si="9"/>
        <v>216431.7</v>
      </c>
      <c r="J60" s="82">
        <f t="shared" si="10"/>
        <v>6.4370127604693336E-2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13379.36</v>
      </c>
      <c r="G61" s="81">
        <v>0</v>
      </c>
      <c r="H61" s="81">
        <v>0</v>
      </c>
      <c r="I61" s="81">
        <f t="shared" si="9"/>
        <v>13379.36</v>
      </c>
      <c r="J61" s="82">
        <f t="shared" si="10"/>
        <v>3.9792281374176229E-3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16793.27</v>
      </c>
      <c r="C62" s="81">
        <v>0</v>
      </c>
      <c r="D62" s="81">
        <f>DEP!N47</f>
        <v>187.99</v>
      </c>
      <c r="E62" s="81">
        <v>0</v>
      </c>
      <c r="F62" s="81">
        <f>'BSC (Dome)'!N50</f>
        <v>1417.5100000000002</v>
      </c>
      <c r="G62" s="81">
        <v>0</v>
      </c>
      <c r="H62" s="81">
        <v>0</v>
      </c>
      <c r="I62" s="81">
        <f t="shared" si="9"/>
        <v>18398.770000000004</v>
      </c>
      <c r="J62" s="82">
        <f t="shared" si="10"/>
        <v>5.4720781321285364E-3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7006.41</v>
      </c>
      <c r="C63" s="81">
        <v>0</v>
      </c>
      <c r="D63" s="81">
        <f>DEP!N49</f>
        <v>3305.3999999999996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10311.81</v>
      </c>
      <c r="J63" s="82">
        <f t="shared" si="10"/>
        <v>3.0668914282674519E-3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2999.97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2999.97</v>
      </c>
      <c r="J64" s="82">
        <f t="shared" si="10"/>
        <v>8.9223737423978016E-4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1130261.8500000001</v>
      </c>
      <c r="C65" s="81">
        <f>BPM!N55</f>
        <v>3488.74</v>
      </c>
      <c r="D65" s="81">
        <f>DEP!N50</f>
        <v>94198.39</v>
      </c>
      <c r="E65" s="81">
        <v>0</v>
      </c>
      <c r="F65" s="81">
        <f>'BSC (Dome)'!N53</f>
        <v>84595.9</v>
      </c>
      <c r="G65" s="81">
        <f>'Oliari Co.'!N11</f>
        <v>83261.430000000022</v>
      </c>
      <c r="H65" s="81">
        <f>'722 Bedford St'!N11</f>
        <v>132232.72</v>
      </c>
      <c r="I65" s="81">
        <f t="shared" si="9"/>
        <v>1528039.0299999998</v>
      </c>
      <c r="J65" s="82">
        <f t="shared" si="10"/>
        <v>0.45446238857825266</v>
      </c>
      <c r="K65" s="82"/>
    </row>
    <row r="66" spans="1:11" s="19" customFormat="1" ht="54.95" customHeight="1" x14ac:dyDescent="0.85">
      <c r="A66" s="75" t="s">
        <v>254</v>
      </c>
      <c r="B66" s="81">
        <f>CNT!N252</f>
        <v>1268.68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1268.68</v>
      </c>
      <c r="J66" s="82">
        <f t="shared" si="10"/>
        <v>3.7732501056694713E-4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1663</v>
      </c>
      <c r="C67" s="81">
        <f>BPM!N67</f>
        <v>408.90000000000003</v>
      </c>
      <c r="D67" s="81">
        <f>DEP!N69</f>
        <v>449</v>
      </c>
      <c r="E67" s="81">
        <f>Lending!N11</f>
        <v>109</v>
      </c>
      <c r="F67" s="81">
        <f>'BSC (Dome)'!N48</f>
        <v>865</v>
      </c>
      <c r="G67" s="81">
        <f>'Oliari Co.'!N10</f>
        <v>520</v>
      </c>
      <c r="H67" s="81">
        <f>'722 Bedford St'!N10</f>
        <v>520</v>
      </c>
      <c r="I67" s="81">
        <f t="shared" si="9"/>
        <v>4534.8999999999996</v>
      </c>
      <c r="J67" s="82">
        <f t="shared" si="10"/>
        <v>1.3487492436390961E-3</v>
      </c>
      <c r="K67" s="82"/>
    </row>
    <row r="68" spans="1:11" s="19" customFormat="1" ht="54.95" customHeight="1" x14ac:dyDescent="0.85">
      <c r="A68" s="75" t="s">
        <v>247</v>
      </c>
      <c r="B68" s="186">
        <f>CNT!N251</f>
        <v>13030.69</v>
      </c>
      <c r="C68" s="81">
        <f>BPM!N68</f>
        <v>2299.5300000000002</v>
      </c>
      <c r="D68" s="81">
        <f>DEP!N51</f>
        <v>15061.969999999998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30392.19</v>
      </c>
      <c r="J68" s="82">
        <f t="shared" si="10"/>
        <v>9.0391063253954223E-3</v>
      </c>
      <c r="K68" s="82"/>
    </row>
    <row r="69" spans="1:11" s="19" customFormat="1" ht="54.95" customHeight="1" x14ac:dyDescent="0.85">
      <c r="A69" s="75" t="s">
        <v>248</v>
      </c>
      <c r="B69" s="186">
        <f>CNT!N255+CNT!N235+CNT!N229</f>
        <v>102322.82999999999</v>
      </c>
      <c r="C69" s="81">
        <f>BPM!N62</f>
        <v>18056.97</v>
      </c>
      <c r="D69" s="81">
        <f>DEP!N48</f>
        <v>64648.75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185028.55</v>
      </c>
      <c r="J69" s="82">
        <f t="shared" si="10"/>
        <v>5.5030346173926367E-2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26546.309999999998</v>
      </c>
      <c r="C70" s="81">
        <v>0</v>
      </c>
      <c r="D70" s="81">
        <f>DEP!N52</f>
        <v>7476.93</v>
      </c>
      <c r="E70" s="81">
        <v>0</v>
      </c>
      <c r="F70" s="81">
        <f>'BSC (Dome)'!N55</f>
        <v>2372.79</v>
      </c>
      <c r="G70" s="81">
        <v>0</v>
      </c>
      <c r="H70" s="81">
        <v>0</v>
      </c>
      <c r="I70" s="81">
        <f t="shared" si="9"/>
        <v>36396.03</v>
      </c>
      <c r="J70" s="82">
        <f t="shared" si="10"/>
        <v>1.0824740994060696E-2</v>
      </c>
      <c r="K70" s="82"/>
    </row>
    <row r="71" spans="1:11" s="19" customFormat="1" ht="54.95" customHeight="1" x14ac:dyDescent="0.85">
      <c r="A71" s="75" t="s">
        <v>369</v>
      </c>
      <c r="B71" s="81">
        <f>CNT!N233</f>
        <v>13105.57</v>
      </c>
      <c r="C71" s="81">
        <f>BPM!N61</f>
        <v>5419.07</v>
      </c>
      <c r="D71" s="81">
        <f>DEP!N53</f>
        <v>6949.9699999999993</v>
      </c>
      <c r="E71" s="81">
        <v>0</v>
      </c>
      <c r="F71" s="81">
        <f>'BSC (Dome)'!N56</f>
        <v>5094.4799999999996</v>
      </c>
      <c r="G71" s="81">
        <v>0</v>
      </c>
      <c r="H71" s="81">
        <v>0</v>
      </c>
      <c r="I71" s="81">
        <f t="shared" si="9"/>
        <v>30569.09</v>
      </c>
      <c r="J71" s="82">
        <f t="shared" si="10"/>
        <v>9.0917191153576608E-3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1989158.0100000002</v>
      </c>
      <c r="C72" s="83">
        <f t="shared" si="11"/>
        <v>81950.770000000019</v>
      </c>
      <c r="D72" s="83">
        <f t="shared" si="11"/>
        <v>848277.70000000007</v>
      </c>
      <c r="E72" s="83">
        <f t="shared" si="11"/>
        <v>109</v>
      </c>
      <c r="F72" s="83">
        <f t="shared" si="11"/>
        <v>226270.68000000002</v>
      </c>
      <c r="G72" s="83">
        <f t="shared" si="11"/>
        <v>83781.430000000022</v>
      </c>
      <c r="H72" s="83">
        <f t="shared" si="11"/>
        <v>132752.72</v>
      </c>
      <c r="I72" s="83">
        <f t="shared" si="9"/>
        <v>3362300.310000001</v>
      </c>
      <c r="J72" s="84">
        <f>SUM(J50:J71)</f>
        <v>0.99999999999999967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8050.6</v>
      </c>
      <c r="C81" s="81">
        <v>0</v>
      </c>
      <c r="D81" s="81">
        <f>DEP!N57</f>
        <v>1409.28</v>
      </c>
      <c r="E81" s="81">
        <v>0</v>
      </c>
      <c r="F81" s="81">
        <f>'BSC (Dome)'!N60</f>
        <v>2926.56</v>
      </c>
      <c r="G81" s="81">
        <v>0</v>
      </c>
      <c r="H81" s="81">
        <v>0</v>
      </c>
      <c r="I81" s="81">
        <f t="shared" ref="I81:I103" si="12">SUM(B81:H81)</f>
        <v>12386.44</v>
      </c>
      <c r="J81" s="82">
        <f t="shared" ref="J81:J100" si="13">I81/$I$101</f>
        <v>1.4087328553486558E-2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4500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4500</v>
      </c>
      <c r="J82" s="82">
        <f t="shared" si="13"/>
        <v>5.1179336831801156E-3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91089.459999999992</v>
      </c>
      <c r="C84" s="81">
        <f>BPM!N59</f>
        <v>7737.42</v>
      </c>
      <c r="D84" s="81">
        <f>DEP!N58</f>
        <v>6558.06</v>
      </c>
      <c r="E84" s="81">
        <f>Lending!N10</f>
        <v>1833.2100000000003</v>
      </c>
      <c r="F84" s="81">
        <f>'BSC (Dome)'!N61</f>
        <v>2328.1199999999994</v>
      </c>
      <c r="G84" s="81">
        <v>0</v>
      </c>
      <c r="H84" s="81">
        <f>'722 Bedford St'!N16</f>
        <v>714.47000000000014</v>
      </c>
      <c r="I84" s="81">
        <f t="shared" si="12"/>
        <v>110260.73999999999</v>
      </c>
      <c r="J84" s="82">
        <f t="shared" si="13"/>
        <v>0.12540159003963669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3495.7000000000003</v>
      </c>
      <c r="G85" s="81">
        <v>0</v>
      </c>
      <c r="H85" s="81">
        <v>0</v>
      </c>
      <c r="I85" s="81">
        <f t="shared" si="12"/>
        <v>3495.7000000000003</v>
      </c>
      <c r="J85" s="82">
        <f t="shared" si="13"/>
        <v>3.9757246169539401E-3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3820.81</v>
      </c>
      <c r="C86" s="81">
        <v>0</v>
      </c>
      <c r="D86" s="81">
        <f>DEP!N68</f>
        <v>0</v>
      </c>
      <c r="E86" s="81">
        <v>0</v>
      </c>
      <c r="F86" s="81">
        <f>'BSC (Dome)'!N66</f>
        <v>1068.2</v>
      </c>
      <c r="G86" s="81">
        <v>0</v>
      </c>
      <c r="H86" s="81">
        <v>0</v>
      </c>
      <c r="I86" s="81">
        <f t="shared" si="12"/>
        <v>4889.01</v>
      </c>
      <c r="J86" s="82">
        <f t="shared" si="13"/>
        <v>5.5603619903120934E-3</v>
      </c>
      <c r="K86" s="82"/>
    </row>
    <row r="87" spans="1:11" s="19" customFormat="1" ht="54.95" customHeight="1" x14ac:dyDescent="0.85">
      <c r="A87" s="75" t="s">
        <v>360</v>
      </c>
      <c r="B87" s="81">
        <f>CNT!N263</f>
        <v>261714.28000000003</v>
      </c>
      <c r="C87" s="81">
        <f>BPM!N64</f>
        <v>10103</v>
      </c>
      <c r="D87" s="81">
        <f>DEP!N62</f>
        <v>41000</v>
      </c>
      <c r="E87" s="81">
        <f>Lending!N13</f>
        <v>1422.5100000000002</v>
      </c>
      <c r="F87" s="81">
        <f>'BSC (Dome)'!N67</f>
        <v>4250</v>
      </c>
      <c r="G87" s="81">
        <f>'Oliari Co.'!N15</f>
        <v>2650</v>
      </c>
      <c r="H87" s="81">
        <f>'722 Bedford St'!N15</f>
        <v>0</v>
      </c>
      <c r="I87" s="81">
        <f t="shared" si="12"/>
        <v>321139.79000000004</v>
      </c>
      <c r="J87" s="82">
        <f t="shared" si="13"/>
        <v>0.36523825516675312</v>
      </c>
      <c r="K87" s="82"/>
    </row>
    <row r="88" spans="1:11" s="19" customFormat="1" ht="54.95" customHeight="1" x14ac:dyDescent="0.85">
      <c r="A88" s="75" t="s">
        <v>361</v>
      </c>
      <c r="B88" s="81">
        <f>CNT!N264</f>
        <v>68000</v>
      </c>
      <c r="C88" s="81">
        <f>BPM!N65</f>
        <v>33750</v>
      </c>
      <c r="D88" s="81">
        <f>DEP!N63</f>
        <v>20250</v>
      </c>
      <c r="E88" s="81">
        <v>0</v>
      </c>
      <c r="F88" s="81">
        <f>'BSC (Dome)'!N68</f>
        <v>13500</v>
      </c>
      <c r="G88" s="81">
        <v>0</v>
      </c>
      <c r="H88" s="81">
        <v>0</v>
      </c>
      <c r="I88" s="81">
        <f t="shared" si="12"/>
        <v>135500</v>
      </c>
      <c r="J88" s="82">
        <f t="shared" si="13"/>
        <v>0.1541066697935346</v>
      </c>
      <c r="K88" s="82"/>
    </row>
    <row r="89" spans="1:11" s="19" customFormat="1" ht="54.95" customHeight="1" x14ac:dyDescent="0.85">
      <c r="A89" s="75" t="s">
        <v>362</v>
      </c>
      <c r="B89" s="186">
        <f>CNT!N262</f>
        <v>43002.740000000005</v>
      </c>
      <c r="C89" s="81">
        <f>BPM!N63</f>
        <v>5315.4600000000009</v>
      </c>
      <c r="D89" s="81">
        <f>DEP!N61</f>
        <v>-401.22000000000025</v>
      </c>
      <c r="E89" s="81">
        <f>Lending!N12</f>
        <v>11250</v>
      </c>
      <c r="F89" s="81">
        <v>0</v>
      </c>
      <c r="G89" s="81">
        <v>0</v>
      </c>
      <c r="H89" s="81">
        <v>0</v>
      </c>
      <c r="I89" s="81">
        <f t="shared" si="12"/>
        <v>59166.98</v>
      </c>
      <c r="J89" s="82">
        <f t="shared" si="13"/>
        <v>6.7291706638676507E-2</v>
      </c>
      <c r="K89" s="82"/>
    </row>
    <row r="90" spans="1:11" s="19" customFormat="1" ht="54.95" customHeight="1" x14ac:dyDescent="0.85">
      <c r="A90" s="75" t="s">
        <v>400</v>
      </c>
      <c r="B90" s="186">
        <f>CNT!N265</f>
        <v>25579.120000000003</v>
      </c>
      <c r="C90" s="81">
        <f>BPM!N66</f>
        <v>3935.25</v>
      </c>
      <c r="D90" s="81">
        <f>DEP!N65</f>
        <v>9838.1299999999992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39352.5</v>
      </c>
      <c r="J90" s="82">
        <f t="shared" si="13"/>
        <v>4.4756330059410113E-2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6625.0199999999995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6625.0199999999995</v>
      </c>
      <c r="J91" s="82">
        <f t="shared" si="13"/>
        <v>7.5347584466093171E-3</v>
      </c>
      <c r="K91" s="82"/>
    </row>
    <row r="92" spans="1:11" s="19" customFormat="1" ht="54.95" customHeight="1" x14ac:dyDescent="0.85">
      <c r="A92" s="75" t="s">
        <v>255</v>
      </c>
      <c r="B92" s="186">
        <f>CNT!N249+CNT!N267</f>
        <v>16111.960000000006</v>
      </c>
      <c r="C92" s="81">
        <v>0</v>
      </c>
      <c r="D92" s="81">
        <f>DEP!N60</f>
        <v>28670.78</v>
      </c>
      <c r="E92" s="81">
        <v>0</v>
      </c>
      <c r="F92" s="81">
        <f>'BSC (Dome)'!N64:N64</f>
        <v>1328.0999999999997</v>
      </c>
      <c r="G92" s="81">
        <v>0</v>
      </c>
      <c r="H92" s="81">
        <v>0</v>
      </c>
      <c r="I92" s="81">
        <f t="shared" si="12"/>
        <v>46110.840000000004</v>
      </c>
      <c r="J92" s="82">
        <f t="shared" si="13"/>
        <v>5.244271582127312E-2</v>
      </c>
      <c r="K92" s="82"/>
    </row>
    <row r="93" spans="1:11" s="19" customFormat="1" ht="54.95" customHeight="1" x14ac:dyDescent="0.85">
      <c r="A93" s="75" t="s">
        <v>256</v>
      </c>
      <c r="B93" s="81">
        <f>CNT!N253</f>
        <v>27536.76</v>
      </c>
      <c r="C93" s="81">
        <f>BPM!N60</f>
        <v>912.49</v>
      </c>
      <c r="D93" s="81">
        <f>DEP!N70</f>
        <v>2477.5</v>
      </c>
      <c r="E93" s="81">
        <v>0</v>
      </c>
      <c r="F93" s="81">
        <f>'BSC (Dome)'!N70</f>
        <v>642</v>
      </c>
      <c r="G93" s="81">
        <v>0</v>
      </c>
      <c r="H93" s="81">
        <v>0</v>
      </c>
      <c r="I93" s="81">
        <f t="shared" si="12"/>
        <v>31568.75</v>
      </c>
      <c r="J93" s="82">
        <f t="shared" si="13"/>
        <v>3.590372643575384E-2</v>
      </c>
      <c r="K93" s="82"/>
    </row>
    <row r="94" spans="1:11" s="19" customFormat="1" ht="54.95" customHeight="1" x14ac:dyDescent="0.85">
      <c r="A94" s="75" t="s">
        <v>257</v>
      </c>
      <c r="B94" s="186">
        <f>CNT!N254</f>
        <v>19020.120000000003</v>
      </c>
      <c r="C94" s="81">
        <f>0</f>
        <v>0</v>
      </c>
      <c r="D94" s="81">
        <f>DEP!N67</f>
        <v>6496.38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25516.500000000004</v>
      </c>
      <c r="J94" s="82">
        <f t="shared" si="13"/>
        <v>2.9020389961525655E-2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543.67999999999995</v>
      </c>
      <c r="C95" s="81">
        <f>0</f>
        <v>0</v>
      </c>
      <c r="D95" s="81">
        <f>DEP!N59</f>
        <v>300</v>
      </c>
      <c r="E95" s="81">
        <v>0</v>
      </c>
      <c r="F95" s="81">
        <f>'BSC (Dome)'!N63</f>
        <v>2600</v>
      </c>
      <c r="G95" s="81">
        <v>0</v>
      </c>
      <c r="H95" s="81">
        <v>0</v>
      </c>
      <c r="I95" s="81">
        <f t="shared" si="12"/>
        <v>3443.68</v>
      </c>
      <c r="J95" s="82">
        <f t="shared" si="13"/>
        <v>3.9165613035763783E-3</v>
      </c>
      <c r="K95" s="82"/>
    </row>
    <row r="96" spans="1:11" s="19" customFormat="1" ht="54.95" customHeight="1" x14ac:dyDescent="0.85">
      <c r="A96" s="75" t="s">
        <v>375</v>
      </c>
      <c r="B96" s="81">
        <f>CNT!N250</f>
        <v>397.63</v>
      </c>
      <c r="C96" s="81">
        <v>0</v>
      </c>
      <c r="D96" s="81">
        <v>0</v>
      </c>
      <c r="E96" s="81">
        <v>0</v>
      </c>
      <c r="F96" s="81">
        <f>'BSC (Dome)'!N65</f>
        <v>10329.9</v>
      </c>
      <c r="G96" s="81">
        <v>0</v>
      </c>
      <c r="H96" s="81">
        <v>0</v>
      </c>
      <c r="I96" s="81">
        <f t="shared" si="12"/>
        <v>10727.529999999999</v>
      </c>
      <c r="J96" s="82">
        <f t="shared" si="13"/>
        <v>1.2200619360961151E-2</v>
      </c>
      <c r="K96" s="82"/>
    </row>
    <row r="97" spans="1:33" s="19" customFormat="1" ht="54.95" customHeight="1" x14ac:dyDescent="0.85">
      <c r="A97" s="75" t="s">
        <v>258</v>
      </c>
      <c r="B97" s="81">
        <f>CNT!N256</f>
        <v>10195.619999999999</v>
      </c>
      <c r="C97" s="81">
        <f>BPM!N69</f>
        <v>7140.03</v>
      </c>
      <c r="D97" s="81">
        <f>DEP!N66</f>
        <v>6690.94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24026.589999999997</v>
      </c>
      <c r="J97" s="82">
        <f t="shared" si="13"/>
        <v>2.732588761176856E-2</v>
      </c>
      <c r="K97" s="82"/>
    </row>
    <row r="98" spans="1:33" s="19" customFormat="1" ht="54.95" customHeight="1" x14ac:dyDescent="0.85">
      <c r="A98" s="75" t="s">
        <v>259</v>
      </c>
      <c r="B98" s="186">
        <f>CNT!N257+CNT!N268</f>
        <v>18008.54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18008.54</v>
      </c>
      <c r="J98" s="82">
        <f t="shared" si="13"/>
        <v>2.0481447433532543E-2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4592.21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4592.21</v>
      </c>
      <c r="J99" s="82">
        <f t="shared" si="13"/>
        <v>5.2228058309414576E-3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17950.280000000002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17950.280000000002</v>
      </c>
      <c r="J100" s="82">
        <f t="shared" si="13"/>
        <v>2.0415187252114306E-2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620113.81000000006</v>
      </c>
      <c r="C101" s="83">
        <f t="shared" ref="C101:H101" si="14">SUM(C81:C100)</f>
        <v>68893.649999999994</v>
      </c>
      <c r="D101" s="83">
        <f t="shared" si="14"/>
        <v>129914.87000000001</v>
      </c>
      <c r="E101" s="83">
        <f t="shared" si="14"/>
        <v>14505.720000000001</v>
      </c>
      <c r="F101" s="83">
        <f>SUM(F81:F100)</f>
        <v>42468.58</v>
      </c>
      <c r="G101" s="83">
        <f t="shared" si="14"/>
        <v>2650</v>
      </c>
      <c r="H101" s="83">
        <f t="shared" si="14"/>
        <v>714.47000000000014</v>
      </c>
      <c r="I101" s="83">
        <f t="shared" si="12"/>
        <v>879261.1</v>
      </c>
      <c r="J101" s="84">
        <f>SUM(J81:J100)</f>
        <v>1.0000000000000002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4937589.8900000006</v>
      </c>
      <c r="C103" s="86">
        <f t="shared" si="15"/>
        <v>711899.4</v>
      </c>
      <c r="D103" s="86">
        <f t="shared" si="15"/>
        <v>1690423.58</v>
      </c>
      <c r="E103" s="86">
        <f t="shared" si="15"/>
        <v>14614.720000000001</v>
      </c>
      <c r="F103" s="86">
        <f t="shared" si="15"/>
        <v>566674.03999999992</v>
      </c>
      <c r="G103" s="86">
        <f t="shared" si="15"/>
        <v>86431.430000000022</v>
      </c>
      <c r="H103" s="86">
        <f t="shared" si="15"/>
        <v>133467.19</v>
      </c>
      <c r="I103" s="86">
        <f t="shared" si="12"/>
        <v>8141100.2500000009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112500</v>
      </c>
      <c r="C106" s="81">
        <v>0</v>
      </c>
      <c r="D106" s="81">
        <f>DEP!N76</f>
        <v>112500</v>
      </c>
      <c r="E106" s="81">
        <v>0</v>
      </c>
      <c r="F106" s="81">
        <f>'BSC (Dome)'!N76+'BSC (Dome)'!N77</f>
        <v>49000</v>
      </c>
      <c r="G106" s="186">
        <f>'Oliari Co.'!N21+'Oliari Co.'!N22+'Oliari Co.'!N23</f>
        <v>204300</v>
      </c>
      <c r="H106" s="81">
        <f>'722 Bedford St'!N22+'722 Bedford St'!N23</f>
        <v>142500</v>
      </c>
      <c r="I106" s="81">
        <f t="shared" ref="I106:I122" si="16">SUM(B106:H106)</f>
        <v>620800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186">
        <f>CNT!N274</f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0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81">
        <f>-BPM!N73</f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0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49196.87</v>
      </c>
      <c r="C109" s="81">
        <f>-BPM!N74</f>
        <v>-49196.87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154224.38999999998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154224.38999999998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183407.18</v>
      </c>
      <c r="C111" s="81">
        <f>-BPM!N75</f>
        <v>9639.16</v>
      </c>
      <c r="D111" s="81">
        <f>DEP!N77</f>
        <v>24546.61</v>
      </c>
      <c r="E111" s="81">
        <f>Lending!N17</f>
        <v>39725.869999999995</v>
      </c>
      <c r="F111" s="81">
        <v>0</v>
      </c>
      <c r="G111" s="81">
        <f>'Oliari Co.'!N25</f>
        <v>32578.850000000002</v>
      </c>
      <c r="H111" s="81">
        <v>0</v>
      </c>
      <c r="I111" s="81">
        <f t="shared" si="16"/>
        <v>289897.67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-137770.54999999999</v>
      </c>
      <c r="C112" s="81">
        <v>0</v>
      </c>
      <c r="D112" s="81">
        <v>0</v>
      </c>
      <c r="E112" s="81">
        <f>Lending!N18</f>
        <v>-4702.0200000000004</v>
      </c>
      <c r="F112" s="81">
        <f>'BSC (Dome)'!N79+'BSC (Dome)'!N80</f>
        <v>-87107.24</v>
      </c>
      <c r="G112" s="81">
        <f>'Oliari Co.'!N26</f>
        <v>-7748.3700000000008</v>
      </c>
      <c r="H112" s="81">
        <f>'722 Bedford St'!N26</f>
        <v>0</v>
      </c>
      <c r="I112" s="81">
        <f t="shared" si="16"/>
        <v>-237328.18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49.6</v>
      </c>
      <c r="C113" s="81">
        <v>0</v>
      </c>
      <c r="D113" s="81">
        <v>0</v>
      </c>
      <c r="E113" s="81">
        <v>0</v>
      </c>
      <c r="F113" s="81">
        <f>'BSC (Dome)'!N78</f>
        <v>1912.98</v>
      </c>
      <c r="G113" s="81">
        <f>'Oliari Co.'!N24</f>
        <v>1.01</v>
      </c>
      <c r="H113" s="81">
        <v>0</v>
      </c>
      <c r="I113" s="81">
        <f t="shared" si="16"/>
        <v>1963.59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25869.809999999998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25869.809999999998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5035.16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5035.16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25430.999999999996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25430.999999999996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22084.030000000002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22084.030000000002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3098.28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3098.28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443125.77</v>
      </c>
      <c r="C120" s="83">
        <f t="shared" si="17"/>
        <v>-39557.710000000006</v>
      </c>
      <c r="D120" s="83">
        <f t="shared" si="17"/>
        <v>137046.60999999999</v>
      </c>
      <c r="E120" s="83">
        <f t="shared" si="17"/>
        <v>35023.849999999991</v>
      </c>
      <c r="F120" s="83">
        <f t="shared" si="17"/>
        <v>-36194.26</v>
      </c>
      <c r="G120" s="83">
        <f t="shared" si="17"/>
        <v>229131.49000000002</v>
      </c>
      <c r="H120" s="83">
        <f t="shared" si="17"/>
        <v>142500</v>
      </c>
      <c r="I120" s="83">
        <f t="shared" si="17"/>
        <v>911075.75000000012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68725.50000179233</v>
      </c>
      <c r="C122" s="91">
        <f t="shared" si="18"/>
        <v>72718.640000014871</v>
      </c>
      <c r="D122" s="91">
        <f t="shared" si="18"/>
        <v>622684.29000000015</v>
      </c>
      <c r="E122" s="91">
        <f t="shared" si="18"/>
        <v>20409.12999999999</v>
      </c>
      <c r="F122" s="91">
        <f t="shared" si="18"/>
        <v>-57152.549999999806</v>
      </c>
      <c r="G122" s="91">
        <f t="shared" si="18"/>
        <v>142700.06</v>
      </c>
      <c r="H122" s="91">
        <f t="shared" si="18"/>
        <v>9032.8099999999977</v>
      </c>
      <c r="I122" s="91">
        <f t="shared" si="16"/>
        <v>879117.88000180759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68725.50000179233</v>
      </c>
      <c r="C124" s="119">
        <f t="shared" ref="C124" si="19">C122+C123</f>
        <v>72718.640000014871</v>
      </c>
      <c r="D124" s="119">
        <f t="shared" ref="D124" si="20">D122+D123</f>
        <v>622684.29000000015</v>
      </c>
      <c r="E124" s="119">
        <f t="shared" ref="E124" si="21">E122+E123</f>
        <v>20409.12999999999</v>
      </c>
      <c r="F124" s="119">
        <f t="shared" ref="F124" si="22">F122+F123</f>
        <v>-57152.549999999806</v>
      </c>
      <c r="G124" s="119">
        <f t="shared" ref="G124" si="23">G122+G123</f>
        <v>142700.06</v>
      </c>
      <c r="H124" s="119">
        <f t="shared" ref="H124" si="24">H122+H123</f>
        <v>9032.8099999999977</v>
      </c>
      <c r="I124" s="119">
        <f>I122+I123</f>
        <v>879117.88000180759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68725.50000179233</v>
      </c>
      <c r="C173" s="162">
        <f>C32-C103+C120</f>
        <v>72718.640000014871</v>
      </c>
      <c r="D173" s="162">
        <f t="shared" ref="D173:H173" si="33">D32-D103+D120</f>
        <v>622684.29000000015</v>
      </c>
      <c r="E173" s="162">
        <f t="shared" si="33"/>
        <v>20409.12999999999</v>
      </c>
      <c r="F173" s="162">
        <f t="shared" si="33"/>
        <v>-57152.549999999806</v>
      </c>
      <c r="G173" s="162">
        <f t="shared" si="33"/>
        <v>142700.06</v>
      </c>
      <c r="H173" s="162">
        <f t="shared" si="33"/>
        <v>9032.8099999999977</v>
      </c>
      <c r="I173" s="162">
        <f t="shared" si="32"/>
        <v>879117.88000180759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(CNT!N287+0)-B173</f>
        <v>-2.2647436708211899E-6</v>
      </c>
      <c r="C174" s="128">
        <f>(BPM!N80+0)-C173</f>
        <v>7.4942363426089287E-9</v>
      </c>
      <c r="D174" s="128">
        <f>(DEP!N80-0)-D173</f>
        <v>0</v>
      </c>
      <c r="E174" s="128">
        <f>E173-Lending!N21</f>
        <v>0</v>
      </c>
      <c r="F174" s="128">
        <f>F173-'BSC (Dome)'!N83</f>
        <v>0</v>
      </c>
      <c r="G174" s="128">
        <f>('Oliari Co.'!N29+0)-G173</f>
        <v>0</v>
      </c>
      <c r="H174" s="128">
        <f>H173-'722 Bedford St'!N29</f>
        <v>0</v>
      </c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68725.50000179233</v>
      </c>
      <c r="C176" s="119">
        <f t="shared" ref="C176:H176" si="34">C173+C175</f>
        <v>72718.640000014871</v>
      </c>
      <c r="D176" s="119">
        <f t="shared" si="34"/>
        <v>622684.29000000015</v>
      </c>
      <c r="E176" s="119">
        <f t="shared" si="34"/>
        <v>20409.12999999999</v>
      </c>
      <c r="F176" s="119">
        <f t="shared" si="34"/>
        <v>-57152.549999999806</v>
      </c>
      <c r="G176" s="119">
        <f t="shared" si="34"/>
        <v>142700.06</v>
      </c>
      <c r="H176" s="119">
        <f t="shared" si="34"/>
        <v>9032.8099999999977</v>
      </c>
      <c r="I176" s="119">
        <f>I173+I175</f>
        <v>879117.88000180759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1045507606.5600001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-583096325.19999993</v>
      </c>
      <c r="H317" s="81"/>
      <c r="I317" s="82">
        <f>I12/I192</f>
        <v>0.64196554249389581</v>
      </c>
      <c r="J317" s="81"/>
      <c r="K317" s="82">
        <f>I317-1</f>
        <v>-0.35803445750610419</v>
      </c>
    </row>
    <row r="318" spans="1:12" x14ac:dyDescent="0.85">
      <c r="A318" s="75" t="s">
        <v>218</v>
      </c>
      <c r="B318" s="82"/>
      <c r="C318" s="81">
        <f t="shared" si="52"/>
        <v>3098722520.8900003</v>
      </c>
      <c r="D318" s="82"/>
      <c r="E318" s="81">
        <f t="shared" si="53"/>
        <v>1555188415.9400001</v>
      </c>
      <c r="F318" s="82"/>
      <c r="G318" s="81">
        <f t="shared" si="54"/>
        <v>1543534104.9500003</v>
      </c>
      <c r="H318" s="81"/>
      <c r="I318" s="82">
        <f>I13/I193</f>
        <v>1.9925061742548054</v>
      </c>
      <c r="J318" s="81"/>
      <c r="K318" s="82">
        <f t="shared" ref="K318:K398" si="55">I318-1</f>
        <v>0.99250617425480536</v>
      </c>
    </row>
    <row r="319" spans="1:12" x14ac:dyDescent="0.85">
      <c r="A319" s="75" t="s">
        <v>219</v>
      </c>
      <c r="B319" s="82"/>
      <c r="C319" s="81">
        <f t="shared" si="52"/>
        <v>13557197.910000002</v>
      </c>
      <c r="D319" s="82"/>
      <c r="E319" s="81">
        <f t="shared" si="53"/>
        <v>26847341.649999999</v>
      </c>
      <c r="F319" s="82"/>
      <c r="G319" s="81">
        <f t="shared" si="54"/>
        <v>-13290143.739999996</v>
      </c>
      <c r="H319" s="81"/>
      <c r="I319" s="82">
        <f>I14/I194</f>
        <v>0.504973568211734</v>
      </c>
      <c r="J319" s="81"/>
      <c r="K319" s="82">
        <f t="shared" si="55"/>
        <v>-0.495026431788266</v>
      </c>
    </row>
    <row r="320" spans="1:12" x14ac:dyDescent="0.85">
      <c r="A320" s="75" t="s">
        <v>421</v>
      </c>
      <c r="B320" s="82"/>
      <c r="C320" s="81">
        <f t="shared" si="52"/>
        <v>11828472.41</v>
      </c>
      <c r="D320" s="82"/>
      <c r="E320" s="81">
        <f t="shared" si="53"/>
        <v>43027437.709999993</v>
      </c>
      <c r="F320" s="82"/>
      <c r="G320" s="81">
        <f t="shared" si="54"/>
        <v>-31198965.299999993</v>
      </c>
      <c r="H320" s="81"/>
      <c r="I320" s="82">
        <f>I15/I195</f>
        <v>0.27490534039518111</v>
      </c>
      <c r="J320" s="81"/>
      <c r="K320" s="82">
        <f t="shared" si="55"/>
        <v>-0.72509465960481889</v>
      </c>
    </row>
    <row r="321" spans="1:11" x14ac:dyDescent="0.85">
      <c r="A321" s="75" t="s">
        <v>220</v>
      </c>
      <c r="B321" s="82"/>
      <c r="C321" s="81">
        <f t="shared" si="52"/>
        <v>5022730.9700000007</v>
      </c>
      <c r="D321" s="82"/>
      <c r="E321" s="81">
        <f t="shared" si="53"/>
        <v>1829550</v>
      </c>
      <c r="F321" s="82"/>
      <c r="G321" s="81">
        <f t="shared" si="54"/>
        <v>3193180.9700000007</v>
      </c>
      <c r="H321" s="81"/>
      <c r="I321" s="82">
        <f>I16/I196</f>
        <v>2.7453368150638138</v>
      </c>
      <c r="J321" s="81"/>
      <c r="K321" s="82">
        <f t="shared" si="55"/>
        <v>1.7453368150638138</v>
      </c>
    </row>
    <row r="322" spans="1:11" x14ac:dyDescent="0.85">
      <c r="A322" s="75" t="s">
        <v>221</v>
      </c>
      <c r="B322" s="82"/>
      <c r="C322" s="81">
        <f t="shared" si="52"/>
        <v>2624665.7399999998</v>
      </c>
      <c r="D322" s="82"/>
      <c r="E322" s="81">
        <f t="shared" si="53"/>
        <v>0</v>
      </c>
      <c r="F322" s="82"/>
      <c r="G322" s="81">
        <f t="shared" si="54"/>
        <v>2624665.7399999998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6365029.0599999996</v>
      </c>
      <c r="D323" s="82"/>
      <c r="E323" s="81">
        <f t="shared" si="53"/>
        <v>7104347.5500000007</v>
      </c>
      <c r="F323" s="82"/>
      <c r="G323" s="81">
        <f t="shared" si="54"/>
        <v>-739318.49000000115</v>
      </c>
      <c r="H323" s="81"/>
      <c r="I323" s="82">
        <f>I18/I198</f>
        <v>0.89593435782853825</v>
      </c>
      <c r="J323" s="81"/>
      <c r="K323" s="82">
        <f t="shared" si="55"/>
        <v>-0.10406564217146175</v>
      </c>
    </row>
    <row r="324" spans="1:11" x14ac:dyDescent="0.85">
      <c r="A324" s="80" t="s">
        <v>223</v>
      </c>
      <c r="B324" s="85"/>
      <c r="C324" s="83">
        <f t="shared" si="52"/>
        <v>4183628223.54</v>
      </c>
      <c r="D324" s="85"/>
      <c r="E324" s="83">
        <f t="shared" si="53"/>
        <v>3262601024.6100001</v>
      </c>
      <c r="F324" s="85"/>
      <c r="G324" s="83">
        <f t="shared" si="54"/>
        <v>921027198.92999983</v>
      </c>
      <c r="H324" s="83"/>
      <c r="I324" s="84">
        <f>I19/I199</f>
        <v>1.2822984459278457</v>
      </c>
      <c r="J324" s="83"/>
      <c r="K324" s="84">
        <f t="shared" si="55"/>
        <v>0.2822984459278457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1062105703.0199999</v>
      </c>
      <c r="D327" s="82"/>
      <c r="E327" s="81">
        <f t="shared" si="53"/>
        <v>1613885335.3399994</v>
      </c>
      <c r="F327" s="82"/>
      <c r="G327" s="81">
        <f t="shared" ref="G327:G334" si="57">I22-I202</f>
        <v>-551779632.31999958</v>
      </c>
      <c r="H327" s="81"/>
      <c r="I327" s="82">
        <f>I22/I202</f>
        <v>0.65810481064706161</v>
      </c>
      <c r="J327" s="81"/>
      <c r="K327" s="82">
        <f t="shared" si="55"/>
        <v>-0.34189518935293839</v>
      </c>
    </row>
    <row r="328" spans="1:11" x14ac:dyDescent="0.85">
      <c r="A328" s="75" t="s">
        <v>218</v>
      </c>
      <c r="B328" s="82"/>
      <c r="C328" s="81">
        <f t="shared" si="56"/>
        <v>3093597694.6099992</v>
      </c>
      <c r="D328" s="82"/>
      <c r="E328" s="81">
        <f t="shared" si="53"/>
        <v>1560246347.5300002</v>
      </c>
      <c r="F328" s="82"/>
      <c r="G328" s="81">
        <f t="shared" si="57"/>
        <v>1533351347.079999</v>
      </c>
      <c r="H328" s="81"/>
      <c r="I328" s="82">
        <f>I23/I203</f>
        <v>1.9827623371831133</v>
      </c>
      <c r="J328" s="81"/>
      <c r="K328" s="82">
        <f t="shared" si="55"/>
        <v>0.98276233718311334</v>
      </c>
    </row>
    <row r="329" spans="1:11" x14ac:dyDescent="0.85">
      <c r="A329" s="75" t="s">
        <v>219</v>
      </c>
      <c r="B329" s="82"/>
      <c r="C329" s="81">
        <f t="shared" si="56"/>
        <v>12843929.560000001</v>
      </c>
      <c r="D329" s="82"/>
      <c r="E329" s="81">
        <f t="shared" si="53"/>
        <v>36184272.859999999</v>
      </c>
      <c r="F329" s="82"/>
      <c r="G329" s="81">
        <f t="shared" si="57"/>
        <v>-23340343.299999997</v>
      </c>
      <c r="H329" s="81"/>
      <c r="I329" s="82">
        <f>I24/I204</f>
        <v>0.35495889636069922</v>
      </c>
      <c r="J329" s="81"/>
      <c r="K329" s="82">
        <f t="shared" si="55"/>
        <v>-0.64504110363930078</v>
      </c>
    </row>
    <row r="330" spans="1:11" x14ac:dyDescent="0.85">
      <c r="A330" s="75" t="s">
        <v>421</v>
      </c>
      <c r="B330" s="82"/>
      <c r="C330" s="81">
        <f t="shared" si="56"/>
        <v>12071208.880000003</v>
      </c>
      <c r="D330" s="82"/>
      <c r="E330" s="81">
        <f t="shared" si="53"/>
        <v>50965733.380000003</v>
      </c>
      <c r="F330" s="82"/>
      <c r="G330" s="81">
        <f t="shared" si="57"/>
        <v>-38894524.5</v>
      </c>
      <c r="H330" s="81"/>
      <c r="I330" s="82">
        <f>I25/I205</f>
        <v>0.23684950808020733</v>
      </c>
      <c r="J330" s="81"/>
      <c r="K330" s="82">
        <f t="shared" si="55"/>
        <v>-0.76315049191979267</v>
      </c>
    </row>
    <row r="331" spans="1:11" x14ac:dyDescent="0.85">
      <c r="A331" s="75" t="s">
        <v>220</v>
      </c>
      <c r="B331" s="82"/>
      <c r="C331" s="81">
        <f t="shared" si="56"/>
        <v>4877108.4499999993</v>
      </c>
      <c r="D331" s="82"/>
      <c r="E331" s="81">
        <f t="shared" si="53"/>
        <v>1742896.2000000002</v>
      </c>
      <c r="F331" s="82"/>
      <c r="G331" s="81">
        <f t="shared" si="57"/>
        <v>3134212.2499999991</v>
      </c>
      <c r="H331" s="81"/>
      <c r="I331" s="82">
        <f>I26/I206</f>
        <v>2.7982782049785859</v>
      </c>
      <c r="J331" s="81"/>
      <c r="K331" s="82">
        <f t="shared" si="55"/>
        <v>1.7982782049785859</v>
      </c>
    </row>
    <row r="332" spans="1:11" x14ac:dyDescent="0.85">
      <c r="A332" s="75" t="s">
        <v>221</v>
      </c>
      <c r="B332" s="82"/>
      <c r="C332" s="81">
        <f t="shared" si="56"/>
        <v>2497014.0199999996</v>
      </c>
      <c r="D332" s="82"/>
      <c r="E332" s="81">
        <f t="shared" si="53"/>
        <v>0</v>
      </c>
      <c r="F332" s="82"/>
      <c r="G332" s="81">
        <f t="shared" si="57"/>
        <v>2497014.0199999996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-12473577.380000001</v>
      </c>
      <c r="D333" s="82"/>
      <c r="E333" s="81">
        <f t="shared" si="53"/>
        <v>-9874228.9800000023</v>
      </c>
      <c r="F333" s="82"/>
      <c r="G333" s="81">
        <f t="shared" si="57"/>
        <v>-2599348.3999999985</v>
      </c>
      <c r="H333" s="81"/>
      <c r="I333" s="82">
        <f>I28/I208</f>
        <v>1.2632457081221138</v>
      </c>
      <c r="J333" s="81"/>
      <c r="K333" s="82">
        <f t="shared" ref="K333" si="58">I333-1</f>
        <v>0.26324570812211379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4175519081.1599979</v>
      </c>
      <c r="D335" s="85"/>
      <c r="E335" s="83">
        <f t="shared" si="53"/>
        <v>3256862396.8499999</v>
      </c>
      <c r="F335" s="85"/>
      <c r="G335" s="83">
        <f>SUM(G327:G334)</f>
        <v>918656684.30999947</v>
      </c>
      <c r="H335" s="83"/>
      <c r="I335" s="84">
        <f>I30/I210</f>
        <v>1.2820680066798378</v>
      </c>
      <c r="J335" s="83"/>
      <c r="K335" s="84">
        <f t="shared" si="55"/>
        <v>0.28206800667983778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8109142.3800018076</v>
      </c>
      <c r="E337" s="86">
        <f t="shared" ref="E337:E353" si="59">I212</f>
        <v>5738627.7600005995</v>
      </c>
      <c r="G337" s="86">
        <f>I32-I212</f>
        <v>2370514.620001208</v>
      </c>
      <c r="H337" s="86"/>
      <c r="I337" s="102">
        <f>I32/I212</f>
        <v>1.4130803946762631</v>
      </c>
      <c r="J337" s="86"/>
      <c r="K337" s="102">
        <f t="shared" si="55"/>
        <v>0.41308039467626312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3103996.48</v>
      </c>
      <c r="D342" s="82"/>
      <c r="E342" s="81">
        <f t="shared" si="59"/>
        <v>4240233.25</v>
      </c>
      <c r="F342" s="82"/>
      <c r="G342" s="81">
        <f t="shared" ref="G342:G352" si="61">I37-I217</f>
        <v>-1136236.77</v>
      </c>
      <c r="H342" s="81"/>
      <c r="I342" s="82">
        <f>I37/I217</f>
        <v>0.73203437098654889</v>
      </c>
      <c r="J342" s="81"/>
      <c r="K342" s="82">
        <f t="shared" si="55"/>
        <v>-0.26796562901345111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26017</v>
      </c>
      <c r="D344" s="82"/>
      <c r="E344" s="81">
        <f t="shared" si="59"/>
        <v>45842</v>
      </c>
      <c r="F344" s="82"/>
      <c r="G344" s="81">
        <f t="shared" si="61"/>
        <v>-19825</v>
      </c>
      <c r="H344" s="81"/>
      <c r="I344" s="82">
        <f t="shared" ref="I344:I349" si="62">I39/I219</f>
        <v>0.5675363204048689</v>
      </c>
      <c r="J344" s="81"/>
      <c r="K344" s="82">
        <f t="shared" si="55"/>
        <v>-0.4324636795951311</v>
      </c>
    </row>
    <row r="345" spans="1:11" x14ac:dyDescent="0.85">
      <c r="A345" s="75" t="s">
        <v>228</v>
      </c>
      <c r="B345" s="82"/>
      <c r="C345" s="81">
        <f t="shared" si="60"/>
        <v>257821.91999999995</v>
      </c>
      <c r="D345" s="82"/>
      <c r="E345" s="81">
        <f t="shared" si="59"/>
        <v>328881.89</v>
      </c>
      <c r="F345" s="82"/>
      <c r="G345" s="81">
        <f t="shared" si="61"/>
        <v>-71059.970000000059</v>
      </c>
      <c r="H345" s="81"/>
      <c r="I345" s="82">
        <f t="shared" si="62"/>
        <v>0.78393468244785369</v>
      </c>
      <c r="J345" s="81"/>
      <c r="K345" s="82">
        <f t="shared" si="55"/>
        <v>-0.21606531755214631</v>
      </c>
    </row>
    <row r="346" spans="1:11" x14ac:dyDescent="0.85">
      <c r="A346" s="75" t="s">
        <v>229</v>
      </c>
      <c r="B346" s="82"/>
      <c r="C346" s="81">
        <f t="shared" si="60"/>
        <v>320793.03000000003</v>
      </c>
      <c r="D346" s="82"/>
      <c r="E346" s="81">
        <f t="shared" si="59"/>
        <v>518346.82999999996</v>
      </c>
      <c r="F346" s="82"/>
      <c r="G346" s="81">
        <f t="shared" si="61"/>
        <v>-197553.79999999993</v>
      </c>
      <c r="H346" s="81"/>
      <c r="I346" s="82">
        <f t="shared" si="62"/>
        <v>0.61887719077977199</v>
      </c>
      <c r="J346" s="81"/>
      <c r="K346" s="82">
        <f t="shared" si="55"/>
        <v>-0.38112280922022801</v>
      </c>
    </row>
    <row r="347" spans="1:11" x14ac:dyDescent="0.85">
      <c r="A347" s="75" t="s">
        <v>230</v>
      </c>
      <c r="B347" s="82"/>
      <c r="C347" s="81">
        <f t="shared" si="60"/>
        <v>34530.33</v>
      </c>
      <c r="D347" s="82"/>
      <c r="E347" s="81">
        <f t="shared" si="59"/>
        <v>68307.47</v>
      </c>
      <c r="F347" s="82"/>
      <c r="G347" s="81">
        <f t="shared" si="61"/>
        <v>-33777.14</v>
      </c>
      <c r="H347" s="81"/>
      <c r="I347" s="82">
        <f t="shared" si="62"/>
        <v>0.50551323303293183</v>
      </c>
      <c r="J347" s="81"/>
      <c r="K347" s="82">
        <f t="shared" si="55"/>
        <v>-0.49448676696706817</v>
      </c>
    </row>
    <row r="348" spans="1:11" x14ac:dyDescent="0.85">
      <c r="A348" s="75" t="s">
        <v>231</v>
      </c>
      <c r="B348" s="82"/>
      <c r="C348" s="81">
        <f t="shared" si="60"/>
        <v>87284.999999999985</v>
      </c>
      <c r="D348" s="82"/>
      <c r="E348" s="81">
        <f t="shared" si="59"/>
        <v>123058.35</v>
      </c>
      <c r="F348" s="82"/>
      <c r="G348" s="81">
        <f t="shared" si="61"/>
        <v>-35773.35000000002</v>
      </c>
      <c r="H348" s="81"/>
      <c r="I348" s="82">
        <f t="shared" si="62"/>
        <v>0.70929766245037396</v>
      </c>
      <c r="J348" s="81"/>
      <c r="K348" s="82">
        <f t="shared" si="55"/>
        <v>-0.29070233754962604</v>
      </c>
    </row>
    <row r="349" spans="1:11" x14ac:dyDescent="0.85">
      <c r="A349" s="75" t="s">
        <v>307</v>
      </c>
      <c r="B349" s="82"/>
      <c r="C349" s="81">
        <f t="shared" si="60"/>
        <v>16704.62</v>
      </c>
      <c r="D349" s="82"/>
      <c r="E349" s="81">
        <f t="shared" si="59"/>
        <v>81057.64</v>
      </c>
      <c r="F349" s="82"/>
      <c r="G349" s="81">
        <f t="shared" si="61"/>
        <v>-64353.020000000004</v>
      </c>
      <c r="H349" s="81"/>
      <c r="I349" s="82">
        <f t="shared" si="62"/>
        <v>0.2060832267013942</v>
      </c>
      <c r="J349" s="81"/>
      <c r="K349" s="82">
        <f t="shared" si="55"/>
        <v>-0.79391677329860577</v>
      </c>
    </row>
    <row r="350" spans="1:11" x14ac:dyDescent="0.85">
      <c r="A350" s="75" t="s">
        <v>232</v>
      </c>
      <c r="B350" s="82"/>
      <c r="C350" s="81">
        <f t="shared" si="60"/>
        <v>6741.74</v>
      </c>
      <c r="D350" s="82"/>
      <c r="E350" s="81">
        <f t="shared" si="59"/>
        <v>0</v>
      </c>
      <c r="F350" s="82"/>
      <c r="G350" s="81">
        <f t="shared" si="61"/>
        <v>6741.74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45648.72</v>
      </c>
      <c r="D351" s="82"/>
      <c r="E351" s="81">
        <f t="shared" si="59"/>
        <v>62099.85</v>
      </c>
      <c r="F351" s="82"/>
      <c r="G351" s="81">
        <f t="shared" si="61"/>
        <v>-16451.129999999997</v>
      </c>
      <c r="H351" s="81"/>
      <c r="I351" s="82">
        <f>I46/I226</f>
        <v>0.73508583354066082</v>
      </c>
      <c r="J351" s="81"/>
      <c r="K351" s="82">
        <f t="shared" si="55"/>
        <v>-0.26491416645933918</v>
      </c>
    </row>
    <row r="352" spans="1:11" x14ac:dyDescent="0.85">
      <c r="A352" s="80" t="s">
        <v>233</v>
      </c>
      <c r="B352" s="85"/>
      <c r="C352" s="83">
        <f t="shared" si="60"/>
        <v>3899538.8400000003</v>
      </c>
      <c r="D352" s="85"/>
      <c r="E352" s="83">
        <f t="shared" si="59"/>
        <v>5467827.2799999993</v>
      </c>
      <c r="F352" s="85"/>
      <c r="G352" s="83">
        <f t="shared" si="61"/>
        <v>-1568288.439999999</v>
      </c>
      <c r="H352" s="83"/>
      <c r="I352" s="84">
        <f>I47/I227</f>
        <v>0.71317886251886153</v>
      </c>
      <c r="J352" s="83"/>
      <c r="K352" s="84">
        <f t="shared" si="55"/>
        <v>-0.28682113748113847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779300</v>
      </c>
      <c r="D360" s="82"/>
      <c r="E360" s="81">
        <f t="shared" si="63"/>
        <v>872400</v>
      </c>
      <c r="F360" s="82"/>
      <c r="G360" s="81">
        <f t="shared" ref="G360:G382" si="65">I50-I235</f>
        <v>-93100</v>
      </c>
      <c r="H360" s="81"/>
      <c r="I360" s="82">
        <f t="shared" ref="I360:I379" si="66">I50/I235</f>
        <v>0.89328289775332415</v>
      </c>
      <c r="J360" s="81"/>
      <c r="K360" s="82">
        <f t="shared" si="55"/>
        <v>-0.10671710224667585</v>
      </c>
    </row>
    <row r="361" spans="1:11" x14ac:dyDescent="0.85">
      <c r="A361" s="75" t="s">
        <v>235</v>
      </c>
      <c r="B361" s="82"/>
      <c r="C361" s="81">
        <f t="shared" si="64"/>
        <v>68451.540000000008</v>
      </c>
      <c r="D361" s="82"/>
      <c r="E361" s="81">
        <f t="shared" si="63"/>
        <v>205871.63999999998</v>
      </c>
      <c r="F361" s="82"/>
      <c r="G361" s="81">
        <f t="shared" si="65"/>
        <v>-137420.09999999998</v>
      </c>
      <c r="H361" s="81"/>
      <c r="I361" s="82">
        <f t="shared" si="66"/>
        <v>0.33249620977420696</v>
      </c>
      <c r="J361" s="81"/>
      <c r="K361" s="82">
        <f t="shared" si="55"/>
        <v>-0.66750379022579298</v>
      </c>
    </row>
    <row r="362" spans="1:11" x14ac:dyDescent="0.85">
      <c r="A362" s="75" t="s">
        <v>236</v>
      </c>
      <c r="B362" s="82"/>
      <c r="C362" s="81">
        <f t="shared" si="64"/>
        <v>68837.08</v>
      </c>
      <c r="D362" s="82"/>
      <c r="E362" s="81">
        <f t="shared" si="63"/>
        <v>98342.75</v>
      </c>
      <c r="F362" s="82"/>
      <c r="G362" s="81">
        <f t="shared" si="65"/>
        <v>-29505.67</v>
      </c>
      <c r="H362" s="81"/>
      <c r="I362" s="82">
        <f t="shared" si="66"/>
        <v>0.69997107056697117</v>
      </c>
      <c r="J362" s="81"/>
      <c r="K362" s="82">
        <f t="shared" si="55"/>
        <v>-0.30002892943302883</v>
      </c>
    </row>
    <row r="363" spans="1:11" x14ac:dyDescent="0.85">
      <c r="A363" s="75" t="s">
        <v>337</v>
      </c>
      <c r="B363" s="82"/>
      <c r="C363" s="81">
        <f t="shared" si="64"/>
        <v>2611.0500000000002</v>
      </c>
      <c r="D363" s="82"/>
      <c r="E363" s="81">
        <f t="shared" si="63"/>
        <v>2964.31</v>
      </c>
      <c r="F363" s="82"/>
      <c r="G363" s="81">
        <f t="shared" si="65"/>
        <v>-353.25999999999976</v>
      </c>
      <c r="H363" s="81"/>
      <c r="I363" s="82">
        <f t="shared" si="66"/>
        <v>0.88082892814854052</v>
      </c>
      <c r="J363" s="81"/>
      <c r="K363" s="82">
        <f t="shared" si="55"/>
        <v>-0.11917107185145948</v>
      </c>
    </row>
    <row r="364" spans="1:11" x14ac:dyDescent="0.85">
      <c r="A364" s="75" t="s">
        <v>290</v>
      </c>
      <c r="B364" s="82"/>
      <c r="C364" s="81">
        <f t="shared" si="64"/>
        <v>7277.59</v>
      </c>
      <c r="D364" s="82"/>
      <c r="E364" s="81">
        <f t="shared" si="63"/>
        <v>7536.36</v>
      </c>
      <c r="F364" s="82"/>
      <c r="G364" s="81">
        <f t="shared" si="65"/>
        <v>-258.76999999999953</v>
      </c>
      <c r="H364" s="81"/>
      <c r="I364" s="82">
        <f t="shared" si="66"/>
        <v>0.9656637952539423</v>
      </c>
      <c r="J364" s="81"/>
      <c r="K364" s="82">
        <f t="shared" si="55"/>
        <v>-3.4336204746057697E-2</v>
      </c>
    </row>
    <row r="365" spans="1:11" x14ac:dyDescent="0.85">
      <c r="A365" s="75" t="s">
        <v>445</v>
      </c>
      <c r="B365" s="82"/>
      <c r="C365" s="81">
        <f t="shared" si="64"/>
        <v>39439.199999999997</v>
      </c>
      <c r="D365" s="82"/>
      <c r="E365" s="81">
        <f t="shared" si="63"/>
        <v>25002</v>
      </c>
      <c r="F365" s="82"/>
      <c r="G365" s="81">
        <f t="shared" si="65"/>
        <v>14437.199999999997</v>
      </c>
      <c r="H365" s="81"/>
      <c r="I365" s="82">
        <f t="shared" si="66"/>
        <v>1.5774418046556273</v>
      </c>
      <c r="J365" s="81"/>
      <c r="K365" s="82">
        <f t="shared" si="55"/>
        <v>0.57744180465562733</v>
      </c>
    </row>
    <row r="366" spans="1:11" x14ac:dyDescent="0.85">
      <c r="A366" s="75" t="s">
        <v>237</v>
      </c>
      <c r="B366" s="82"/>
      <c r="C366" s="81">
        <f t="shared" si="64"/>
        <v>131511.91999999998</v>
      </c>
      <c r="D366" s="82"/>
      <c r="E366" s="81">
        <f t="shared" si="63"/>
        <v>220019.84000000003</v>
      </c>
      <c r="F366" s="82"/>
      <c r="G366" s="81">
        <f t="shared" si="65"/>
        <v>-88507.920000000042</v>
      </c>
      <c r="H366" s="81"/>
      <c r="I366" s="82">
        <f t="shared" si="66"/>
        <v>0.59772755038818304</v>
      </c>
      <c r="J366" s="81"/>
      <c r="K366" s="82">
        <f t="shared" si="55"/>
        <v>-0.40227244961181696</v>
      </c>
    </row>
    <row r="367" spans="1:11" x14ac:dyDescent="0.85">
      <c r="A367" s="75" t="s">
        <v>374</v>
      </c>
      <c r="B367" s="82"/>
      <c r="C367" s="81">
        <f t="shared" si="64"/>
        <v>13855.09</v>
      </c>
      <c r="D367" s="82"/>
      <c r="E367" s="81">
        <f t="shared" si="63"/>
        <v>22701.870000000003</v>
      </c>
      <c r="F367" s="82"/>
      <c r="G367" s="81">
        <f t="shared" si="65"/>
        <v>-8846.7800000000025</v>
      </c>
      <c r="H367" s="81"/>
      <c r="I367" s="82">
        <f t="shared" si="66"/>
        <v>0.61030611134677448</v>
      </c>
      <c r="J367" s="81"/>
      <c r="K367" s="82">
        <f t="shared" si="55"/>
        <v>-0.38969388865322552</v>
      </c>
    </row>
    <row r="368" spans="1:11" x14ac:dyDescent="0.85">
      <c r="A368" s="75" t="s">
        <v>239</v>
      </c>
      <c r="B368" s="82"/>
      <c r="C368" s="81">
        <f t="shared" si="64"/>
        <v>127960.82000000002</v>
      </c>
      <c r="D368" s="82"/>
      <c r="E368" s="81">
        <f t="shared" si="63"/>
        <v>162885.25000000003</v>
      </c>
      <c r="F368" s="82"/>
      <c r="G368" s="81">
        <f t="shared" si="65"/>
        <v>-34924.430000000008</v>
      </c>
      <c r="H368" s="81"/>
      <c r="I368" s="82">
        <f t="shared" si="66"/>
        <v>0.7855887503626019</v>
      </c>
      <c r="J368" s="81"/>
      <c r="K368" s="82">
        <f t="shared" si="55"/>
        <v>-0.2144112496373981</v>
      </c>
    </row>
    <row r="369" spans="1:11" x14ac:dyDescent="0.85">
      <c r="A369" s="75" t="s">
        <v>240</v>
      </c>
      <c r="B369" s="82"/>
      <c r="C369" s="81">
        <f t="shared" si="64"/>
        <v>45305.94</v>
      </c>
      <c r="D369" s="82"/>
      <c r="E369" s="81">
        <f t="shared" si="63"/>
        <v>55845.68</v>
      </c>
      <c r="F369" s="82"/>
      <c r="G369" s="81">
        <f t="shared" si="65"/>
        <v>-10539.739999999998</v>
      </c>
      <c r="H369" s="81"/>
      <c r="I369" s="82">
        <f t="shared" si="66"/>
        <v>0.81127027193508972</v>
      </c>
      <c r="J369" s="81"/>
      <c r="K369" s="82">
        <f t="shared" si="55"/>
        <v>-0.18872972806491028</v>
      </c>
    </row>
    <row r="370" spans="1:11" x14ac:dyDescent="0.85">
      <c r="A370" s="75" t="s">
        <v>238</v>
      </c>
      <c r="B370" s="82"/>
      <c r="C370" s="81">
        <f t="shared" si="64"/>
        <v>216431.7</v>
      </c>
      <c r="D370" s="82"/>
      <c r="E370" s="81">
        <f t="shared" si="63"/>
        <v>82956.56</v>
      </c>
      <c r="F370" s="82"/>
      <c r="G370" s="81">
        <f t="shared" si="65"/>
        <v>133475.14000000001</v>
      </c>
      <c r="H370" s="81"/>
      <c r="I370" s="82">
        <f t="shared" si="66"/>
        <v>2.6089763124218268</v>
      </c>
      <c r="J370" s="81"/>
      <c r="K370" s="82">
        <f t="shared" si="55"/>
        <v>1.6089763124218268</v>
      </c>
    </row>
    <row r="371" spans="1:11" x14ac:dyDescent="0.85">
      <c r="A371" s="75" t="s">
        <v>359</v>
      </c>
      <c r="B371" s="82"/>
      <c r="C371" s="81">
        <f t="shared" si="64"/>
        <v>13379.36</v>
      </c>
      <c r="D371" s="82"/>
      <c r="E371" s="81">
        <f t="shared" si="63"/>
        <v>11201.97</v>
      </c>
      <c r="F371" s="82"/>
      <c r="G371" s="81">
        <f t="shared" si="65"/>
        <v>2177.3900000000012</v>
      </c>
      <c r="H371" s="81"/>
      <c r="I371" s="82">
        <f t="shared" si="66"/>
        <v>1.194375632143275</v>
      </c>
      <c r="J371" s="81"/>
      <c r="K371" s="82">
        <f t="shared" si="55"/>
        <v>0.19437563214327502</v>
      </c>
    </row>
    <row r="372" spans="1:11" x14ac:dyDescent="0.85">
      <c r="A372" s="75" t="s">
        <v>241</v>
      </c>
      <c r="B372" s="82"/>
      <c r="C372" s="81">
        <f t="shared" si="64"/>
        <v>18398.770000000004</v>
      </c>
      <c r="D372" s="82"/>
      <c r="E372" s="81">
        <f t="shared" si="63"/>
        <v>31695.880000000005</v>
      </c>
      <c r="F372" s="82"/>
      <c r="G372" s="81">
        <f t="shared" si="65"/>
        <v>-13297.11</v>
      </c>
      <c r="H372" s="81"/>
      <c r="I372" s="82">
        <f t="shared" si="66"/>
        <v>0.58047828298188919</v>
      </c>
      <c r="J372" s="81"/>
      <c r="K372" s="82">
        <f t="shared" si="55"/>
        <v>-0.41952171701811081</v>
      </c>
    </row>
    <row r="373" spans="1:11" x14ac:dyDescent="0.85">
      <c r="A373" s="75" t="s">
        <v>242</v>
      </c>
      <c r="B373" s="82"/>
      <c r="C373" s="81">
        <f t="shared" si="64"/>
        <v>10311.81</v>
      </c>
      <c r="D373" s="82"/>
      <c r="E373" s="81">
        <f t="shared" si="63"/>
        <v>7455.39</v>
      </c>
      <c r="F373" s="82"/>
      <c r="G373" s="81">
        <f t="shared" si="65"/>
        <v>2856.4199999999992</v>
      </c>
      <c r="H373" s="81"/>
      <c r="I373" s="82">
        <f t="shared" si="66"/>
        <v>1.3831348863037345</v>
      </c>
      <c r="J373" s="81"/>
      <c r="K373" s="82">
        <f t="shared" si="55"/>
        <v>0.38313488630373449</v>
      </c>
    </row>
    <row r="374" spans="1:11" x14ac:dyDescent="0.85">
      <c r="A374" s="75" t="s">
        <v>243</v>
      </c>
      <c r="B374" s="82"/>
      <c r="C374" s="81">
        <f t="shared" si="64"/>
        <v>2999.97</v>
      </c>
      <c r="D374" s="82"/>
      <c r="E374" s="81">
        <f t="shared" si="63"/>
        <v>5609.32</v>
      </c>
      <c r="F374" s="82"/>
      <c r="G374" s="81">
        <f t="shared" si="65"/>
        <v>-2609.35</v>
      </c>
      <c r="H374" s="81"/>
      <c r="I374" s="82">
        <f t="shared" si="66"/>
        <v>0.53481883722091095</v>
      </c>
      <c r="J374" s="81"/>
      <c r="K374" s="82">
        <f t="shared" si="55"/>
        <v>-0.46518116277908905</v>
      </c>
    </row>
    <row r="375" spans="1:11" x14ac:dyDescent="0.85">
      <c r="A375" s="75" t="s">
        <v>244</v>
      </c>
      <c r="B375" s="82"/>
      <c r="C375" s="81">
        <f t="shared" si="64"/>
        <v>1528039.0299999998</v>
      </c>
      <c r="D375" s="82"/>
      <c r="E375" s="81">
        <f t="shared" si="63"/>
        <v>1237341.69</v>
      </c>
      <c r="F375" s="82"/>
      <c r="G375" s="81">
        <f t="shared" si="65"/>
        <v>290697.33999999985</v>
      </c>
      <c r="H375" s="81"/>
      <c r="I375" s="82">
        <f t="shared" si="66"/>
        <v>1.2349369962633361</v>
      </c>
      <c r="J375" s="81"/>
      <c r="K375" s="82">
        <f t="shared" si="55"/>
        <v>0.23493699626333608</v>
      </c>
    </row>
    <row r="376" spans="1:11" x14ac:dyDescent="0.85">
      <c r="A376" s="75" t="s">
        <v>254</v>
      </c>
      <c r="B376" s="82"/>
      <c r="C376" s="81">
        <f t="shared" si="64"/>
        <v>1268.68</v>
      </c>
      <c r="D376" s="82"/>
      <c r="E376" s="81">
        <f t="shared" si="63"/>
        <v>2500.2300000000005</v>
      </c>
      <c r="F376" s="82"/>
      <c r="G376" s="81">
        <f t="shared" si="65"/>
        <v>-1231.5500000000004</v>
      </c>
      <c r="H376" s="81"/>
      <c r="I376" s="82">
        <f t="shared" si="66"/>
        <v>0.5074253168708478</v>
      </c>
      <c r="J376" s="81"/>
      <c r="K376" s="82">
        <f t="shared" si="55"/>
        <v>-0.4925746831291522</v>
      </c>
    </row>
    <row r="377" spans="1:11" x14ac:dyDescent="0.85">
      <c r="A377" s="75" t="s">
        <v>356</v>
      </c>
      <c r="B377" s="82"/>
      <c r="C377" s="81">
        <f t="shared" si="64"/>
        <v>4534.8999999999996</v>
      </c>
      <c r="D377" s="82"/>
      <c r="E377" s="81">
        <f t="shared" si="63"/>
        <v>2035</v>
      </c>
      <c r="F377" s="82"/>
      <c r="G377" s="81">
        <f t="shared" si="65"/>
        <v>2499.8999999999996</v>
      </c>
      <c r="H377" s="81"/>
      <c r="I377" s="82">
        <f t="shared" si="66"/>
        <v>2.2284520884520882</v>
      </c>
      <c r="J377" s="81"/>
      <c r="K377" s="82">
        <f t="shared" si="55"/>
        <v>1.2284520884520882</v>
      </c>
    </row>
    <row r="378" spans="1:11" x14ac:dyDescent="0.85">
      <c r="A378" s="75" t="s">
        <v>247</v>
      </c>
      <c r="B378" s="82"/>
      <c r="C378" s="81">
        <f t="shared" si="64"/>
        <v>30392.19</v>
      </c>
      <c r="D378" s="82"/>
      <c r="E378" s="81">
        <f t="shared" si="63"/>
        <v>24015.25</v>
      </c>
      <c r="F378" s="82"/>
      <c r="G378" s="81">
        <f t="shared" si="65"/>
        <v>6376.9399999999987</v>
      </c>
      <c r="H378" s="81"/>
      <c r="I378" s="82">
        <f t="shared" si="66"/>
        <v>1.2655371066301619</v>
      </c>
      <c r="J378" s="81"/>
      <c r="K378" s="82">
        <f t="shared" si="55"/>
        <v>0.26553710663016195</v>
      </c>
    </row>
    <row r="379" spans="1:11" x14ac:dyDescent="0.85">
      <c r="A379" s="75" t="s">
        <v>248</v>
      </c>
      <c r="B379" s="82"/>
      <c r="C379" s="81">
        <f t="shared" si="64"/>
        <v>185028.55</v>
      </c>
      <c r="D379" s="82"/>
      <c r="E379" s="81">
        <f t="shared" si="63"/>
        <v>86564.47</v>
      </c>
      <c r="F379" s="82"/>
      <c r="G379" s="81">
        <f t="shared" si="65"/>
        <v>98464.079999999987</v>
      </c>
      <c r="H379" s="81"/>
      <c r="I379" s="82">
        <f t="shared" si="66"/>
        <v>2.1374652903206131</v>
      </c>
      <c r="J379" s="81"/>
      <c r="K379" s="82">
        <f t="shared" si="55"/>
        <v>1.1374652903206131</v>
      </c>
    </row>
    <row r="380" spans="1:11" x14ac:dyDescent="0.85">
      <c r="A380" s="75" t="s">
        <v>368</v>
      </c>
      <c r="B380" s="82"/>
      <c r="C380" s="81">
        <f t="shared" si="64"/>
        <v>36396.03</v>
      </c>
      <c r="D380" s="82"/>
      <c r="E380" s="81">
        <f t="shared" si="63"/>
        <v>0</v>
      </c>
      <c r="F380" s="82"/>
      <c r="G380" s="81">
        <f t="shared" si="65"/>
        <v>36396.03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30569.09</v>
      </c>
      <c r="D381" s="82"/>
      <c r="E381" s="81">
        <f t="shared" si="63"/>
        <v>0</v>
      </c>
      <c r="F381" s="82"/>
      <c r="G381" s="81">
        <f t="shared" si="65"/>
        <v>30569.09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3362300.310000001</v>
      </c>
      <c r="D382" s="85"/>
      <c r="E382" s="83">
        <f t="shared" si="63"/>
        <v>3164945.4600000004</v>
      </c>
      <c r="F382" s="85"/>
      <c r="G382" s="83">
        <f t="shared" si="65"/>
        <v>197354.85000000056</v>
      </c>
      <c r="H382" s="83"/>
      <c r="I382" s="84">
        <f>I72/I257</f>
        <v>1.0623564773846057</v>
      </c>
      <c r="J382" s="83"/>
      <c r="K382" s="84">
        <f t="shared" si="55"/>
        <v>6.2356477384605702E-2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12386.44</v>
      </c>
      <c r="D385" s="82"/>
      <c r="E385" s="81">
        <f t="shared" si="63"/>
        <v>13513.7</v>
      </c>
      <c r="F385" s="82"/>
      <c r="G385" s="81">
        <f t="shared" ref="G385:G405" si="68">I81-I260</f>
        <v>-1127.2600000000002</v>
      </c>
      <c r="H385" s="81"/>
      <c r="I385" s="82">
        <f>I81/I260</f>
        <v>0.9165839111420262</v>
      </c>
      <c r="J385" s="81"/>
      <c r="K385" s="82">
        <f t="shared" si="55"/>
        <v>-8.3416088857973802E-2</v>
      </c>
    </row>
    <row r="386" spans="1:11" x14ac:dyDescent="0.85">
      <c r="A386" s="75" t="s">
        <v>391</v>
      </c>
      <c r="B386" s="82"/>
      <c r="C386" s="81">
        <f t="shared" si="67"/>
        <v>4500</v>
      </c>
      <c r="D386" s="82"/>
      <c r="E386" s="81">
        <f t="shared" si="63"/>
        <v>2500</v>
      </c>
      <c r="F386" s="82"/>
      <c r="G386" s="81">
        <f t="shared" si="68"/>
        <v>2000</v>
      </c>
      <c r="H386" s="81"/>
      <c r="I386" s="82">
        <f>I82/I261</f>
        <v>1.8</v>
      </c>
      <c r="J386" s="81"/>
      <c r="K386" s="82">
        <f>I386-1</f>
        <v>0.8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110260.73999999999</v>
      </c>
      <c r="D388" s="82"/>
      <c r="E388" s="81">
        <f t="shared" si="63"/>
        <v>161852.93999999997</v>
      </c>
      <c r="F388" s="82"/>
      <c r="G388" s="81">
        <f t="shared" si="68"/>
        <v>-51592.199999999983</v>
      </c>
      <c r="H388" s="81"/>
      <c r="I388" s="82">
        <f>I84/I263</f>
        <v>0.68124026662722348</v>
      </c>
      <c r="J388" s="81"/>
      <c r="K388" s="82">
        <f t="shared" si="55"/>
        <v>-0.31875973337277652</v>
      </c>
    </row>
    <row r="389" spans="1:11" x14ac:dyDescent="0.85">
      <c r="A389" s="75" t="s">
        <v>363</v>
      </c>
      <c r="B389" s="82"/>
      <c r="C389" s="81">
        <f t="shared" si="67"/>
        <v>3495.7000000000003</v>
      </c>
      <c r="D389" s="82"/>
      <c r="E389" s="81">
        <f t="shared" si="63"/>
        <v>4003.21</v>
      </c>
      <c r="F389" s="82"/>
      <c r="G389" s="81">
        <f t="shared" si="68"/>
        <v>-507.50999999999976</v>
      </c>
      <c r="H389" s="81"/>
      <c r="I389" s="82">
        <f>I85/I264</f>
        <v>0.87322423754936673</v>
      </c>
      <c r="J389" s="81"/>
      <c r="K389" s="82">
        <f t="shared" si="55"/>
        <v>-0.12677576245063327</v>
      </c>
    </row>
    <row r="390" spans="1:11" x14ac:dyDescent="0.85">
      <c r="A390" s="75" t="s">
        <v>253</v>
      </c>
      <c r="B390" s="82"/>
      <c r="C390" s="81">
        <f t="shared" si="67"/>
        <v>4889.01</v>
      </c>
      <c r="D390" s="82"/>
      <c r="E390" s="81">
        <f t="shared" si="63"/>
        <v>15688.54</v>
      </c>
      <c r="F390" s="82"/>
      <c r="G390" s="81">
        <f t="shared" si="68"/>
        <v>-10799.53</v>
      </c>
      <c r="H390" s="81"/>
      <c r="I390" s="82">
        <f>I86/I265</f>
        <v>0.31162938042673188</v>
      </c>
      <c r="J390" s="81"/>
      <c r="K390" s="82">
        <f t="shared" si="55"/>
        <v>-0.68837061957326817</v>
      </c>
    </row>
    <row r="391" spans="1:11" x14ac:dyDescent="0.85">
      <c r="A391" s="75" t="s">
        <v>360</v>
      </c>
      <c r="B391" s="82"/>
      <c r="C391" s="81">
        <f t="shared" si="67"/>
        <v>321139.79000000004</v>
      </c>
      <c r="D391" s="82"/>
      <c r="E391" s="81">
        <f t="shared" ref="E391:E407" si="69">I266</f>
        <v>642324.84</v>
      </c>
      <c r="F391" s="82"/>
      <c r="G391" s="81">
        <f t="shared" si="68"/>
        <v>-321185.04999999993</v>
      </c>
      <c r="H391" s="81"/>
      <c r="I391" s="82">
        <f>I87/I266</f>
        <v>0.49996476860524353</v>
      </c>
      <c r="J391" s="81"/>
      <c r="K391" s="82">
        <f t="shared" si="55"/>
        <v>-0.50003523139475647</v>
      </c>
    </row>
    <row r="392" spans="1:11" x14ac:dyDescent="0.85">
      <c r="A392" s="75" t="s">
        <v>361</v>
      </c>
      <c r="B392" s="82"/>
      <c r="C392" s="81">
        <f t="shared" si="67"/>
        <v>135500</v>
      </c>
      <c r="D392" s="82"/>
      <c r="E392" s="81">
        <f t="shared" si="69"/>
        <v>13542.06</v>
      </c>
      <c r="F392" s="82"/>
      <c r="G392" s="81">
        <f t="shared" si="68"/>
        <v>121957.94</v>
      </c>
      <c r="H392" s="81"/>
      <c r="I392" s="82">
        <f>I88/I267</f>
        <v>10.00586321431156</v>
      </c>
      <c r="J392" s="81"/>
      <c r="K392" s="82">
        <f t="shared" si="55"/>
        <v>9.0058632143115602</v>
      </c>
    </row>
    <row r="393" spans="1:11" x14ac:dyDescent="0.85">
      <c r="A393" s="75" t="s">
        <v>362</v>
      </c>
      <c r="B393" s="82"/>
      <c r="C393" s="81">
        <f t="shared" si="67"/>
        <v>59166.98</v>
      </c>
      <c r="D393" s="82"/>
      <c r="E393" s="81">
        <f t="shared" si="69"/>
        <v>16751.25</v>
      </c>
      <c r="F393" s="82"/>
      <c r="G393" s="81">
        <f t="shared" si="68"/>
        <v>42415.73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39352.5</v>
      </c>
      <c r="D394" s="82"/>
      <c r="E394" s="81">
        <f t="shared" si="69"/>
        <v>0</v>
      </c>
      <c r="F394" s="82"/>
      <c r="G394" s="81">
        <f t="shared" si="68"/>
        <v>39352.5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6625.0199999999995</v>
      </c>
      <c r="D395" s="82"/>
      <c r="E395" s="81">
        <f t="shared" si="69"/>
        <v>0</v>
      </c>
      <c r="F395" s="82"/>
      <c r="G395" s="81">
        <f t="shared" si="68"/>
        <v>6625.0199999999995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46110.840000000004</v>
      </c>
      <c r="D396" s="82"/>
      <c r="E396" s="81">
        <f t="shared" si="69"/>
        <v>7449.76</v>
      </c>
      <c r="F396" s="82"/>
      <c r="G396" s="81">
        <f t="shared" si="68"/>
        <v>38661.08</v>
      </c>
      <c r="H396" s="81"/>
      <c r="I396" s="82">
        <f>I92/I271</f>
        <v>6.1895738923133097</v>
      </c>
      <c r="J396" s="81"/>
      <c r="K396" s="82">
        <f t="shared" si="55"/>
        <v>5.1895738923133097</v>
      </c>
    </row>
    <row r="397" spans="1:11" x14ac:dyDescent="0.85">
      <c r="A397" s="75" t="s">
        <v>256</v>
      </c>
      <c r="B397" s="82"/>
      <c r="C397" s="81">
        <f t="shared" si="67"/>
        <v>31568.75</v>
      </c>
      <c r="D397" s="82"/>
      <c r="E397" s="81">
        <f t="shared" si="69"/>
        <v>49272.77</v>
      </c>
      <c r="F397" s="82"/>
      <c r="G397" s="81">
        <f t="shared" si="68"/>
        <v>-17704.019999999997</v>
      </c>
      <c r="H397" s="81"/>
      <c r="I397" s="82">
        <f>I93/I272</f>
        <v>0.6406936326088426</v>
      </c>
      <c r="J397" s="81"/>
      <c r="K397" s="82">
        <f t="shared" si="55"/>
        <v>-0.3593063673911574</v>
      </c>
    </row>
    <row r="398" spans="1:11" x14ac:dyDescent="0.85">
      <c r="A398" s="75" t="s">
        <v>257</v>
      </c>
      <c r="B398" s="82"/>
      <c r="C398" s="81">
        <f t="shared" si="67"/>
        <v>25516.500000000004</v>
      </c>
      <c r="D398" s="82"/>
      <c r="E398" s="81">
        <f t="shared" si="69"/>
        <v>29498.560000000001</v>
      </c>
      <c r="F398" s="82"/>
      <c r="G398" s="81">
        <f t="shared" si="68"/>
        <v>-3982.0599999999977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3443.68</v>
      </c>
      <c r="D399" s="82"/>
      <c r="E399" s="81">
        <f t="shared" si="69"/>
        <v>5337.99</v>
      </c>
      <c r="F399" s="82"/>
      <c r="G399" s="81">
        <f t="shared" si="68"/>
        <v>-1894.31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10727.529999999999</v>
      </c>
      <c r="D400" s="82"/>
      <c r="E400" s="81">
        <f t="shared" si="69"/>
        <v>12151.36</v>
      </c>
      <c r="F400" s="82"/>
      <c r="G400" s="81">
        <f t="shared" si="68"/>
        <v>-1423.8300000000017</v>
      </c>
      <c r="H400" s="81"/>
      <c r="I400" s="82">
        <f>I96/I275</f>
        <v>0.88282546151212693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24026.589999999997</v>
      </c>
      <c r="D401" s="82"/>
      <c r="E401" s="81">
        <f t="shared" si="69"/>
        <v>53434.720000000001</v>
      </c>
      <c r="F401" s="82"/>
      <c r="G401" s="81">
        <f t="shared" si="68"/>
        <v>-29408.130000000005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18008.54</v>
      </c>
      <c r="D402" s="82"/>
      <c r="E402" s="81">
        <f t="shared" si="69"/>
        <v>0</v>
      </c>
      <c r="F402" s="82"/>
      <c r="G402" s="81">
        <f t="shared" si="68"/>
        <v>18008.54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4592.21</v>
      </c>
      <c r="D403" s="82"/>
      <c r="E403" s="81">
        <f t="shared" si="69"/>
        <v>21942.07</v>
      </c>
      <c r="F403" s="82"/>
      <c r="G403" s="81">
        <f t="shared" si="68"/>
        <v>-17349.86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17950.280000000002</v>
      </c>
      <c r="D404" s="82"/>
      <c r="E404" s="81">
        <f t="shared" si="69"/>
        <v>0</v>
      </c>
      <c r="F404" s="82"/>
      <c r="G404" s="81">
        <f t="shared" si="68"/>
        <v>17950.280000000002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879261.1</v>
      </c>
      <c r="D405" s="85"/>
      <c r="E405" s="83">
        <f t="shared" si="69"/>
        <v>1049263.77</v>
      </c>
      <c r="F405" s="85"/>
      <c r="G405" s="83">
        <f t="shared" si="68"/>
        <v>-170002.67000000004</v>
      </c>
      <c r="H405" s="83"/>
      <c r="I405" s="105">
        <f>I101/I280</f>
        <v>0.83797909080573707</v>
      </c>
      <c r="J405" s="83"/>
      <c r="K405" s="84">
        <f>I405-1</f>
        <v>-0.16202090919426293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8141100.2500000009</v>
      </c>
      <c r="E407" s="86">
        <f t="shared" si="69"/>
        <v>9682036.5099999979</v>
      </c>
      <c r="G407" s="86">
        <f>I103-I282</f>
        <v>-1540936.259999997</v>
      </c>
      <c r="H407" s="86"/>
      <c r="I407" s="106">
        <f>I103/I282</f>
        <v>0.84084585320366678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620800</v>
      </c>
      <c r="D414" s="82"/>
      <c r="E414" s="81">
        <f t="shared" si="70"/>
        <v>676025.61</v>
      </c>
      <c r="F414" s="82"/>
      <c r="G414" s="81">
        <f t="shared" ref="G414:G428" si="72">I106-I290</f>
        <v>-55225.609999999986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0</v>
      </c>
      <c r="D415" s="82"/>
      <c r="E415" s="81">
        <f t="shared" si="70"/>
        <v>414056.25</v>
      </c>
      <c r="F415" s="82"/>
      <c r="G415" s="81">
        <f t="shared" si="72"/>
        <v>-414056.25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0</v>
      </c>
      <c r="D416" s="82"/>
      <c r="E416" s="81">
        <f t="shared" si="70"/>
        <v>-412777.5</v>
      </c>
      <c r="F416" s="82"/>
      <c r="G416" s="81">
        <f t="shared" si="72"/>
        <v>412777.5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154224.38999999998</v>
      </c>
      <c r="D418" s="82"/>
      <c r="E418" s="81">
        <f t="shared" si="70"/>
        <v>0</v>
      </c>
      <c r="F418" s="82"/>
      <c r="G418" s="81">
        <f t="shared" si="72"/>
        <v>154224.38999999998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289897.67</v>
      </c>
      <c r="D419" s="82"/>
      <c r="E419" s="81">
        <f t="shared" si="70"/>
        <v>509287.49</v>
      </c>
      <c r="F419" s="82"/>
      <c r="G419" s="81">
        <f t="shared" si="72"/>
        <v>-219389.82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-237328.18</v>
      </c>
      <c r="D420" s="82"/>
      <c r="E420" s="81">
        <f t="shared" si="70"/>
        <v>-402718.26</v>
      </c>
      <c r="F420" s="82"/>
      <c r="G420" s="81">
        <f t="shared" si="72"/>
        <v>165390.08000000002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1963.59</v>
      </c>
      <c r="D421" s="82"/>
      <c r="E421" s="81">
        <f t="shared" si="70"/>
        <v>0</v>
      </c>
      <c r="F421" s="82"/>
      <c r="G421" s="81">
        <f t="shared" si="72"/>
        <v>1963.59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25869.809999999998</v>
      </c>
      <c r="D422" s="82"/>
      <c r="E422" s="81">
        <f t="shared" si="70"/>
        <v>0</v>
      </c>
      <c r="F422" s="82"/>
      <c r="G422" s="81">
        <f t="shared" si="72"/>
        <v>25869.809999999998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5035.16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25430.999999999996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22084.030000000002</v>
      </c>
      <c r="D425" s="82"/>
      <c r="E425" s="81">
        <f t="shared" si="70"/>
        <v>0</v>
      </c>
      <c r="F425" s="82"/>
      <c r="G425" s="81">
        <f t="shared" si="72"/>
        <v>22084.030000000002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3098.28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911075.75000000012</v>
      </c>
      <c r="D428" s="82"/>
      <c r="E428" s="83">
        <f>I304</f>
        <v>703010.23</v>
      </c>
      <c r="F428" s="82"/>
      <c r="G428" s="83">
        <f t="shared" si="72"/>
        <v>208065.52000000014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879117.88000180759</v>
      </c>
      <c r="D430" s="90"/>
      <c r="E430" s="91">
        <f>I306</f>
        <v>-3240398.5199994007</v>
      </c>
      <c r="F430" s="90"/>
      <c r="G430" s="91">
        <f>I122-I306</f>
        <v>4119516.4000012083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40" activePane="bottomLeft" state="frozen"/>
      <selection activeCell="C20" sqref="C20"/>
      <selection pane="bottomLeft" activeCell="I93" sqref="I93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SUM(B8:J8)</f>
        <v>27055.069999999996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SUM(B9:J9)</f>
        <v>4360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800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1173170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800432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49917.5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329746.64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11999.99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56773.7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2454254.9000000004</v>
      </c>
    </row>
    <row r="19" spans="1:14" x14ac:dyDescent="0.25">
      <c r="A19" s="4" t="s">
        <v>279</v>
      </c>
      <c r="N19" s="5">
        <f>SUM(B19:J19)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 t="shared" ref="N20:N22" si="3">SUM(B20:J20)</f>
        <v>103943.62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si="3"/>
        <v>168314.96000000002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5935.0599999999995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278193.64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2176061.2600000002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>SUM(B28:J28)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 t="shared" ref="N29:N35" si="6">SUM(B29:J29)</f>
        <v>555423.87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si="6"/>
        <v>48099.020000000004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76806.16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1952.82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17055.95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1481.01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11412.18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712231.01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>SUM(B39:J39)</f>
        <v>337500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ref="N40:N53" si="11">SUM(B40:J40)</f>
        <v>62173.06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1350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19724.2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26534.739999999998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47875.950000000012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11805.94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149035.41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187.99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64648.75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3305.3999999999996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94198.39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1"/>
        <v>15061.969999999998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7476.93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6949.9699999999993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847828.70000000007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>SUM(B57:J57)</f>
        <v>1409.28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ref="N58:N70" si="15">SUM(B58:J58)</f>
        <v>6558.06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300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28670.78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-401.22000000000025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41000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20250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6625.0199999999995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9838.1299999999992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6690.94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6496.38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449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2477.5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130363.87000000001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1690423.58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>SUM(B76:J76)</f>
        <v>112500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>SUM(B77:J77)</f>
        <v>24546.61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2">SUM(C76:C77)</f>
        <v>14988.89</v>
      </c>
      <c r="D78" s="7">
        <f t="shared" si="22"/>
        <v>15270.21</v>
      </c>
      <c r="E78" s="7">
        <f>SUM(E76:E77)</f>
        <v>15166.67</v>
      </c>
      <c r="F78" s="7">
        <f t="shared" si="22"/>
        <v>15255.56</v>
      </c>
      <c r="G78" s="7">
        <f t="shared" ref="G78:M78" si="23">SUM(G76:G77)</f>
        <v>15166.67</v>
      </c>
      <c r="H78" s="7">
        <f t="shared" si="23"/>
        <v>15255.56</v>
      </c>
      <c r="I78" s="7">
        <f t="shared" si="23"/>
        <v>15500</v>
      </c>
      <c r="J78" s="7">
        <f t="shared" si="23"/>
        <v>15833.33</v>
      </c>
      <c r="K78" s="7">
        <f t="shared" si="23"/>
        <v>15944.44</v>
      </c>
      <c r="L78" s="7">
        <f t="shared" ref="L78" si="24">SUM(L76:L77)</f>
        <v>15833.33</v>
      </c>
      <c r="M78" s="7">
        <f t="shared" si="23"/>
        <v>15961.11</v>
      </c>
      <c r="N78" s="7">
        <f>SUM(N76:N77)</f>
        <v>137046.60999999999</v>
      </c>
    </row>
    <row r="80" spans="1:15" ht="15.75" thickBot="1" x14ac:dyDescent="0.3">
      <c r="A80" s="4" t="s">
        <v>300</v>
      </c>
      <c r="B80" s="9">
        <f t="shared" ref="B80:N80" si="25">B25-B73+B78</f>
        <v>-1834.0699999999943</v>
      </c>
      <c r="C80" s="9">
        <f t="shared" si="25"/>
        <v>8655.3500000000204</v>
      </c>
      <c r="D80" s="9">
        <f t="shared" si="25"/>
        <v>83095.280000000028</v>
      </c>
      <c r="E80" s="9">
        <f t="shared" si="25"/>
        <v>32817.569999999978</v>
      </c>
      <c r="F80" s="9">
        <f t="shared" si="25"/>
        <v>177775.43</v>
      </c>
      <c r="G80" s="9">
        <f t="shared" si="25"/>
        <v>87212.919999999955</v>
      </c>
      <c r="H80" s="9">
        <f t="shared" si="25"/>
        <v>115696.81999999999</v>
      </c>
      <c r="I80" s="9">
        <f t="shared" si="25"/>
        <v>116860.41000000002</v>
      </c>
      <c r="J80" s="9">
        <f t="shared" ref="J80:L80" si="26">J25-J73+J78</f>
        <v>2404.5800000002328</v>
      </c>
      <c r="K80" s="9">
        <f t="shared" si="26"/>
        <v>133766.34000000003</v>
      </c>
      <c r="L80" s="9">
        <f t="shared" si="26"/>
        <v>21245.390000000029</v>
      </c>
      <c r="M80" s="9">
        <f t="shared" si="25"/>
        <v>67100.700000000026</v>
      </c>
      <c r="N80" s="9">
        <f t="shared" si="25"/>
        <v>622684.29000000015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7">ROUND((C82-C80),2)</f>
        <v>0</v>
      </c>
      <c r="D83" s="63">
        <f t="shared" si="27"/>
        <v>0</v>
      </c>
      <c r="E83" s="63">
        <f t="shared" si="27"/>
        <v>0</v>
      </c>
      <c r="F83" s="63">
        <f t="shared" si="27"/>
        <v>0</v>
      </c>
      <c r="G83" s="63">
        <f t="shared" ref="G83:J83" si="28">ROUND((G82-G80),2)</f>
        <v>0</v>
      </c>
      <c r="H83" s="63">
        <f t="shared" si="28"/>
        <v>0</v>
      </c>
      <c r="I83" s="63">
        <f t="shared" si="28"/>
        <v>0</v>
      </c>
      <c r="J83" s="63">
        <f t="shared" si="28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>ROUND((N82-N80),2)</f>
        <v>222112.43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37" activePane="bottomLeft" state="frozen"/>
      <selection activeCell="C20" sqref="C20"/>
      <selection pane="bottomLeft" activeCell="N47" sqref="N47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SUM(B8:J8)</f>
        <v>57942545.32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SUM(B9:J9)</f>
        <v>2764026.57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275361.21000000002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21067.5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2039.82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6762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2604868.5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-75072.97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-22111.39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63519486.560000002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SUM(B20:J20)</f>
        <v>57702041.619999997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2518864.37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256347.83000000002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13142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6762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916.55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329932.41000000003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4338.9400000000005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985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820.8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3359.51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24.53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-79.010000000000005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1129099.76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728752.58000000007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62695310.80999998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824175.75000002235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SUM(B43:J43)</f>
        <v>469372.33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40004.019999999997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26663.29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6794.01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252">
        <f t="shared" si="9"/>
        <v>13656.46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4564.87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561054.98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 t="shared" ref="N52:N55" si="13">SUM(B52:J52)</f>
        <v>45000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3"/>
        <v>2719.73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4557.83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3488.74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55766.3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 t="shared" ref="N59:N69" si="16">SUM(B59:J59)</f>
        <v>7737.42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si="16"/>
        <v>912.49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5419.07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18056.97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5315.4600000000009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10103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33750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3935.25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408.90000000000003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2299.5300000000002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7140.03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95078.12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 t="shared" ref="N73:N75" si="19">SUM(B73:J73)</f>
        <v>0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si="19"/>
        <v>49196.87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-9639.16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39557.710000000006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751457.11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72718.640000022366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7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B21" sqref="B21:J21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SUM(B9:J9)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>SUM(B10:J10)</f>
        <v>1833.2100000000003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>SUM(B11:J11)</f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>SUM(B12:J12)</f>
        <v>11250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>SUM(B13:J13)</f>
        <v>1422.5100000000002</v>
      </c>
    </row>
    <row r="14" spans="1:14" s="5" customFormat="1" x14ac:dyDescent="0.25">
      <c r="A14" s="4" t="s">
        <v>296</v>
      </c>
      <c r="B14" s="7">
        <f t="shared" ref="B14:N14" si="0">SUM(B9:B13)</f>
        <v>327.78999999999996</v>
      </c>
      <c r="C14" s="7">
        <f t="shared" si="0"/>
        <v>218.72</v>
      </c>
      <c r="D14" s="7">
        <f t="shared" si="0"/>
        <v>219.51</v>
      </c>
      <c r="E14" s="7">
        <f t="shared" si="0"/>
        <v>218.41</v>
      </c>
      <c r="F14" s="7">
        <f t="shared" si="0"/>
        <v>1466.38</v>
      </c>
      <c r="G14" s="7">
        <f t="shared" si="0"/>
        <v>1705.13</v>
      </c>
      <c r="H14" s="7">
        <f t="shared" si="0"/>
        <v>1819.3000000000002</v>
      </c>
      <c r="I14" s="7">
        <f t="shared" si="0"/>
        <v>4319.3</v>
      </c>
      <c r="J14" s="7">
        <f t="shared" si="0"/>
        <v>4320.18</v>
      </c>
      <c r="K14" s="7">
        <f t="shared" si="0"/>
        <v>4330.47</v>
      </c>
      <c r="L14" s="7">
        <f t="shared" si="0"/>
        <v>4319.53</v>
      </c>
      <c r="M14" s="7">
        <f t="shared" si="0"/>
        <v>8619.5300000000007</v>
      </c>
      <c r="N14" s="7">
        <f t="shared" si="0"/>
        <v>14614.720000000001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>SUM(B17:J17)</f>
        <v>39725.869999999995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>SUM(B18:J18)</f>
        <v>-4702.0200000000004</v>
      </c>
    </row>
    <row r="19" spans="1:15" s="5" customFormat="1" x14ac:dyDescent="0.25">
      <c r="A19" s="4" t="s">
        <v>323</v>
      </c>
      <c r="B19" s="7">
        <f t="shared" ref="B19:N19" si="1">SUM(B17:B18)</f>
        <v>2862.54</v>
      </c>
      <c r="C19" s="7">
        <f t="shared" si="1"/>
        <v>2308.61</v>
      </c>
      <c r="D19" s="7">
        <f t="shared" si="1"/>
        <v>2555.94</v>
      </c>
      <c r="E19" s="7">
        <f t="shared" si="1"/>
        <v>2144.6799999999998</v>
      </c>
      <c r="F19" s="7">
        <f t="shared" si="1"/>
        <v>3006.2</v>
      </c>
      <c r="G19" s="7">
        <f t="shared" si="1"/>
        <v>5236.5</v>
      </c>
      <c r="H19" s="7">
        <f t="shared" si="1"/>
        <v>5405.0199999999995</v>
      </c>
      <c r="I19" s="7">
        <f t="shared" ref="I19:L19" si="2">SUM(I17:I18)</f>
        <v>7775.93</v>
      </c>
      <c r="J19" s="7">
        <f t="shared" si="2"/>
        <v>3728.4300000000003</v>
      </c>
      <c r="K19" s="7">
        <f t="shared" si="2"/>
        <v>3852.71</v>
      </c>
      <c r="L19" s="7">
        <f t="shared" si="2"/>
        <v>3895.14</v>
      </c>
      <c r="M19" s="7">
        <f t="shared" si="1"/>
        <v>3745.2999999999997</v>
      </c>
      <c r="N19" s="7">
        <f t="shared" si="1"/>
        <v>35023.849999999991</v>
      </c>
    </row>
    <row r="21" spans="1:15" ht="15.75" thickBot="1" x14ac:dyDescent="0.3">
      <c r="A21" s="4" t="s">
        <v>300</v>
      </c>
      <c r="B21" s="9">
        <f t="shared" ref="B21:N21" si="3">B19-B14</f>
        <v>2534.75</v>
      </c>
      <c r="C21" s="9">
        <f t="shared" si="3"/>
        <v>2089.8900000000003</v>
      </c>
      <c r="D21" s="9">
        <f t="shared" si="3"/>
        <v>2336.4300000000003</v>
      </c>
      <c r="E21" s="9">
        <f t="shared" si="3"/>
        <v>1926.2699999999998</v>
      </c>
      <c r="F21" s="9">
        <f t="shared" si="3"/>
        <v>1539.8199999999997</v>
      </c>
      <c r="G21" s="9">
        <f t="shared" si="3"/>
        <v>3531.37</v>
      </c>
      <c r="H21" s="9">
        <f t="shared" si="3"/>
        <v>3585.7199999999993</v>
      </c>
      <c r="I21" s="9">
        <f t="shared" ref="I21:L21" si="4">I19-I14</f>
        <v>3456.63</v>
      </c>
      <c r="J21" s="9">
        <f t="shared" si="4"/>
        <v>-591.75</v>
      </c>
      <c r="K21" s="9">
        <f t="shared" si="4"/>
        <v>-477.76000000000022</v>
      </c>
      <c r="L21" s="9">
        <f t="shared" si="4"/>
        <v>-424.38999999999987</v>
      </c>
      <c r="M21" s="9">
        <f t="shared" si="3"/>
        <v>-4874.2300000000014</v>
      </c>
      <c r="N21" s="9">
        <f t="shared" si="3"/>
        <v>20409.12999999999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52" activePane="bottomLeft" state="frozen"/>
      <selection activeCell="C20" sqref="C20"/>
      <selection pane="bottomLeft" activeCell="B83" sqref="B83:J8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SUM(B8:J8)</f>
        <v>1350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SUM(B9:J9)</f>
        <v>2676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614.08000000000004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6433.1399999999994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536235.10000000009</v>
      </c>
      <c r="O13" s="5">
        <f>N13-774850.51</f>
        <v>-238615.40999999992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547363.97000000009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>SUM(B17:J17)</f>
        <v>1648.2199999999998</v>
      </c>
    </row>
    <row r="18" spans="1:14" s="5" customFormat="1" x14ac:dyDescent="0.25">
      <c r="A18" s="4" t="s">
        <v>282</v>
      </c>
      <c r="B18" s="7">
        <f t="shared" ref="B18:M18" si="3">SUM(B17:B17)</f>
        <v>489.92</v>
      </c>
      <c r="C18" s="7">
        <f t="shared" si="3"/>
        <v>578.66999999999996</v>
      </c>
      <c r="D18" s="7">
        <f t="shared" si="3"/>
        <v>0</v>
      </c>
      <c r="E18" s="7">
        <f t="shared" si="3"/>
        <v>0</v>
      </c>
      <c r="F18" s="7">
        <f>SUM(F17:F17)</f>
        <v>0</v>
      </c>
      <c r="G18" s="7">
        <f t="shared" ref="G18:L18" si="4">SUM(G17:G17)</f>
        <v>579.63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281.19</v>
      </c>
      <c r="M18" s="7">
        <f t="shared" si="3"/>
        <v>0</v>
      </c>
      <c r="N18" s="7">
        <f>SUM(N17:N17)</f>
        <v>1648.2199999999998</v>
      </c>
    </row>
    <row r="20" spans="1:14" s="5" customFormat="1" ht="15.75" thickBot="1" x14ac:dyDescent="0.3">
      <c r="A20" s="4" t="s">
        <v>211</v>
      </c>
      <c r="B20" s="8">
        <f t="shared" ref="B20:M20" si="5">B14-B18</f>
        <v>142281.44999999998</v>
      </c>
      <c r="C20" s="8">
        <f t="shared" si="5"/>
        <v>131356.12999999998</v>
      </c>
      <c r="D20" s="8">
        <f t="shared" si="5"/>
        <v>124581.86</v>
      </c>
      <c r="E20" s="8">
        <f t="shared" si="5"/>
        <v>77635.17</v>
      </c>
      <c r="F20" s="8">
        <f>F14-F18</f>
        <v>28754.35</v>
      </c>
      <c r="G20" s="8">
        <f t="shared" ref="G20:L20" si="6">G14-G18</f>
        <v>13428.060000000001</v>
      </c>
      <c r="H20" s="8">
        <f t="shared" si="6"/>
        <v>7035</v>
      </c>
      <c r="I20" s="8">
        <f t="shared" si="6"/>
        <v>12346.73</v>
      </c>
      <c r="J20" s="8">
        <f t="shared" si="6"/>
        <v>8297</v>
      </c>
      <c r="K20" s="8">
        <f t="shared" si="6"/>
        <v>15287.32</v>
      </c>
      <c r="L20" s="8">
        <f t="shared" si="6"/>
        <v>129518.14</v>
      </c>
      <c r="M20" s="8">
        <f t="shared" si="5"/>
        <v>100419.92</v>
      </c>
      <c r="N20" s="8">
        <f>N14-N18</f>
        <v>545715.75000000012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>SUM(B23:J23)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 t="shared" ref="N24:N32" si="7">SUM(B24:J24)</f>
        <v>178573.00999999998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si="7"/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7"/>
        <v>15186.350000000002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7"/>
        <v>44795.31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7"/>
        <v>2753.04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7"/>
        <v>1071.02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7"/>
        <v>4250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7"/>
        <v>1575.55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7"/>
        <v>49730.5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8">SUM(C24:C32)</f>
        <v>44244.71</v>
      </c>
      <c r="D33" s="7">
        <f t="shared" si="8"/>
        <v>63308.95</v>
      </c>
      <c r="E33" s="7">
        <f t="shared" si="8"/>
        <v>33488.33</v>
      </c>
      <c r="F33" s="7">
        <f t="shared" ref="F33:M33" si="9">SUM(F24:F32)</f>
        <v>27479.37</v>
      </c>
      <c r="G33" s="7">
        <f t="shared" si="9"/>
        <v>27095.67</v>
      </c>
      <c r="H33" s="7">
        <f t="shared" si="9"/>
        <v>24193.09</v>
      </c>
      <c r="I33" s="7">
        <f t="shared" si="9"/>
        <v>23287.040000000001</v>
      </c>
      <c r="J33" s="7">
        <f t="shared" si="9"/>
        <v>24372.260000000002</v>
      </c>
      <c r="K33" s="7">
        <f t="shared" ref="K33:L33" si="10">SUM(K24:K32)</f>
        <v>21971.439999999999</v>
      </c>
      <c r="L33" s="7">
        <f t="shared" si="10"/>
        <v>40662.76</v>
      </c>
      <c r="M33" s="7">
        <f t="shared" si="9"/>
        <v>52113.23</v>
      </c>
      <c r="N33" s="7">
        <f>SUM(N24:N32)</f>
        <v>297934.77999999997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>SUM(B36:J36)</f>
        <v>9000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ref="N37:N56" si="11">SUM(B37:J37)</f>
        <v>60025.37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1"/>
        <v>5384.5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1"/>
        <v>2032.02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1"/>
        <v>5749.14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1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1"/>
        <v>2914.58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1"/>
        <v>7078.85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1"/>
        <v>13379.36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1"/>
        <v>486.66999999999996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1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1"/>
        <v>21818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1"/>
        <v>865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1"/>
        <v>4056.51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1"/>
        <v>1417.5100000000002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1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1"/>
        <v>84595.9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1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1"/>
        <v>2372.79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1"/>
        <v>5094.4799999999996</v>
      </c>
    </row>
    <row r="57" spans="1:14" s="5" customFormat="1" x14ac:dyDescent="0.25">
      <c r="A57" s="4" t="s">
        <v>334</v>
      </c>
      <c r="B57" s="7">
        <f t="shared" ref="B57:M57" si="12">SUM(B36:B56)</f>
        <v>42252.19</v>
      </c>
      <c r="C57" s="7">
        <f t="shared" si="12"/>
        <v>21778.43</v>
      </c>
      <c r="D57" s="7">
        <f t="shared" si="12"/>
        <v>40785.010000000009</v>
      </c>
      <c r="E57" s="7">
        <f t="shared" si="12"/>
        <v>28457.43</v>
      </c>
      <c r="F57" s="7">
        <f>SUM(F36:F56)</f>
        <v>23283.91</v>
      </c>
      <c r="G57" s="7">
        <f t="shared" ref="G57:L57" si="13">SUM(G36:G56)</f>
        <v>18206.140000000003</v>
      </c>
      <c r="H57" s="7">
        <f t="shared" si="13"/>
        <v>17827.490000000002</v>
      </c>
      <c r="I57" s="7">
        <f t="shared" si="13"/>
        <v>16741.75</v>
      </c>
      <c r="J57" s="7">
        <f t="shared" si="13"/>
        <v>16938.330000000002</v>
      </c>
      <c r="K57" s="7">
        <f t="shared" si="13"/>
        <v>23414.87</v>
      </c>
      <c r="L57" s="7">
        <f t="shared" si="13"/>
        <v>23629.79</v>
      </c>
      <c r="M57" s="7">
        <f t="shared" si="12"/>
        <v>30511.739999999998</v>
      </c>
      <c r="N57" s="7">
        <f>SUM(N36:N56)</f>
        <v>226270.68000000002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>SUM(B60:J60)</f>
        <v>2926.56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ref="N61:N70" si="14">SUM(B61:J61)</f>
        <v>2328.1199999999994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4"/>
        <v>3495.7000000000003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4"/>
        <v>2600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4"/>
        <v>1328.0999999999997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4"/>
        <v>10329.9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4"/>
        <v>1068.2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4"/>
        <v>4250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4"/>
        <v>13500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4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4"/>
        <v>642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5">SUM(C60:C70)</f>
        <v>11588.320000000002</v>
      </c>
      <c r="D71" s="7">
        <f t="shared" si="15"/>
        <v>3552.63</v>
      </c>
      <c r="E71" s="7">
        <f t="shared" si="15"/>
        <v>7049.9199999999992</v>
      </c>
      <c r="F71" s="7">
        <f t="shared" ref="F71:M71" si="16">SUM(F60:F70)</f>
        <v>3620.46</v>
      </c>
      <c r="G71" s="7">
        <f t="shared" si="16"/>
        <v>3606.5</v>
      </c>
      <c r="H71" s="7">
        <f t="shared" si="16"/>
        <v>2794.74</v>
      </c>
      <c r="I71" s="7">
        <f t="shared" si="16"/>
        <v>2949.4700000000003</v>
      </c>
      <c r="J71" s="7">
        <f t="shared" si="16"/>
        <v>2705.38</v>
      </c>
      <c r="K71" s="7">
        <f t="shared" ref="K71:L71" si="17">SUM(K60:K70)</f>
        <v>2814.5</v>
      </c>
      <c r="L71" s="7">
        <f t="shared" si="17"/>
        <v>2884.02</v>
      </c>
      <c r="M71" s="7">
        <f t="shared" si="16"/>
        <v>7226.91</v>
      </c>
      <c r="N71" s="7">
        <f>SUM(N60:N70)</f>
        <v>42468.58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8">B33+B57+B71</f>
        <v>77318.710000000006</v>
      </c>
      <c r="C73" s="8">
        <f t="shared" si="18"/>
        <v>77611.460000000006</v>
      </c>
      <c r="D73" s="8">
        <f t="shared" si="18"/>
        <v>107646.59000000001</v>
      </c>
      <c r="E73" s="8">
        <f t="shared" si="18"/>
        <v>68995.680000000008</v>
      </c>
      <c r="F73" s="8">
        <f>F33+F57+F71</f>
        <v>54383.74</v>
      </c>
      <c r="G73" s="8">
        <f t="shared" ref="G73:L73" si="19">G33+G57+G71</f>
        <v>48908.31</v>
      </c>
      <c r="H73" s="8">
        <f t="shared" si="19"/>
        <v>44815.32</v>
      </c>
      <c r="I73" s="8">
        <f t="shared" si="19"/>
        <v>42978.26</v>
      </c>
      <c r="J73" s="8">
        <f t="shared" si="19"/>
        <v>44015.97</v>
      </c>
      <c r="K73" s="8">
        <f t="shared" si="19"/>
        <v>48200.81</v>
      </c>
      <c r="L73" s="8">
        <f t="shared" si="19"/>
        <v>67176.570000000007</v>
      </c>
      <c r="M73" s="8">
        <f t="shared" si="18"/>
        <v>89851.88</v>
      </c>
      <c r="N73" s="8">
        <f>N33+N57+N71</f>
        <v>566674.03999999992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>SUM(B76:J76)</f>
        <v>45000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ref="N77:N80" si="20">SUM(B77:J77)</f>
        <v>4000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0"/>
        <v>1912.98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0"/>
        <v>-32578.850000000002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0"/>
        <v>-54528.39</v>
      </c>
    </row>
    <row r="81" spans="1:15" x14ac:dyDescent="0.25">
      <c r="A81" s="4" t="s">
        <v>299</v>
      </c>
      <c r="B81" s="7">
        <f t="shared" ref="B81:M81" si="21">SUM(B76:B80)</f>
        <v>-1916.6600000000008</v>
      </c>
      <c r="C81" s="7">
        <f t="shared" si="21"/>
        <v>-3732.07</v>
      </c>
      <c r="D81" s="7">
        <f t="shared" si="21"/>
        <v>-3714.34</v>
      </c>
      <c r="E81" s="7">
        <f t="shared" si="21"/>
        <v>-3696.57</v>
      </c>
      <c r="F81" s="7">
        <f>SUM(F76:F80)</f>
        <v>-4678.75</v>
      </c>
      <c r="G81" s="7">
        <f t="shared" ref="G81:L81" si="22">SUM(G76:G80)</f>
        <v>-4660.88</v>
      </c>
      <c r="H81" s="7">
        <f t="shared" si="22"/>
        <v>-4642.95</v>
      </c>
      <c r="I81" s="7">
        <f t="shared" si="22"/>
        <v>-4624.9799999999996</v>
      </c>
      <c r="J81" s="7">
        <f t="shared" si="22"/>
        <v>-4527.0600000000004</v>
      </c>
      <c r="K81" s="7">
        <f t="shared" si="22"/>
        <v>-4588.8899999999994</v>
      </c>
      <c r="L81" s="7">
        <f t="shared" si="22"/>
        <v>-4570.7700000000004</v>
      </c>
      <c r="M81" s="7">
        <f t="shared" si="21"/>
        <v>-3552.6</v>
      </c>
      <c r="N81" s="7">
        <f>SUM(N76:N80)</f>
        <v>-36194.259999999995</v>
      </c>
    </row>
    <row r="83" spans="1:15" ht="15.75" thickBot="1" x14ac:dyDescent="0.3">
      <c r="A83" s="4" t="s">
        <v>300</v>
      </c>
      <c r="B83" s="9">
        <f t="shared" ref="B83:M83" si="23">B20-B73+B81</f>
        <v>63046.079999999973</v>
      </c>
      <c r="C83" s="9">
        <f t="shared" si="23"/>
        <v>50012.599999999969</v>
      </c>
      <c r="D83" s="9">
        <f t="shared" si="23"/>
        <v>13220.929999999989</v>
      </c>
      <c r="E83" s="9">
        <f t="shared" si="23"/>
        <v>4942.919999999991</v>
      </c>
      <c r="F83" s="9">
        <f>F20-F73+F81</f>
        <v>-30308.14</v>
      </c>
      <c r="G83" s="9">
        <f t="shared" ref="G83:L83" si="24">G20-G73+G81</f>
        <v>-40141.129999999997</v>
      </c>
      <c r="H83" s="9">
        <f t="shared" si="24"/>
        <v>-42423.27</v>
      </c>
      <c r="I83" s="9">
        <f t="shared" si="24"/>
        <v>-35256.51</v>
      </c>
      <c r="J83" s="9">
        <f t="shared" si="24"/>
        <v>-40246.03</v>
      </c>
      <c r="K83" s="9">
        <f t="shared" si="24"/>
        <v>-37502.379999999997</v>
      </c>
      <c r="L83" s="9">
        <f t="shared" si="24"/>
        <v>57770.799999999988</v>
      </c>
      <c r="M83" s="9">
        <f t="shared" si="23"/>
        <v>7015.4399999999932</v>
      </c>
      <c r="N83" s="9">
        <f>N20-N73+N81</f>
        <v>-57152.549999999799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5">B83-B85</f>
        <v>0</v>
      </c>
      <c r="C86" s="5">
        <f t="shared" si="25"/>
        <v>0</v>
      </c>
      <c r="D86" s="5">
        <f t="shared" si="25"/>
        <v>0</v>
      </c>
      <c r="E86" s="5">
        <f t="shared" si="25"/>
        <v>-9.0949470177292824E-12</v>
      </c>
      <c r="F86" s="5">
        <f t="shared" si="25"/>
        <v>0</v>
      </c>
      <c r="G86" s="5">
        <f t="shared" ref="G86:L86" si="26">G83-G85</f>
        <v>0</v>
      </c>
      <c r="H86" s="5">
        <f t="shared" si="26"/>
        <v>0</v>
      </c>
      <c r="I86" s="5">
        <f t="shared" si="26"/>
        <v>0</v>
      </c>
      <c r="J86" s="5">
        <f t="shared" si="26"/>
        <v>0</v>
      </c>
      <c r="K86" s="5">
        <f t="shared" si="26"/>
        <v>0</v>
      </c>
      <c r="L86" s="5">
        <f t="shared" si="26"/>
        <v>0</v>
      </c>
      <c r="M86" s="5">
        <f t="shared" si="25"/>
        <v>0</v>
      </c>
      <c r="N86" s="5">
        <f>N83-N85</f>
        <v>-27283.8599999998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B29" sqref="B29:J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SUM(B10:J10)</f>
        <v>520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SUM(B11:J11)</f>
        <v>83261.430000000022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83781.430000000022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SUM(B15:J15)</f>
        <v>2650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2650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86431.430000000022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>SUM(B21:J21)</f>
        <v>150300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>SUM(B22:J22)</f>
        <v>9000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>SUM(B23:J23)</f>
        <v>45000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SUM(B24:J24)</f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>SUM(B25:J25)</f>
        <v>32578.850000000002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>SUM(B26:J26)</f>
        <v>-7748.3700000000008</v>
      </c>
    </row>
    <row r="27" spans="1:15" s="5" customFormat="1" x14ac:dyDescent="0.25">
      <c r="A27" s="4" t="s">
        <v>299</v>
      </c>
      <c r="B27" s="7">
        <f t="shared" ref="B27:M27" si="6">SUM(B21:B26)</f>
        <v>20531.109999999997</v>
      </c>
      <c r="C27" s="7">
        <f t="shared" si="6"/>
        <v>20512.43</v>
      </c>
      <c r="D27" s="7">
        <f t="shared" si="6"/>
        <v>20494.7</v>
      </c>
      <c r="E27" s="7">
        <f t="shared" si="6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7">SUM(H21:H26)</f>
        <v>20423.309999999998</v>
      </c>
      <c r="I27" s="7">
        <f t="shared" si="7"/>
        <v>20405.34</v>
      </c>
      <c r="J27" s="7">
        <f t="shared" si="7"/>
        <v>65387.32</v>
      </c>
      <c r="K27" s="7">
        <f t="shared" si="7"/>
        <v>25508.14</v>
      </c>
      <c r="L27" s="7">
        <f t="shared" si="7"/>
        <v>25559.46</v>
      </c>
      <c r="M27" s="7">
        <f t="shared" si="6"/>
        <v>25548.239999999998</v>
      </c>
      <c r="N27" s="7">
        <f>SUM(N21:N26)</f>
        <v>229131.49000000002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8">C27-C18</f>
        <v>10996.16</v>
      </c>
      <c r="D29" s="9">
        <f t="shared" si="8"/>
        <v>10978.43</v>
      </c>
      <c r="E29" s="9">
        <f t="shared" si="8"/>
        <v>10440.66</v>
      </c>
      <c r="F29" s="9">
        <f>F27-F18</f>
        <v>10942.84</v>
      </c>
      <c r="G29" s="9">
        <f>G27-G18</f>
        <v>10924.969999999998</v>
      </c>
      <c r="H29" s="9">
        <f t="shared" ref="H29:L29" si="9">H27-H18</f>
        <v>10642.039999999997</v>
      </c>
      <c r="I29" s="9">
        <f t="shared" si="9"/>
        <v>10889.07</v>
      </c>
      <c r="J29" s="9">
        <f t="shared" si="9"/>
        <v>55871.05</v>
      </c>
      <c r="K29" s="9">
        <f t="shared" si="9"/>
        <v>15991.869999999999</v>
      </c>
      <c r="L29" s="9">
        <f t="shared" si="9"/>
        <v>16045.189999999999</v>
      </c>
      <c r="M29" s="9">
        <f t="shared" si="8"/>
        <v>16032.019999999999</v>
      </c>
      <c r="N29" s="9">
        <f>N27-N18</f>
        <v>142700.06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K36" sqref="K36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SUM(B10:J10)</f>
        <v>520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SUM(B11:J11)</f>
        <v>132232.72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132752.72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SUM(B15:J15)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SUM(B16:J16)</f>
        <v>714.47000000000014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714.47000000000014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133467.19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SUM(B22:J22)</f>
        <v>75000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SUM(B23:J23)</f>
        <v>67500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SUM(B24:J24)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SUM(B25:J25)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SUM(B26:J26)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142500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9032.8099999999977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48" activePane="bottomRight" state="frozen"/>
      <selection activeCell="C20" sqref="C20"/>
      <selection pane="topRight" activeCell="C20" sqref="C20"/>
      <selection pane="bottomLeft" activeCell="C20" sqref="C20"/>
      <selection pane="bottomRight" activeCell="N281" sqref="N281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SUM(B5:J5)</f>
        <v>987640134.21000004</v>
      </c>
      <c r="P5" s="130">
        <f t="shared" ref="P5:P73" si="2">(N5-M5)/11</f>
        <v>84462257.891818181</v>
      </c>
      <c r="Q5" s="130">
        <f t="shared" ref="Q5:Q73" si="3">M5-P5</f>
        <v>-25906960.491818182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SUM(B6:J6)</f>
        <v>3095980605.71</v>
      </c>
      <c r="P6" s="130">
        <f t="shared" si="2"/>
        <v>270143293.92000002</v>
      </c>
      <c r="Q6" s="130">
        <f t="shared" si="3"/>
        <v>-145738921.33000001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13281836.700000001</v>
      </c>
      <c r="P7" s="130">
        <f t="shared" si="2"/>
        <v>1102802.2727272729</v>
      </c>
      <c r="Q7" s="130">
        <f t="shared" si="3"/>
        <v>48209.427272727014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11807404.91</v>
      </c>
      <c r="P8" s="130">
        <f t="shared" si="2"/>
        <v>586935.08272727276</v>
      </c>
      <c r="Q8" s="130">
        <f t="shared" si="3"/>
        <v>4764183.917272727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5022730.9700000007</v>
      </c>
      <c r="P9" s="130">
        <f t="shared" si="2"/>
        <v>418683.27000000008</v>
      </c>
      <c r="Q9" s="130">
        <f t="shared" si="3"/>
        <v>-1468.2700000000768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2622625.92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4116355338.4199996</v>
      </c>
      <c r="P11" s="134">
        <f t="shared" si="2"/>
        <v>356676566.53363633</v>
      </c>
      <c r="Q11" s="134">
        <f t="shared" si="3"/>
        <v>-163763459.98363632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>SUM(B14:J14)</f>
        <v>992169595.21999979</v>
      </c>
      <c r="P14" s="130">
        <f t="shared" si="2"/>
        <v>84903032.681818157</v>
      </c>
      <c r="Q14" s="130">
        <f t="shared" si="3"/>
        <v>-26666796.961818151</v>
      </c>
    </row>
    <row r="15" spans="1:17" x14ac:dyDescent="0.25">
      <c r="A15" s="66" t="s">
        <v>15</v>
      </c>
      <c r="B15" s="1">
        <f t="shared" ref="B15:L15" si="14">B139+B164+B171</f>
        <v>422465521.94999993</v>
      </c>
      <c r="C15" s="1">
        <f t="shared" si="14"/>
        <v>1215546261.6300001</v>
      </c>
      <c r="D15" s="1">
        <f t="shared" si="14"/>
        <v>305678068.99000001</v>
      </c>
      <c r="E15" s="1">
        <f t="shared" si="14"/>
        <v>48482029.219999999</v>
      </c>
      <c r="F15" s="1">
        <f t="shared" si="14"/>
        <v>116507251.69</v>
      </c>
      <c r="G15" s="1">
        <f t="shared" si="14"/>
        <v>262380283.97</v>
      </c>
      <c r="H15" s="1">
        <f t="shared" si="14"/>
        <v>169287706.25999999</v>
      </c>
      <c r="I15" s="1">
        <f t="shared" si="14"/>
        <v>327625512.15999997</v>
      </c>
      <c r="J15" s="1">
        <f t="shared" si="14"/>
        <v>243891316.29999998</v>
      </c>
      <c r="K15" s="1">
        <f t="shared" si="14"/>
        <v>60177181.419999994</v>
      </c>
      <c r="L15" s="1">
        <f t="shared" si="14"/>
        <v>141374227.26999998</v>
      </c>
      <c r="M15" s="1">
        <f t="shared" ref="M15" si="15">M139+M164+M171</f>
        <v>123305362.91</v>
      </c>
      <c r="N15" s="130">
        <f t="shared" ref="N15:N33" si="16">SUM(B15:J15)</f>
        <v>3111863952.1700001</v>
      </c>
      <c r="P15" s="130">
        <f t="shared" si="2"/>
        <v>271687144.47818184</v>
      </c>
      <c r="Q15" s="130">
        <f t="shared" si="3"/>
        <v>-148381781.56818184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6"/>
        <v>13389130.560000001</v>
      </c>
      <c r="P16" s="130">
        <f t="shared" si="2"/>
        <v>1107965.2209090909</v>
      </c>
      <c r="Q16" s="130">
        <f t="shared" si="3"/>
        <v>93547.909090908943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6"/>
        <v>12515655.620000001</v>
      </c>
      <c r="P17" s="130">
        <f t="shared" si="2"/>
        <v>651510.16909090918</v>
      </c>
      <c r="Q17" s="130">
        <f t="shared" si="3"/>
        <v>4697533.5909090908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6"/>
        <v>4915575.5999999996</v>
      </c>
      <c r="P18" s="130">
        <f t="shared" si="2"/>
        <v>411285.23272727267</v>
      </c>
      <c r="Q18" s="130">
        <f t="shared" si="3"/>
        <v>-19847.19272727269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6"/>
        <v>86.04000000000002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6"/>
        <v>2721290.09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6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6"/>
        <v>-3197578.2599999979</v>
      </c>
      <c r="P22" s="130">
        <f t="shared" si="2"/>
        <v>-108258.32272726907</v>
      </c>
      <c r="Q22" s="130">
        <f t="shared" si="3"/>
        <v>-1898478.3872727691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6"/>
        <v>7529134.1400001068</v>
      </c>
      <c r="P23" s="130">
        <f t="shared" si="2"/>
        <v>958275.62000000488</v>
      </c>
      <c r="Q23" s="130">
        <f t="shared" si="3"/>
        <v>-3970173.2999999523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6"/>
        <v>-113463.16000000015</v>
      </c>
      <c r="P24" s="130">
        <f t="shared" si="2"/>
        <v>-29787.267272727309</v>
      </c>
      <c r="Q24" s="130">
        <f t="shared" si="3"/>
        <v>243984.04727272756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6"/>
        <v>-82514.039999999921</v>
      </c>
      <c r="P25" s="130">
        <f t="shared" si="2"/>
        <v>9750.4345454545582</v>
      </c>
      <c r="Q25" s="130">
        <f t="shared" si="3"/>
        <v>-199519.25454545463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6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6"/>
        <v>-159987.57000000775</v>
      </c>
      <c r="P27" s="130">
        <f t="shared" si="2"/>
        <v>-38387.051818182525</v>
      </c>
      <c r="Q27" s="130">
        <f t="shared" si="3"/>
        <v>300657.05181818252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6"/>
        <v>-21917511.589999996</v>
      </c>
      <c r="P28" s="130">
        <f t="shared" si="2"/>
        <v>-2783843.4399999995</v>
      </c>
      <c r="Q28" s="130">
        <f t="shared" si="3"/>
        <v>11488609.689999999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6"/>
        <v>1865</v>
      </c>
      <c r="P29" s="130">
        <f t="shared" si="2"/>
        <v>169.54545454545453</v>
      </c>
      <c r="Q29" s="130">
        <f t="shared" si="3"/>
        <v>-169.54545454545453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6"/>
        <v>-880</v>
      </c>
      <c r="P30" s="130">
        <f t="shared" si="2"/>
        <v>-80</v>
      </c>
      <c r="Q30" s="130">
        <f t="shared" si="3"/>
        <v>80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6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6"/>
        <v>-9098546.2400000002</v>
      </c>
      <c r="P32" s="130">
        <f t="shared" si="2"/>
        <v>-559620.08272727276</v>
      </c>
      <c r="Q32" s="130">
        <f t="shared" si="3"/>
        <v>-2383105.2472727271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6"/>
        <v>51203.719999999994</v>
      </c>
      <c r="P33" s="130">
        <f t="shared" si="2"/>
        <v>3865.2972727272718</v>
      </c>
      <c r="Q33" s="130">
        <f t="shared" si="3"/>
        <v>4820.152727272729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4110587007.2999997</v>
      </c>
      <c r="P34" s="134">
        <f t="shared" si="2"/>
        <v>356187438.42000002</v>
      </c>
      <c r="Q34" s="134">
        <f t="shared" si="3"/>
        <v>-163662253.74000007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5768331.1199998856</v>
      </c>
      <c r="P35" s="137">
        <f t="shared" si="2"/>
        <v>489128.11363634741</v>
      </c>
      <c r="Q35" s="137">
        <f t="shared" si="3"/>
        <v>-101206.24363628303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1.4013200138873268E-3</v>
      </c>
      <c r="P36" s="138">
        <f t="shared" si="2"/>
        <v>-5.5413018446630324E-5</v>
      </c>
      <c r="Q36" s="138">
        <f t="shared" si="3"/>
        <v>2.0662762352468907E-3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>SUM(B38:J38)</f>
        <v>5977377.2328694649</v>
      </c>
      <c r="P38" s="130">
        <f t="shared" si="2"/>
        <v>484917.9836293385</v>
      </c>
      <c r="Q38" s="130">
        <f t="shared" si="3"/>
        <v>158361.42931740225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ref="N39:N48" si="48">SUM(B39:J39)</f>
        <v>41239.129999999997</v>
      </c>
      <c r="P39" s="130">
        <f t="shared" si="2"/>
        <v>3024.673636363636</v>
      </c>
      <c r="Q39" s="130">
        <f t="shared" si="3"/>
        <v>4943.0463636363638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396740.02</v>
      </c>
      <c r="P40" s="130">
        <f t="shared" si="2"/>
        <v>31096.429090909092</v>
      </c>
      <c r="Q40" s="130">
        <f t="shared" si="3"/>
        <v>23582.870909090911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-631783.44000000006</v>
      </c>
      <c r="O41" s="140"/>
      <c r="P41" s="130">
        <f t="shared" si="2"/>
        <v>-37881.76727272728</v>
      </c>
      <c r="Q41" s="130">
        <f t="shared" si="3"/>
        <v>-177202.23272727273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155173</v>
      </c>
      <c r="O42" s="140"/>
      <c r="P42" s="130">
        <f t="shared" si="2"/>
        <v>13399.545454545454</v>
      </c>
      <c r="Q42" s="130">
        <f t="shared" si="3"/>
        <v>-5621.545454545454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-23312.33</v>
      </c>
      <c r="O43" s="140"/>
      <c r="P43" s="130">
        <f t="shared" si="2"/>
        <v>14769.78818181818</v>
      </c>
      <c r="Q43" s="130">
        <f t="shared" si="3"/>
        <v>-200549.78818181818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-37539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-315000</v>
      </c>
      <c r="P48" s="130">
        <f t="shared" si="2"/>
        <v>-25454.545454545456</v>
      </c>
      <c r="Q48" s="130">
        <f t="shared" si="3"/>
        <v>-9545.4545454545441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5692476.6128694648</v>
      </c>
      <c r="P49" s="134">
        <f t="shared" si="2"/>
        <v>491298.17272024765</v>
      </c>
      <c r="Q49" s="134">
        <f t="shared" si="3"/>
        <v>-203101.45977350685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75854.507130420767</v>
      </c>
      <c r="P50" s="141">
        <f t="shared" si="2"/>
        <v>-2170.0590839002557</v>
      </c>
      <c r="Q50" s="141">
        <f t="shared" si="3"/>
        <v>101895.21613722383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>SUM(B55:J55)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3">B112+B123</f>
        <v>44174.48</v>
      </c>
      <c r="C56" s="1">
        <f t="shared" si="53"/>
        <v>37026.959999999999</v>
      </c>
      <c r="D56" s="1">
        <f t="shared" si="53"/>
        <v>50952.97</v>
      </c>
      <c r="E56" s="1">
        <f t="shared" si="53"/>
        <v>17383</v>
      </c>
      <c r="F56" s="1">
        <f t="shared" si="53"/>
        <v>6537.5</v>
      </c>
      <c r="G56" s="1">
        <f t="shared" si="53"/>
        <v>12690.5</v>
      </c>
      <c r="H56" s="1">
        <f t="shared" si="53"/>
        <v>14136.99</v>
      </c>
      <c r="I56" s="1">
        <f t="shared" si="53"/>
        <v>3546</v>
      </c>
      <c r="J56" s="1">
        <f t="shared" si="53"/>
        <v>6577.55</v>
      </c>
      <c r="K56" s="1">
        <f t="shared" si="53"/>
        <v>18560.79</v>
      </c>
      <c r="L56" s="1">
        <f t="shared" si="53"/>
        <v>30425.09</v>
      </c>
      <c r="M56" s="1">
        <f t="shared" ref="M56" si="54">M112+M123</f>
        <v>189608.23</v>
      </c>
      <c r="N56" s="130">
        <f t="shared" ref="N56:N58" si="55">SUM(B56:J56)</f>
        <v>193025.94999999998</v>
      </c>
      <c r="P56" s="130">
        <f t="shared" si="2"/>
        <v>310.70181818181567</v>
      </c>
      <c r="Q56" s="130">
        <f t="shared" si="3"/>
        <v>189297.5281818182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5"/>
        <v>1255</v>
      </c>
      <c r="P57" s="130">
        <f t="shared" si="2"/>
        <v>-763.94909090909096</v>
      </c>
      <c r="Q57" s="130">
        <f t="shared" si="3"/>
        <v>10422.389090909091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5"/>
        <v>557498.74</v>
      </c>
      <c r="P58" s="130">
        <f t="shared" si="2"/>
        <v>42694.839090909089</v>
      </c>
      <c r="Q58" s="130">
        <f t="shared" si="3"/>
        <v>45160.670909090921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751779.69</v>
      </c>
      <c r="P59" s="142">
        <f t="shared" si="2"/>
        <v>42241.591818181805</v>
      </c>
      <c r="Q59" s="142">
        <f t="shared" si="3"/>
        <v>244880.58818181825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>SUM(B61:J61)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4">B143+B175+B148+B149+B187+B178</f>
        <v>57082.080000000009</v>
      </c>
      <c r="C62" s="130">
        <f t="shared" si="64"/>
        <v>43072.58</v>
      </c>
      <c r="D62" s="130">
        <f t="shared" si="64"/>
        <v>59675.47</v>
      </c>
      <c r="E62" s="130">
        <f t="shared" si="64"/>
        <v>4134.2700000000004</v>
      </c>
      <c r="F62" s="130">
        <f t="shared" si="64"/>
        <v>5361.5499999999993</v>
      </c>
      <c r="G62" s="130">
        <f t="shared" si="64"/>
        <v>13894.16</v>
      </c>
      <c r="H62" s="130">
        <f t="shared" si="64"/>
        <v>20530.47</v>
      </c>
      <c r="I62" s="130">
        <f t="shared" si="64"/>
        <v>5400.13</v>
      </c>
      <c r="J62" s="130">
        <f t="shared" si="64"/>
        <v>10087.08</v>
      </c>
      <c r="K62" s="130">
        <f t="shared" si="64"/>
        <v>20598.52</v>
      </c>
      <c r="L62" s="130">
        <f t="shared" si="64"/>
        <v>28536.52</v>
      </c>
      <c r="M62" s="130">
        <f>M143+M175+M148+M149+M187+M178</f>
        <v>218961.68</v>
      </c>
      <c r="N62" s="130">
        <f t="shared" ref="N62:N68" si="65">SUM(B62:J62)</f>
        <v>219237.78999999998</v>
      </c>
      <c r="P62" s="130">
        <f t="shared" si="2"/>
        <v>25.10090909090782</v>
      </c>
      <c r="Q62" s="130">
        <f t="shared" si="3"/>
        <v>218936.57909090907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5"/>
        <v>1338975.45</v>
      </c>
      <c r="P63" s="130">
        <f t="shared" si="2"/>
        <v>109247.82090909091</v>
      </c>
      <c r="Q63" s="130">
        <f t="shared" si="3"/>
        <v>28001.599090909105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5"/>
        <v>45000</v>
      </c>
      <c r="P64" s="130">
        <f t="shared" si="2"/>
        <v>3636.3636363636365</v>
      </c>
      <c r="Q64" s="130">
        <f t="shared" si="3"/>
        <v>1363.6363636363635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5"/>
        <v>147252.34</v>
      </c>
      <c r="P65" s="130">
        <f t="shared" si="2"/>
        <v>12487.799090909091</v>
      </c>
      <c r="Q65" s="130">
        <f t="shared" si="3"/>
        <v>-2601.2490909090902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5"/>
        <v>233857.05000000005</v>
      </c>
      <c r="P66" s="130">
        <f t="shared" si="2"/>
        <v>19071.871818181822</v>
      </c>
      <c r="Q66" s="130">
        <f t="shared" si="3"/>
        <v>4994.588181818177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5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5"/>
        <v>1510</v>
      </c>
      <c r="P68" s="130">
        <f t="shared" si="2"/>
        <v>109.64181818181818</v>
      </c>
      <c r="Q68" s="130">
        <f t="shared" si="3"/>
        <v>194.29818181818183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1985832.6300000001</v>
      </c>
      <c r="P69" s="2">
        <f t="shared" si="2"/>
        <v>144578.59818181818</v>
      </c>
      <c r="Q69" s="2">
        <f t="shared" si="3"/>
        <v>250889.45181818181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-1234052.9400000002</v>
      </c>
      <c r="P70" s="3">
        <f t="shared" si="2"/>
        <v>-102337.00636363639</v>
      </c>
      <c r="Q70" s="3">
        <f t="shared" si="3"/>
        <v>-6008.8636363635451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>SUM(B72:J72)</f>
        <v>2298646.4000000004</v>
      </c>
      <c r="P72" s="130">
        <f t="shared" si="2"/>
        <v>171498.85909090913</v>
      </c>
      <c r="Q72" s="130">
        <f t="shared" si="3"/>
        <v>240660.09090909088</v>
      </c>
    </row>
    <row r="73" spans="1:17" x14ac:dyDescent="0.25">
      <c r="A73" s="66" t="s">
        <v>55</v>
      </c>
      <c r="B73" s="130">
        <f t="shared" ref="B73:L73" si="81">B238</f>
        <v>217438.18</v>
      </c>
      <c r="C73" s="130">
        <f t="shared" si="81"/>
        <v>209198.51</v>
      </c>
      <c r="D73" s="130">
        <f t="shared" si="81"/>
        <v>217237.15000000002</v>
      </c>
      <c r="E73" s="130">
        <f t="shared" si="81"/>
        <v>198728.25999999998</v>
      </c>
      <c r="F73" s="130">
        <f t="shared" si="81"/>
        <v>199475.94999999998</v>
      </c>
      <c r="G73" s="130">
        <f t="shared" si="81"/>
        <v>222170.33999999997</v>
      </c>
      <c r="H73" s="130">
        <f t="shared" si="81"/>
        <v>232432.36999999997</v>
      </c>
      <c r="I73" s="130">
        <f t="shared" si="81"/>
        <v>206199.65</v>
      </c>
      <c r="J73" s="130">
        <f t="shared" si="81"/>
        <v>262615.36</v>
      </c>
      <c r="K73" s="130">
        <f t="shared" si="81"/>
        <v>237014.89</v>
      </c>
      <c r="L73" s="130">
        <f t="shared" si="81"/>
        <v>216333.72999999995</v>
      </c>
      <c r="M73" s="130">
        <f>M238</f>
        <v>239275.96999999997</v>
      </c>
      <c r="N73" s="130">
        <f t="shared" ref="N73:N76" si="82">SUM(B73:J73)</f>
        <v>1965495.77</v>
      </c>
      <c r="P73" s="130">
        <f t="shared" si="2"/>
        <v>156929.07272727272</v>
      </c>
      <c r="Q73" s="130">
        <f t="shared" si="3"/>
        <v>82346.897272727248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2"/>
        <v>673447.72</v>
      </c>
      <c r="P74" s="130">
        <f t="shared" ref="P74:P144" si="84">(N74-M74)/11</f>
        <v>50685.66272727272</v>
      </c>
      <c r="Q74" s="130">
        <f t="shared" ref="Q74:Q144" si="85">M74-P74</f>
        <v>65219.767272727302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2"/>
        <v>-443125.77</v>
      </c>
      <c r="P75" s="130">
        <f t="shared" si="84"/>
        <v>-30647.445454545457</v>
      </c>
      <c r="Q75" s="130">
        <f t="shared" si="85"/>
        <v>-75356.42454545456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2"/>
        <v>-28911.440000000002</v>
      </c>
      <c r="P76" s="130">
        <f t="shared" si="84"/>
        <v>-3238.8654545454551</v>
      </c>
      <c r="Q76" s="130">
        <f t="shared" si="85"/>
        <v>9954.9454545454555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4465552.6799999988</v>
      </c>
      <c r="P77" s="134">
        <f t="shared" si="84"/>
        <v>345227.28363636351</v>
      </c>
      <c r="Q77" s="134">
        <f t="shared" si="85"/>
        <v>322825.27636363643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68725.499999886379</v>
      </c>
      <c r="P78" s="137">
        <f t="shared" si="84"/>
        <v>41563.823636347443</v>
      </c>
      <c r="Q78" s="137">
        <f t="shared" si="85"/>
        <v>-430040.38363628293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30">
        <f>SUM(B85:J85)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5">+M56</f>
        <v>189608.23</v>
      </c>
      <c r="N86" s="130">
        <f>SUM(B86:J86)</f>
        <v>193025.94999999998</v>
      </c>
      <c r="P86" s="145">
        <f t="shared" si="84"/>
        <v>310.70181818181567</v>
      </c>
      <c r="Q86" s="145">
        <f t="shared" si="85"/>
        <v>189297.5281818182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6">SUM(C85:C86)</f>
        <v>37026.959999999999</v>
      </c>
      <c r="D87" s="134">
        <f t="shared" si="96"/>
        <v>50952.97</v>
      </c>
      <c r="E87" s="134">
        <f t="shared" si="96"/>
        <v>17383</v>
      </c>
      <c r="F87" s="134">
        <f t="shared" si="96"/>
        <v>6537.5</v>
      </c>
      <c r="G87" s="134">
        <f t="shared" si="96"/>
        <v>12690.5</v>
      </c>
      <c r="H87" s="134">
        <f t="shared" ref="H87" si="97">SUM(H85:H86)</f>
        <v>14136.99</v>
      </c>
      <c r="I87" s="134">
        <f t="shared" si="96"/>
        <v>3546</v>
      </c>
      <c r="J87" s="134">
        <f t="shared" si="96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193025.94999999998</v>
      </c>
      <c r="P87" s="146">
        <f t="shared" si="84"/>
        <v>310.70181818181567</v>
      </c>
      <c r="Q87" s="146">
        <f t="shared" si="85"/>
        <v>189297.5281818182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8">+G61</f>
        <v>0</v>
      </c>
      <c r="H90" s="133">
        <f t="shared" ref="H90" si="99">+H61</f>
        <v>0</v>
      </c>
      <c r="I90" s="133">
        <f t="shared" si="98"/>
        <v>0</v>
      </c>
      <c r="J90" s="133">
        <f t="shared" si="98"/>
        <v>0</v>
      </c>
      <c r="K90" s="133">
        <f t="shared" si="98"/>
        <v>0</v>
      </c>
      <c r="L90" s="133">
        <f t="shared" si="98"/>
        <v>0</v>
      </c>
      <c r="M90" s="133">
        <f t="shared" ref="M90" si="100">+M61</f>
        <v>0</v>
      </c>
      <c r="N90" s="130">
        <f>SUM(B90:J90)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1">B143</f>
        <v>47744.73</v>
      </c>
      <c r="C91" s="133">
        <f t="shared" si="101"/>
        <v>40318.61</v>
      </c>
      <c r="D91" s="133">
        <f t="shared" si="101"/>
        <v>53566.29</v>
      </c>
      <c r="E91" s="133">
        <f t="shared" si="101"/>
        <v>-3427.84</v>
      </c>
      <c r="F91" s="133">
        <f t="shared" si="101"/>
        <v>5808.03</v>
      </c>
      <c r="G91" s="133">
        <f t="shared" si="101"/>
        <v>11225.63</v>
      </c>
      <c r="H91" s="133">
        <f t="shared" ref="H91:L91" si="102">+H62</f>
        <v>20530.47</v>
      </c>
      <c r="I91" s="133">
        <f t="shared" si="102"/>
        <v>5400.13</v>
      </c>
      <c r="J91" s="133">
        <f t="shared" si="102"/>
        <v>10087.08</v>
      </c>
      <c r="K91" s="133">
        <f t="shared" si="102"/>
        <v>20598.52</v>
      </c>
      <c r="L91" s="133">
        <f t="shared" si="102"/>
        <v>28536.52</v>
      </c>
      <c r="M91" s="133">
        <f t="shared" ref="M91" si="103">+M62</f>
        <v>218961.68</v>
      </c>
      <c r="N91" s="130">
        <f t="shared" ref="N91:N94" si="104">SUM(B91:J91)</f>
        <v>191253.13</v>
      </c>
      <c r="P91" s="145">
        <f t="shared" si="84"/>
        <v>-2518.9590909090898</v>
      </c>
      <c r="Q91" s="145">
        <f t="shared" si="85"/>
        <v>221480.63909090907</v>
      </c>
    </row>
    <row r="92" spans="1:17" x14ac:dyDescent="0.25">
      <c r="A92" s="71" t="s">
        <v>68</v>
      </c>
      <c r="B92" s="133">
        <f t="shared" ref="B92:L92" si="105">B175</f>
        <v>0</v>
      </c>
      <c r="C92" s="133">
        <f t="shared" si="105"/>
        <v>800</v>
      </c>
      <c r="D92" s="133">
        <f t="shared" si="105"/>
        <v>0</v>
      </c>
      <c r="E92" s="133">
        <f t="shared" si="105"/>
        <v>0</v>
      </c>
      <c r="F92" s="133">
        <f t="shared" si="105"/>
        <v>0</v>
      </c>
      <c r="G92" s="133">
        <f t="shared" si="105"/>
        <v>0</v>
      </c>
      <c r="H92" s="133">
        <f t="shared" ref="H92" si="106">H175</f>
        <v>0</v>
      </c>
      <c r="I92" s="133">
        <f t="shared" si="105"/>
        <v>0</v>
      </c>
      <c r="J92" s="133">
        <f t="shared" si="105"/>
        <v>0</v>
      </c>
      <c r="K92" s="133">
        <f t="shared" si="105"/>
        <v>0</v>
      </c>
      <c r="L92" s="133">
        <f t="shared" si="105"/>
        <v>-6400</v>
      </c>
      <c r="M92" s="133">
        <f t="shared" ref="M92" si="107">M175</f>
        <v>0</v>
      </c>
      <c r="N92" s="130">
        <f t="shared" si="104"/>
        <v>800</v>
      </c>
      <c r="P92" s="145">
        <f t="shared" si="84"/>
        <v>72.727272727272734</v>
      </c>
      <c r="Q92" s="145">
        <f t="shared" si="85"/>
        <v>-72.727272727272734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8">C187</f>
        <v>0</v>
      </c>
      <c r="D93" s="133">
        <f t="shared" si="108"/>
        <v>-115.12</v>
      </c>
      <c r="E93" s="133">
        <f t="shared" si="108"/>
        <v>3216.06</v>
      </c>
      <c r="F93" s="133">
        <f t="shared" si="108"/>
        <v>-2308</v>
      </c>
      <c r="G93" s="133">
        <f t="shared" si="108"/>
        <v>0</v>
      </c>
      <c r="H93" s="133">
        <f t="shared" ref="H93" si="109">H187</f>
        <v>0</v>
      </c>
      <c r="I93" s="133">
        <f t="shared" si="108"/>
        <v>0</v>
      </c>
      <c r="J93" s="133">
        <f t="shared" si="108"/>
        <v>0</v>
      </c>
      <c r="K93" s="133">
        <f t="shared" si="108"/>
        <v>0</v>
      </c>
      <c r="L93" s="133">
        <f t="shared" si="108"/>
        <v>0.4</v>
      </c>
      <c r="M93" s="133">
        <f t="shared" ref="M93" si="110">M187</f>
        <v>0</v>
      </c>
      <c r="N93" s="130">
        <f t="shared" si="104"/>
        <v>794.81</v>
      </c>
      <c r="P93" s="145">
        <f t="shared" si="84"/>
        <v>72.25545454545454</v>
      </c>
      <c r="Q93" s="145">
        <f t="shared" si="85"/>
        <v>-72.25545454545454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1">G68</f>
        <v>0</v>
      </c>
      <c r="H94" s="133">
        <f t="shared" ref="H94" si="112">H68</f>
        <v>12</v>
      </c>
      <c r="I94" s="133">
        <f t="shared" si="111"/>
        <v>0</v>
      </c>
      <c r="J94" s="133">
        <f t="shared" si="111"/>
        <v>0</v>
      </c>
      <c r="K94" s="133">
        <f t="shared" si="111"/>
        <v>0</v>
      </c>
      <c r="L94" s="133">
        <f t="shared" si="111"/>
        <v>0</v>
      </c>
      <c r="M94" s="133">
        <f t="shared" ref="M94" si="113">M68</f>
        <v>303.94</v>
      </c>
      <c r="N94" s="130">
        <f t="shared" si="104"/>
        <v>1510</v>
      </c>
      <c r="P94" s="145">
        <f t="shared" si="84"/>
        <v>109.64181818181818</v>
      </c>
      <c r="Q94" s="145">
        <f t="shared" si="85"/>
        <v>194.29818181818183</v>
      </c>
    </row>
    <row r="95" spans="1:17" x14ac:dyDescent="0.25">
      <c r="A95" s="71"/>
      <c r="B95" s="134">
        <f>SUM(B90:B94)</f>
        <v>47746.600000000006</v>
      </c>
      <c r="C95" s="134">
        <f t="shared" ref="C95:L95" si="114">SUM(C90:C94)</f>
        <v>41996.61</v>
      </c>
      <c r="D95" s="134">
        <f t="shared" si="114"/>
        <v>53451.17</v>
      </c>
      <c r="E95" s="134">
        <f t="shared" si="114"/>
        <v>-211.7800000000002</v>
      </c>
      <c r="F95" s="134">
        <f t="shared" si="114"/>
        <v>4120.03</v>
      </c>
      <c r="G95" s="134">
        <f t="shared" si="114"/>
        <v>11225.63</v>
      </c>
      <c r="H95" s="134">
        <f t="shared" ref="H95" si="115">SUM(H90:H94)</f>
        <v>20542.47</v>
      </c>
      <c r="I95" s="134">
        <f t="shared" si="114"/>
        <v>5400.13</v>
      </c>
      <c r="J95" s="134">
        <f t="shared" si="114"/>
        <v>10087.08</v>
      </c>
      <c r="K95" s="134">
        <f t="shared" si="114"/>
        <v>20598.52</v>
      </c>
      <c r="L95" s="134">
        <f t="shared" si="114"/>
        <v>22136.920000000002</v>
      </c>
      <c r="M95" s="134">
        <f>SUM(M90:M94)</f>
        <v>219265.62</v>
      </c>
      <c r="N95" s="146">
        <f>SUM(N90:N94)</f>
        <v>194357.94</v>
      </c>
      <c r="P95" s="146">
        <f t="shared" si="84"/>
        <v>-2264.3345454545447</v>
      </c>
      <c r="Q95" s="146">
        <f t="shared" si="85"/>
        <v>221529.95454545453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6">+C87-C95</f>
        <v>-4969.6500000000015</v>
      </c>
      <c r="D96" s="137">
        <f t="shared" si="116"/>
        <v>-2498.1999999999971</v>
      </c>
      <c r="E96" s="137">
        <f t="shared" si="116"/>
        <v>17594.78</v>
      </c>
      <c r="F96" s="137">
        <f t="shared" si="116"/>
        <v>2417.4700000000003</v>
      </c>
      <c r="G96" s="137">
        <f t="shared" si="116"/>
        <v>1464.8700000000008</v>
      </c>
      <c r="H96" s="137">
        <f t="shared" ref="H96" si="117">+H87-H95</f>
        <v>-6405.4800000000014</v>
      </c>
      <c r="I96" s="137">
        <f t="shared" si="116"/>
        <v>-1854.13</v>
      </c>
      <c r="J96" s="137">
        <f t="shared" si="116"/>
        <v>-3509.5299999999997</v>
      </c>
      <c r="K96" s="137">
        <f t="shared" si="116"/>
        <v>-2037.7299999999996</v>
      </c>
      <c r="L96" s="137">
        <f t="shared" si="116"/>
        <v>8288.1699999999983</v>
      </c>
      <c r="M96" s="137">
        <f>+M87-M95</f>
        <v>-29657.389999999985</v>
      </c>
      <c r="N96" s="148">
        <f>+N87-N95</f>
        <v>-1331.9900000000198</v>
      </c>
      <c r="P96" s="148">
        <f t="shared" si="84"/>
        <v>2575.0363636363604</v>
      </c>
      <c r="Q96" s="148">
        <f t="shared" si="85"/>
        <v>-32232.426363636347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SUM(B106:J106)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 t="shared" ref="N107:N128" si="118">SUM(B107:J107)</f>
        <v>1013208817.6700001</v>
      </c>
      <c r="P107" s="130">
        <f t="shared" si="84"/>
        <v>86775898.335454553</v>
      </c>
      <c r="Q107" s="130">
        <f t="shared" si="85"/>
        <v>-28101962.355454557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 t="shared" si="118"/>
        <v>3218361868.5000005</v>
      </c>
      <c r="P108" s="130">
        <f t="shared" si="84"/>
        <v>281246102.42454553</v>
      </c>
      <c r="Q108" s="130">
        <f t="shared" si="85"/>
        <v>-156591360.59454554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 t="shared" si="118"/>
        <v>13317101.700000001</v>
      </c>
      <c r="P109" s="130">
        <f t="shared" si="84"/>
        <v>1105185.1290909091</v>
      </c>
      <c r="Q109" s="130">
        <f t="shared" si="85"/>
        <v>54880.15090909088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si="118"/>
        <v>11866684.91</v>
      </c>
      <c r="P110" s="130">
        <f t="shared" si="84"/>
        <v>592324.1736363637</v>
      </c>
      <c r="Q110" s="130">
        <f t="shared" si="85"/>
        <v>4758794.8263636362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8"/>
        <v>1255</v>
      </c>
      <c r="P111" s="130">
        <f t="shared" si="84"/>
        <v>-763.94909090909096</v>
      </c>
      <c r="Q111" s="130">
        <f t="shared" si="85"/>
        <v>10422.389090909091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8"/>
        <v>193110.94999999998</v>
      </c>
      <c r="P112" s="130">
        <f t="shared" si="84"/>
        <v>318.42909090908836</v>
      </c>
      <c r="Q112" s="130">
        <f t="shared" si="85"/>
        <v>189289.80090909093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8"/>
        <v>50000</v>
      </c>
      <c r="P113" s="130">
        <f t="shared" si="84"/>
        <v>4545.454545454545</v>
      </c>
      <c r="Q113" s="130">
        <f t="shared" si="85"/>
        <v>-4545.454545454545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8"/>
        <v>5236425.9700000007</v>
      </c>
      <c r="P114" s="130">
        <f t="shared" si="84"/>
        <v>437582.81545454549</v>
      </c>
      <c r="Q114" s="130">
        <f t="shared" si="85"/>
        <v>-14567.815454545489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8"/>
        <v>211305.13</v>
      </c>
      <c r="P115" s="130">
        <f t="shared" si="84"/>
        <v>15841.618181818181</v>
      </c>
      <c r="Q115" s="130">
        <f t="shared" si="85"/>
        <v>21205.711818181822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8"/>
        <v>36444.22</v>
      </c>
      <c r="P116" s="130">
        <f t="shared" si="84"/>
        <v>2615.0045454545457</v>
      </c>
      <c r="Q116" s="130">
        <f t="shared" si="85"/>
        <v>5064.1654545454548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8"/>
        <v>259749.38999999998</v>
      </c>
      <c r="P117" s="130">
        <f t="shared" si="84"/>
        <v>19692.761818181814</v>
      </c>
      <c r="Q117" s="130">
        <f t="shared" si="85"/>
        <v>23436.248181818188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8"/>
        <v>-25568683.460000001</v>
      </c>
      <c r="P118" s="130">
        <f t="shared" si="84"/>
        <v>-2313640.4436363638</v>
      </c>
      <c r="Q118" s="130">
        <f t="shared" si="85"/>
        <v>2195001.8636363638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8"/>
        <v>-122381262.78999999</v>
      </c>
      <c r="P119" s="130">
        <f t="shared" si="84"/>
        <v>-11102808.504545454</v>
      </c>
      <c r="Q119" s="130">
        <f t="shared" si="85"/>
        <v>10852439.264545454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8"/>
        <v>-35265</v>
      </c>
      <c r="P120" s="130">
        <f t="shared" si="84"/>
        <v>-2382.8563636363633</v>
      </c>
      <c r="Q120" s="130">
        <f t="shared" si="85"/>
        <v>-6670.7236363636366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8"/>
        <v>-59280</v>
      </c>
      <c r="P121" s="130">
        <f t="shared" si="84"/>
        <v>-5389.090909090909</v>
      </c>
      <c r="Q121" s="130">
        <f t="shared" si="85"/>
        <v>5389.090909090909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8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8"/>
        <v>-85</v>
      </c>
      <c r="P123" s="130">
        <f t="shared" si="84"/>
        <v>-7.7272727272727275</v>
      </c>
      <c r="Q123" s="130">
        <f t="shared" si="85"/>
        <v>7.7272727272727275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8"/>
        <v>-213695</v>
      </c>
      <c r="P124" s="130">
        <f t="shared" si="84"/>
        <v>-18899.545454545456</v>
      </c>
      <c r="Q124" s="130">
        <f t="shared" si="85"/>
        <v>13099.545454545456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8"/>
        <v>285400.83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8"/>
        <v>7440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8"/>
        <v>2426505.09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8"/>
        <v>-96720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19">SUM(C106:C127)</f>
        <v>1326689266.1400003</v>
      </c>
      <c r="D129" s="151">
        <f t="shared" si="119"/>
        <v>408656079.10000008</v>
      </c>
      <c r="E129" s="151">
        <f t="shared" si="119"/>
        <v>144970183.93999997</v>
      </c>
      <c r="F129" s="151">
        <f t="shared" si="119"/>
        <v>212486331.58999997</v>
      </c>
      <c r="G129" s="151">
        <f>SUM(G106:G127)</f>
        <v>356304878.60000002</v>
      </c>
      <c r="H129" s="151">
        <f t="shared" ref="H129" si="120">SUM(H106:H127)</f>
        <v>291633650.12999988</v>
      </c>
      <c r="I129" s="151">
        <f t="shared" ref="I129:M129" si="121">SUM(I106:I128)</f>
        <v>454424681.87999988</v>
      </c>
      <c r="J129" s="151">
        <f t="shared" si="121"/>
        <v>336551715.46000004</v>
      </c>
      <c r="K129" s="151">
        <f t="shared" si="121"/>
        <v>150302029.94999993</v>
      </c>
      <c r="L129" s="151">
        <f t="shared" si="121"/>
        <v>225684099.08999997</v>
      </c>
      <c r="M129" s="151">
        <f t="shared" si="121"/>
        <v>193200228.72999996</v>
      </c>
      <c r="N129" s="151">
        <f>SUM(N106:N128)</f>
        <v>4117107118.1099997</v>
      </c>
      <c r="P129" s="151">
        <f t="shared" si="84"/>
        <v>356718808.12545449</v>
      </c>
      <c r="Q129" s="151">
        <f t="shared" si="85"/>
        <v>-163518579.39545453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>SUM(B131:J131)</f>
        <v>-28911.440000000002</v>
      </c>
      <c r="P131" s="130">
        <f t="shared" si="84"/>
        <v>-3238.8654545454551</v>
      </c>
      <c r="Q131" s="130">
        <f t="shared" si="85"/>
        <v>9954.9454545454555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ref="N132:N195" si="122">SUM(B132:J132)</f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2"/>
        <v>15588272.5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2"/>
        <v>-6396769.0099999998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2"/>
        <v>-689871.66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2"/>
        <v>-374194.7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2"/>
        <v>-38467.15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2"/>
        <v>990320115.31000006</v>
      </c>
      <c r="P138" s="130">
        <f t="shared" si="84"/>
        <v>84791647.315454543</v>
      </c>
      <c r="Q138" s="130">
        <f t="shared" si="85"/>
        <v>-27179652.475454539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2"/>
        <v>3112924855.0699997</v>
      </c>
      <c r="P139" s="130">
        <f t="shared" si="84"/>
        <v>271662909.61272722</v>
      </c>
      <c r="Q139" s="130">
        <f t="shared" si="85"/>
        <v>-147030060.28272724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2"/>
        <v>13204375.640000001</v>
      </c>
      <c r="P140" s="130">
        <f t="shared" si="84"/>
        <v>1094378.9772727273</v>
      </c>
      <c r="Q140" s="130">
        <f t="shared" si="85"/>
        <v>71827.912727272604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2"/>
        <v>11613521.630000001</v>
      </c>
      <c r="P141" s="130">
        <f t="shared" si="84"/>
        <v>572841.12818181829</v>
      </c>
      <c r="Q141" s="130">
        <f t="shared" si="85"/>
        <v>4739428.0918181818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2"/>
        <v>738</v>
      </c>
      <c r="P142" s="130">
        <f t="shared" si="84"/>
        <v>-805.7227272727273</v>
      </c>
      <c r="Q142" s="130">
        <f t="shared" si="85"/>
        <v>10406.672727272728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2"/>
        <v>175151.23</v>
      </c>
      <c r="P143" s="130">
        <f t="shared" si="84"/>
        <v>-3835.9399999999996</v>
      </c>
      <c r="Q143" s="130">
        <f t="shared" si="85"/>
        <v>221182.51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2"/>
        <v>4728939.8099999996</v>
      </c>
      <c r="P144" s="130">
        <f t="shared" si="84"/>
        <v>396202.60727272724</v>
      </c>
      <c r="Q144" s="130">
        <f t="shared" si="85"/>
        <v>-25491.477272727236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2"/>
        <v>1338975.45</v>
      </c>
      <c r="P145" s="130">
        <f t="shared" ref="P145:P215" si="123">(N145-M145)/11</f>
        <v>109247.82090909091</v>
      </c>
      <c r="Q145" s="130">
        <f t="shared" ref="Q145:Q215" si="124">M145-P145</f>
        <v>28001.599090909105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2"/>
        <v>0</v>
      </c>
      <c r="P146" s="130">
        <f t="shared" si="123"/>
        <v>0</v>
      </c>
      <c r="Q146" s="130">
        <f t="shared" si="124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2"/>
        <v>0</v>
      </c>
      <c r="P147" s="130">
        <f t="shared" si="123"/>
        <v>0</v>
      </c>
      <c r="Q147" s="130">
        <f t="shared" si="124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2"/>
        <v>41081.75</v>
      </c>
      <c r="P148" s="130">
        <f t="shared" si="123"/>
        <v>3656.9945454545455</v>
      </c>
      <c r="Q148" s="130">
        <f t="shared" si="124"/>
        <v>-2802.1845454545455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2"/>
        <v>1250</v>
      </c>
      <c r="P149" s="130">
        <f t="shared" si="123"/>
        <v>44.518181818181823</v>
      </c>
      <c r="Q149" s="130">
        <f t="shared" si="124"/>
        <v>715.78181818181815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2"/>
        <v>357818068.30000001</v>
      </c>
      <c r="P150" s="130">
        <f t="shared" si="123"/>
        <v>32072109.845454548</v>
      </c>
      <c r="Q150" s="130">
        <f t="shared" si="124"/>
        <v>-27047249.845454548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2"/>
        <v>616117759.00999999</v>
      </c>
      <c r="P151" s="130">
        <f t="shared" si="123"/>
        <v>49255719.887272723</v>
      </c>
      <c r="Q151" s="130">
        <f t="shared" si="124"/>
        <v>25049120.362727277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2"/>
        <v>726380</v>
      </c>
      <c r="P152" s="130">
        <f t="shared" si="123"/>
        <v>66034.545454545456</v>
      </c>
      <c r="Q152" s="130">
        <f t="shared" si="124"/>
        <v>-66034.545454545456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2"/>
        <v>187220</v>
      </c>
      <c r="P153" s="130">
        <f t="shared" si="123"/>
        <v>17020</v>
      </c>
      <c r="Q153" s="130">
        <f t="shared" si="124"/>
        <v>-17020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2"/>
        <v>-1799378473.75</v>
      </c>
      <c r="P154" s="130">
        <f t="shared" si="123"/>
        <v>-103754098.49272728</v>
      </c>
      <c r="Q154" s="130">
        <f t="shared" si="124"/>
        <v>-554329291.83727276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2"/>
        <v>-357978055.87</v>
      </c>
      <c r="P155" s="130">
        <f t="shared" si="123"/>
        <v>-32110496.897272728</v>
      </c>
      <c r="Q155" s="130">
        <f t="shared" si="124"/>
        <v>27347906.897272728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2"/>
        <v>-638035270.60000002</v>
      </c>
      <c r="P156" s="130">
        <f t="shared" si="123"/>
        <v>-52039563.327272728</v>
      </c>
      <c r="Q156" s="130">
        <f t="shared" si="124"/>
        <v>-13560510.672727272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2"/>
        <v>-724515</v>
      </c>
      <c r="P157" s="130">
        <f t="shared" si="123"/>
        <v>-65865</v>
      </c>
      <c r="Q157" s="130">
        <f t="shared" si="124"/>
        <v>65865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2"/>
        <v>-188100</v>
      </c>
      <c r="P158" s="130">
        <f t="shared" si="123"/>
        <v>-17100</v>
      </c>
      <c r="Q158" s="130">
        <f t="shared" si="124"/>
        <v>17100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2"/>
        <v>1796180895.4899998</v>
      </c>
      <c r="P159" s="130">
        <f t="shared" si="123"/>
        <v>103645840.16999999</v>
      </c>
      <c r="Q159" s="130">
        <f t="shared" si="124"/>
        <v>552430813.45000005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2"/>
        <v>2769728099.0300002</v>
      </c>
      <c r="P160" s="130">
        <f t="shared" si="123"/>
        <v>160157789.50818184</v>
      </c>
      <c r="Q160" s="130">
        <f t="shared" si="124"/>
        <v>847834624.93181825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2"/>
        <v>6919423.6499999994</v>
      </c>
      <c r="P161" s="130">
        <f t="shared" si="123"/>
        <v>345092.71454545448</v>
      </c>
      <c r="Q161" s="130">
        <f t="shared" si="124"/>
        <v>2778311.0754545457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2"/>
        <v>2480342.0700000003</v>
      </c>
      <c r="P162" s="130">
        <f t="shared" si="123"/>
        <v>112397.02636363638</v>
      </c>
      <c r="Q162" s="130">
        <f t="shared" si="124"/>
        <v>1131577.7536363637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2"/>
        <v>328351.67</v>
      </c>
      <c r="P163" s="130">
        <f t="shared" si="123"/>
        <v>26046.641818181819</v>
      </c>
      <c r="Q163" s="130">
        <f t="shared" si="124"/>
        <v>15791.968181818182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2"/>
        <v>-705090.34999999986</v>
      </c>
      <c r="P164" s="130">
        <f t="shared" si="123"/>
        <v>20925.947272727288</v>
      </c>
      <c r="Q164" s="130">
        <f t="shared" si="124"/>
        <v>-956201.71727272728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2"/>
        <v>43549.91</v>
      </c>
      <c r="P165" s="130">
        <f t="shared" si="123"/>
        <v>3898.6981818181816</v>
      </c>
      <c r="Q165" s="130">
        <f t="shared" si="124"/>
        <v>-3234.4681818181816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2"/>
        <v>-333866.57999999996</v>
      </c>
      <c r="P166" s="130">
        <f t="shared" si="123"/>
        <v>-30141.059090909086</v>
      </c>
      <c r="Q166" s="130">
        <f t="shared" si="124"/>
        <v>27826.129090909086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2"/>
        <v>-2762198964.8900003</v>
      </c>
      <c r="P167" s="130">
        <f t="shared" si="123"/>
        <v>-159199513.88818187</v>
      </c>
      <c r="Q167" s="130">
        <f t="shared" si="124"/>
        <v>-851804798.2318182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2"/>
        <v>-3806.86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2"/>
        <v>-7032886.8099999996</v>
      </c>
      <c r="P169" s="130">
        <f t="shared" si="123"/>
        <v>-374879.98181818181</v>
      </c>
      <c r="Q169" s="130">
        <f t="shared" si="124"/>
        <v>-2534327.0281818178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2"/>
        <v>1521128.2399999998</v>
      </c>
      <c r="P170" s="130">
        <f t="shared" si="123"/>
        <v>85338.724545454519</v>
      </c>
      <c r="Q170" s="130">
        <f t="shared" si="124"/>
        <v>497063.54545454553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2"/>
        <v>-355812.5499999997</v>
      </c>
      <c r="P171" s="130">
        <f t="shared" si="123"/>
        <v>3308.9181818182115</v>
      </c>
      <c r="Q171" s="130">
        <f t="shared" si="124"/>
        <v>-395519.56818181823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2"/>
        <v>141205.01</v>
      </c>
      <c r="P172" s="130">
        <f t="shared" si="123"/>
        <v>9687.545454545454</v>
      </c>
      <c r="Q172" s="130">
        <f t="shared" si="124"/>
        <v>24954.464545454546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2"/>
        <v>1236000.5699999998</v>
      </c>
      <c r="P173" s="130">
        <f t="shared" si="123"/>
        <v>108810.09999999999</v>
      </c>
      <c r="Q173" s="130">
        <f t="shared" si="124"/>
        <v>-69720.62999999999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2"/>
        <v>-2562856.11</v>
      </c>
      <c r="P174" s="130">
        <f t="shared" si="123"/>
        <v>-102646.5918181818</v>
      </c>
      <c r="Q174" s="130">
        <f t="shared" si="124"/>
        <v>-1331097.0081818183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2"/>
        <v>800</v>
      </c>
      <c r="P175" s="130">
        <f t="shared" si="123"/>
        <v>72.727272727272734</v>
      </c>
      <c r="Q175" s="130">
        <f t="shared" si="124"/>
        <v>-72.727272727272734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2"/>
        <v>51203.719999999994</v>
      </c>
      <c r="P176" s="130">
        <f t="shared" si="123"/>
        <v>3865.2972727272718</v>
      </c>
      <c r="Q176" s="130">
        <f t="shared" si="124"/>
        <v>4820.152727272729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2"/>
        <v>45000</v>
      </c>
      <c r="P177" s="130">
        <f t="shared" si="123"/>
        <v>3636.3636363636365</v>
      </c>
      <c r="Q177" s="130">
        <f t="shared" si="124"/>
        <v>1363.6363636363635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2"/>
        <v>160</v>
      </c>
      <c r="P178" s="130">
        <f t="shared" si="123"/>
        <v>14.545454545454545</v>
      </c>
      <c r="Q178" s="130">
        <f t="shared" si="124"/>
        <v>-14.545454545454545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2"/>
        <v>190442.64999999997</v>
      </c>
      <c r="P179" s="130">
        <f t="shared" si="123"/>
        <v>14545.067272727269</v>
      </c>
      <c r="Q179" s="130">
        <f t="shared" si="124"/>
        <v>15901.842727272731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2"/>
        <v>-16962323.600000001</v>
      </c>
      <c r="P180" s="152">
        <f t="shared" si="123"/>
        <v>-1542029.4181818182</v>
      </c>
      <c r="Q180" s="152">
        <f t="shared" si="124"/>
        <v>1542029.4181818182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2"/>
        <v>233857.05000000005</v>
      </c>
      <c r="P181" s="130">
        <f t="shared" si="123"/>
        <v>19071.871818181822</v>
      </c>
      <c r="Q181" s="130">
        <f t="shared" si="124"/>
        <v>4994.588181818177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2"/>
        <v>1510</v>
      </c>
      <c r="P182" s="130">
        <f t="shared" si="123"/>
        <v>109.64181818181818</v>
      </c>
      <c r="Q182" s="130">
        <f t="shared" si="124"/>
        <v>194.29818181818183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2"/>
        <v>14721.27</v>
      </c>
      <c r="P183" s="130">
        <f t="shared" si="123"/>
        <v>1338.2972727272727</v>
      </c>
      <c r="Q183" s="130">
        <f t="shared" si="124"/>
        <v>-1338.2972727272727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2"/>
        <v>135398.03999999998</v>
      </c>
      <c r="P184" s="130">
        <f t="shared" si="123"/>
        <v>11531.252727272726</v>
      </c>
      <c r="Q184" s="130">
        <f t="shared" si="124"/>
        <v>-2976.9927272727255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2"/>
        <v>21475.920000000002</v>
      </c>
      <c r="P185" s="130">
        <f t="shared" si="123"/>
        <v>1546.7490909090911</v>
      </c>
      <c r="Q185" s="130">
        <f t="shared" si="124"/>
        <v>2914.9309090909092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2"/>
        <v>-651.96</v>
      </c>
      <c r="P186" s="130">
        <f t="shared" si="123"/>
        <v>-42.905454545454546</v>
      </c>
      <c r="Q186" s="130">
        <f t="shared" si="124"/>
        <v>-137.09454545454545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2"/>
        <v>794.81</v>
      </c>
      <c r="P187" s="130">
        <f t="shared" si="123"/>
        <v>72.25545454545454</v>
      </c>
      <c r="Q187" s="130">
        <f t="shared" si="124"/>
        <v>-72.25545454545454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2"/>
        <v>-23985.39</v>
      </c>
      <c r="P188" s="130">
        <f t="shared" si="123"/>
        <v>-1896</v>
      </c>
      <c r="Q188" s="130">
        <f t="shared" si="124"/>
        <v>-1233.3899999999999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2"/>
        <v>-357.5</v>
      </c>
      <c r="P189" s="130">
        <f t="shared" si="123"/>
        <v>-32.5</v>
      </c>
      <c r="Q189" s="130">
        <f t="shared" si="124"/>
        <v>32.5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2"/>
        <v>173279.05000000002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2"/>
        <v>7364.64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2"/>
        <v>2544359.5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2"/>
        <v>-225192.62000000002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2"/>
        <v>-2577.02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si="122"/>
        <v>91.300000000000011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ref="N196:N198" si="125">SUM(B196:J196)</f>
        <v>-1395.38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5"/>
        <v>168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5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6">SUM(C131:C196)</f>
        <v>1326064718.7600005</v>
      </c>
      <c r="D199" s="154">
        <f t="shared" si="126"/>
        <v>407886159.28000009</v>
      </c>
      <c r="E199" s="154">
        <f>SUM(E131:E198)</f>
        <v>144492603.92999986</v>
      </c>
      <c r="F199" s="154">
        <f t="shared" si="126"/>
        <v>212099725.4200002</v>
      </c>
      <c r="G199" s="154">
        <f t="shared" ref="G199:L199" si="127">SUM(G131:G198)</f>
        <v>355772504.34000009</v>
      </c>
      <c r="H199" s="154">
        <f t="shared" si="127"/>
        <v>291293762.78999996</v>
      </c>
      <c r="I199" s="154">
        <f t="shared" si="127"/>
        <v>454018087.06999999</v>
      </c>
      <c r="J199" s="154">
        <f t="shared" si="127"/>
        <v>336223545.79000008</v>
      </c>
      <c r="K199" s="154">
        <f t="shared" si="127"/>
        <v>149782494.22999993</v>
      </c>
      <c r="L199" s="154">
        <f t="shared" si="127"/>
        <v>225484150.4199999</v>
      </c>
      <c r="M199" s="154">
        <f>SUM(M131:M198)</f>
        <v>192927368.80999973</v>
      </c>
      <c r="N199" s="154">
        <f>SUM(N131:N198)</f>
        <v>4112543928.4899988</v>
      </c>
      <c r="P199" s="154">
        <f t="shared" si="123"/>
        <v>356328778.15272719</v>
      </c>
      <c r="Q199" s="154">
        <f t="shared" si="124"/>
        <v>-163401409.34272745</v>
      </c>
    </row>
    <row r="200" spans="1:17" s="74" customFormat="1" ht="15.75" thickBot="1" x14ac:dyDescent="0.3">
      <c r="A200" s="74" t="s">
        <v>150</v>
      </c>
      <c r="B200" s="151">
        <f t="shared" ref="B200:G200" si="128">B129-B199</f>
        <v>697510.16000008583</v>
      </c>
      <c r="C200" s="151">
        <f t="shared" si="128"/>
        <v>624547.37999987602</v>
      </c>
      <c r="D200" s="151">
        <f t="shared" si="128"/>
        <v>769919.81999999285</v>
      </c>
      <c r="E200" s="151">
        <f t="shared" si="128"/>
        <v>477580.01000010967</v>
      </c>
      <c r="F200" s="151">
        <f t="shared" si="128"/>
        <v>386606.16999977827</v>
      </c>
      <c r="G200" s="151">
        <f t="shared" si="128"/>
        <v>532374.25999993086</v>
      </c>
      <c r="H200" s="151">
        <f t="shared" ref="H200" si="129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SUM(B200:J200)</f>
        <v>4563189.6199995279</v>
      </c>
      <c r="P200" s="151">
        <f t="shared" si="123"/>
        <v>390029.97272720933</v>
      </c>
      <c r="Q200" s="151">
        <f t="shared" si="124"/>
        <v>-117170.05272698402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3"/>
        <v>0</v>
      </c>
      <c r="Q201" s="130">
        <f t="shared" si="124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SUM(B202:J202)</f>
        <v>1850896.77</v>
      </c>
      <c r="P202" s="130">
        <f t="shared" si="123"/>
        <v>137053.13272727272</v>
      </c>
      <c r="Q202" s="130">
        <f t="shared" si="124"/>
        <v>206259.17727272728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30">SUM(B203:J203)</f>
        <v>0</v>
      </c>
      <c r="P203" s="130">
        <f t="shared" si="123"/>
        <v>-26.025454545454544</v>
      </c>
      <c r="Q203" s="130">
        <f t="shared" si="124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30"/>
        <v>26017</v>
      </c>
      <c r="P204" s="130">
        <f t="shared" si="123"/>
        <v>1993.5454545454545</v>
      </c>
      <c r="Q204" s="130">
        <f t="shared" si="124"/>
        <v>2094.4545454545455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30"/>
        <v>154532.52999999997</v>
      </c>
      <c r="P205" s="130">
        <f t="shared" si="123"/>
        <v>11410.891818181815</v>
      </c>
      <c r="Q205" s="130">
        <f t="shared" si="124"/>
        <v>17601.828181818186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30"/>
        <v>172528.27000000002</v>
      </c>
      <c r="P206" s="130">
        <f t="shared" si="123"/>
        <v>14125.172727272729</v>
      </c>
      <c r="Q206" s="130">
        <f t="shared" si="124"/>
        <v>3026.1972727272696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30"/>
        <v>23030.460000000003</v>
      </c>
      <c r="P207" s="130">
        <f t="shared" si="123"/>
        <v>1840.1354545454546</v>
      </c>
      <c r="Q207" s="130">
        <f t="shared" si="124"/>
        <v>948.83454545454515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30"/>
        <v>52322.59</v>
      </c>
      <c r="P208" s="130">
        <f t="shared" si="123"/>
        <v>3474.3854545454542</v>
      </c>
      <c r="Q208" s="130">
        <f t="shared" si="124"/>
        <v>10629.964545454546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30"/>
        <v>2216</v>
      </c>
      <c r="P209" s="130">
        <f t="shared" si="123"/>
        <v>201.45454545454547</v>
      </c>
      <c r="Q209" s="130">
        <f t="shared" si="124"/>
        <v>-201.45454545454547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30"/>
        <v>10361.039999999999</v>
      </c>
      <c r="P210" s="130">
        <f t="shared" si="123"/>
        <v>864.82181818181812</v>
      </c>
      <c r="Q210" s="130">
        <f t="shared" si="124"/>
        <v>-16.821818181818116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30"/>
        <v>3680</v>
      </c>
      <c r="P211" s="130">
        <f t="shared" si="123"/>
        <v>288.18181818181819</v>
      </c>
      <c r="Q211" s="130">
        <f t="shared" si="124"/>
        <v>221.81818181818181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30"/>
        <v>3061.74</v>
      </c>
      <c r="P212" s="130">
        <f t="shared" si="123"/>
        <v>278.33999999999997</v>
      </c>
      <c r="Q212" s="130">
        <f t="shared" si="124"/>
        <v>-278.33999999999997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30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1">SUM(B202:B212)</f>
        <v>405193.11</v>
      </c>
      <c r="C214" s="151">
        <f t="shared" si="131"/>
        <v>341937.99000000005</v>
      </c>
      <c r="D214" s="151">
        <f t="shared" si="131"/>
        <v>343625.55</v>
      </c>
      <c r="E214" s="151">
        <f t="shared" si="131"/>
        <v>353871.56</v>
      </c>
      <c r="F214" s="151">
        <f t="shared" si="131"/>
        <v>420339.36000000004</v>
      </c>
      <c r="G214" s="151">
        <f t="shared" si="131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2298646.4000000004</v>
      </c>
      <c r="P214" s="151">
        <f t="shared" si="123"/>
        <v>171498.85909090913</v>
      </c>
      <c r="Q214" s="151">
        <f t="shared" si="124"/>
        <v>240660.09090909088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3"/>
        <v>0</v>
      </c>
      <c r="Q215" s="130">
        <f t="shared" si="124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>SUM(B216:J216)</f>
        <v>12500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ref="N217:N237" si="132">SUM(B217:J217)</f>
        <v>307800</v>
      </c>
      <c r="P217" s="130">
        <f t="shared" ref="P217:P274" si="133">(N217-M217)/11</f>
        <v>24872.727272727272</v>
      </c>
      <c r="Q217" s="130">
        <f t="shared" ref="Q217:Q274" si="134">M217-P217</f>
        <v>9327.2727272727279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2"/>
        <v>893.98000000000138</v>
      </c>
      <c r="P218" s="130">
        <f t="shared" si="133"/>
        <v>-420.19545454545442</v>
      </c>
      <c r="Q218" s="130">
        <f t="shared" si="134"/>
        <v>5936.3254545454547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2"/>
        <v>8811.7099999999991</v>
      </c>
      <c r="P219" s="130">
        <f t="shared" si="133"/>
        <v>708.3418181818181</v>
      </c>
      <c r="Q219" s="130">
        <f t="shared" si="134"/>
        <v>311.60818181818195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2"/>
        <v>579.03</v>
      </c>
      <c r="P220" s="130">
        <f t="shared" si="133"/>
        <v>52.639090909090903</v>
      </c>
      <c r="Q220" s="130">
        <f t="shared" si="134"/>
        <v>-52.639090909090903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2"/>
        <v>178.45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2"/>
        <v>19715</v>
      </c>
      <c r="P222" s="130">
        <f t="shared" si="133"/>
        <v>1766.8181818181818</v>
      </c>
      <c r="Q222" s="130">
        <f t="shared" si="134"/>
        <v>-1486.8181818181818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2"/>
        <v>88634.18</v>
      </c>
      <c r="P223" s="130">
        <f t="shared" si="133"/>
        <v>6442.300909090909</v>
      </c>
      <c r="Q223" s="130">
        <f t="shared" si="134"/>
        <v>11326.56909090909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2"/>
        <v>79598.200000000012</v>
      </c>
      <c r="P224" s="130">
        <f t="shared" si="133"/>
        <v>6401.6818181818198</v>
      </c>
      <c r="Q224" s="130">
        <f t="shared" si="134"/>
        <v>2778.0181818181809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2"/>
        <v>33500</v>
      </c>
      <c r="P225" s="130">
        <f t="shared" si="133"/>
        <v>3152.2336363636364</v>
      </c>
      <c r="Q225" s="130">
        <f t="shared" si="134"/>
        <v>-4326.8036363636365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2"/>
        <v>41020.459999999992</v>
      </c>
      <c r="P226" s="130">
        <f t="shared" si="133"/>
        <v>3256.2509090909084</v>
      </c>
      <c r="Q226" s="130">
        <f t="shared" si="134"/>
        <v>1945.4490909090914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2"/>
        <v>9093.4</v>
      </c>
      <c r="O227" s="130"/>
      <c r="P227" s="130">
        <f t="shared" si="133"/>
        <v>767.55909090909086</v>
      </c>
      <c r="Q227" s="130">
        <f t="shared" si="134"/>
        <v>-117.30909090909086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2"/>
        <v>7006.41</v>
      </c>
      <c r="P228" s="130">
        <f t="shared" si="133"/>
        <v>498.01</v>
      </c>
      <c r="Q228" s="130">
        <f t="shared" si="134"/>
        <v>1030.29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2"/>
        <v>99982.829999999987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2"/>
        <v>2999.97</v>
      </c>
      <c r="P230" s="130">
        <f t="shared" si="133"/>
        <v>242.42181818181817</v>
      </c>
      <c r="Q230" s="130">
        <f t="shared" si="134"/>
        <v>90.908181818181816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2"/>
        <v>773518.97</v>
      </c>
      <c r="P231" s="130">
        <f t="shared" si="133"/>
        <v>79411.085454545449</v>
      </c>
      <c r="Q231" s="130">
        <f t="shared" si="134"/>
        <v>-179414.05545454545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2"/>
        <v>26546.309999999998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2"/>
        <v>13105.57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2"/>
        <v>13428.419999999998</v>
      </c>
      <c r="P234" s="130">
        <f t="shared" si="133"/>
        <v>397.85181818181809</v>
      </c>
      <c r="Q234" s="130">
        <f t="shared" si="134"/>
        <v>8654.1981818181812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 t="shared" si="132"/>
        <v>2340</v>
      </c>
      <c r="P235" s="130">
        <f t="shared" si="133"/>
        <v>177.27272727272728</v>
      </c>
      <c r="Q235" s="130">
        <f t="shared" si="134"/>
        <v>212.72727272727272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2"/>
        <v>356742.88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2"/>
        <v>67500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5">SUM(C217:C236)</f>
        <v>209198.51</v>
      </c>
      <c r="D238" s="151">
        <f t="shared" si="135"/>
        <v>217237.15000000002</v>
      </c>
      <c r="E238" s="151">
        <f t="shared" si="135"/>
        <v>198728.25999999998</v>
      </c>
      <c r="F238" s="151">
        <f t="shared" si="135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1965495.77</v>
      </c>
      <c r="P238" s="151">
        <f t="shared" si="133"/>
        <v>156929.07272727272</v>
      </c>
      <c r="Q238" s="151">
        <f t="shared" si="134"/>
        <v>82346.897272727248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3"/>
        <v>0</v>
      </c>
      <c r="Q239" s="130">
        <f t="shared" si="134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>SUM(B240:J240)</f>
        <v>4500</v>
      </c>
      <c r="P240" s="130">
        <f t="shared" si="133"/>
        <v>409.09090909090907</v>
      </c>
      <c r="Q240" s="130">
        <f t="shared" si="134"/>
        <v>-409.09090909090907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ref="N241:N269" si="136">SUM(B241:J241)</f>
        <v>29671.670000000002</v>
      </c>
      <c r="P241" s="130">
        <f t="shared" si="133"/>
        <v>2553.1245454545456</v>
      </c>
      <c r="Q241" s="130">
        <f t="shared" si="134"/>
        <v>-965.82454545454561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6"/>
        <v>8050.6</v>
      </c>
      <c r="P242" s="130">
        <f t="shared" si="133"/>
        <v>640.25</v>
      </c>
      <c r="Q242" s="130">
        <f t="shared" si="134"/>
        <v>367.6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6"/>
        <v>91089.459999999992</v>
      </c>
      <c r="P243" s="130">
        <f t="shared" si="133"/>
        <v>7369.1890909090898</v>
      </c>
      <c r="Q243" s="130">
        <f t="shared" si="134"/>
        <v>2659.1909090909094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6"/>
        <v>543.67999999999995</v>
      </c>
      <c r="P244" s="130">
        <f t="shared" si="133"/>
        <v>49.425454545454542</v>
      </c>
      <c r="Q244" s="130">
        <f t="shared" si="134"/>
        <v>-49.425454545454542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6"/>
        <v>3820.81</v>
      </c>
      <c r="P245" s="130">
        <f t="shared" si="133"/>
        <v>-190.67909090909089</v>
      </c>
      <c r="Q245" s="130">
        <f t="shared" si="134"/>
        <v>6108.9590909090903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6"/>
        <v>0</v>
      </c>
      <c r="O246" s="130"/>
      <c r="P246" s="130">
        <f t="shared" si="133"/>
        <v>0</v>
      </c>
      <c r="Q246" s="130">
        <f t="shared" si="134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6"/>
        <v>0</v>
      </c>
      <c r="P247" s="130">
        <f t="shared" si="133"/>
        <v>0</v>
      </c>
      <c r="Q247" s="130">
        <f t="shared" si="134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6"/>
        <v>0</v>
      </c>
      <c r="P248" s="130">
        <f t="shared" si="133"/>
        <v>0</v>
      </c>
      <c r="Q248" s="130">
        <f t="shared" si="134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6"/>
        <v>15725.250000000007</v>
      </c>
      <c r="P249" s="130">
        <f t="shared" si="133"/>
        <v>-203.62272727272648</v>
      </c>
      <c r="Q249" s="130">
        <f t="shared" si="134"/>
        <v>18168.722727272725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6"/>
        <v>397.63</v>
      </c>
      <c r="O250" s="130"/>
      <c r="P250" s="130">
        <f t="shared" si="133"/>
        <v>-493.72818181818184</v>
      </c>
      <c r="Q250" s="130">
        <f t="shared" si="134"/>
        <v>6322.3681818181822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6"/>
        <v>13030.69</v>
      </c>
      <c r="P251" s="130">
        <f t="shared" si="133"/>
        <v>1054.4645454545455</v>
      </c>
      <c r="Q251" s="130">
        <f t="shared" si="134"/>
        <v>377.11545454545444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6"/>
        <v>1268.68</v>
      </c>
      <c r="P252" s="130">
        <f t="shared" si="133"/>
        <v>115.33454545454546</v>
      </c>
      <c r="Q252" s="130">
        <f t="shared" si="134"/>
        <v>-115.33454545454546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6"/>
        <v>27536.76</v>
      </c>
      <c r="P253" s="130">
        <f t="shared" si="133"/>
        <v>2344.2799999999997</v>
      </c>
      <c r="Q253" s="130">
        <f t="shared" si="134"/>
        <v>-594.59999999999968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6"/>
        <v>19020.120000000003</v>
      </c>
      <c r="P254" s="130">
        <f t="shared" si="133"/>
        <v>1478.2381818181821</v>
      </c>
      <c r="Q254" s="130">
        <f t="shared" si="134"/>
        <v>1281.2618181818179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6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6"/>
        <v>10195.619999999999</v>
      </c>
      <c r="P256" s="130">
        <f t="shared" si="133"/>
        <v>926.87454545454534</v>
      </c>
      <c r="Q256" s="130">
        <f t="shared" si="134"/>
        <v>-926.87454545454534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6"/>
        <v>17435.02</v>
      </c>
      <c r="P257" s="130">
        <f t="shared" si="133"/>
        <v>1770.3272727272727</v>
      </c>
      <c r="Q257" s="130">
        <f t="shared" si="134"/>
        <v>-3808.9072727272724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6"/>
        <v>4592.21</v>
      </c>
      <c r="P258" s="130">
        <f t="shared" si="133"/>
        <v>416.26181818181817</v>
      </c>
      <c r="Q258" s="130">
        <f t="shared" si="134"/>
        <v>-402.93181818181819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6"/>
        <v>17950.280000000002</v>
      </c>
      <c r="P259" s="130">
        <f t="shared" si="133"/>
        <v>1416.1818181818182</v>
      </c>
      <c r="Q259" s="130">
        <f t="shared" si="134"/>
        <v>956.09818181818196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6"/>
        <v>0</v>
      </c>
      <c r="P260" s="130">
        <f t="shared" si="133"/>
        <v>0</v>
      </c>
      <c r="Q260" s="130">
        <f t="shared" si="134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6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6"/>
        <v>43002.740000000005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6"/>
        <v>261714.28000000003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6"/>
        <v>68000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6"/>
        <v>25579.120000000003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6"/>
        <v>1663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6"/>
        <v>386.71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6"/>
        <v>573.52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6"/>
        <v>7699.87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7">SUM(B240:B268)</f>
        <v>90442.829999999987</v>
      </c>
      <c r="C270" s="151">
        <f t="shared" si="137"/>
        <v>71415.44</v>
      </c>
      <c r="D270" s="151">
        <f t="shared" si="137"/>
        <v>72804.350000000006</v>
      </c>
      <c r="E270" s="151">
        <f t="shared" si="137"/>
        <v>77596.460000000006</v>
      </c>
      <c r="F270" s="151">
        <f t="shared" si="137"/>
        <v>76368.37</v>
      </c>
      <c r="G270" s="151">
        <f t="shared" si="137"/>
        <v>87260.21</v>
      </c>
      <c r="H270" s="151">
        <f t="shared" ref="H270" si="138">SUM(H240:H267)</f>
        <v>100682.48999999999</v>
      </c>
      <c r="I270" s="151">
        <f t="shared" ref="I270:N270" si="139">SUM(I240:I269)</f>
        <v>93622.96</v>
      </c>
      <c r="J270" s="151">
        <f t="shared" si="139"/>
        <v>3254.6100000000069</v>
      </c>
      <c r="K270" s="151">
        <f t="shared" si="139"/>
        <v>90818.64</v>
      </c>
      <c r="L270" s="151">
        <f t="shared" si="139"/>
        <v>66473.72</v>
      </c>
      <c r="M270" s="151">
        <f t="shared" si="139"/>
        <v>115905.43000000002</v>
      </c>
      <c r="N270" s="151">
        <f t="shared" si="139"/>
        <v>673447.72</v>
      </c>
      <c r="P270" s="151">
        <f t="shared" si="133"/>
        <v>50685.66272727272</v>
      </c>
      <c r="Q270" s="151">
        <f t="shared" si="134"/>
        <v>65219.767272727302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3"/>
        <v>0</v>
      </c>
      <c r="Q271" s="130">
        <f t="shared" si="134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3"/>
        <v>0</v>
      </c>
      <c r="Q272" s="130">
        <f t="shared" si="134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>SUM(B273:J273)</f>
        <v>112500</v>
      </c>
      <c r="P273" s="130">
        <f t="shared" si="133"/>
        <v>9090.9090909090901</v>
      </c>
      <c r="Q273" s="130">
        <f t="shared" si="134"/>
        <v>3409.0909090909099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ref="N274:N284" si="140">SUM(B274:J274)</f>
        <v>0</v>
      </c>
      <c r="P274" s="130">
        <f t="shared" si="133"/>
        <v>0</v>
      </c>
      <c r="Q274" s="130">
        <f t="shared" si="134"/>
        <v>0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40"/>
        <v>49196.87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40"/>
        <v>154224.38999999998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40"/>
        <v>183407.18</v>
      </c>
      <c r="P277" s="130">
        <f t="shared" ref="P277:P289" si="141">(N277-M277)/11</f>
        <v>12333.468181818182</v>
      </c>
      <c r="Q277" s="130">
        <f t="shared" ref="Q277:Q289" si="142">M277-P277</f>
        <v>35405.561818181814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40"/>
        <v>-137770.54999999999</v>
      </c>
      <c r="P278" s="130">
        <f t="shared" si="141"/>
        <v>-11157.267272727271</v>
      </c>
      <c r="Q278" s="130">
        <f t="shared" si="142"/>
        <v>-3883.3427272727295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40"/>
        <v>49.6</v>
      </c>
      <c r="P279" s="130">
        <f t="shared" si="141"/>
        <v>-77.096363636363634</v>
      </c>
      <c r="Q279" s="130">
        <f t="shared" si="142"/>
        <v>974.75636363636363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>SUM(B280:J280)</f>
        <v>25869.809999999998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40"/>
        <v>5035.16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40"/>
        <v>22084.030000000002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40"/>
        <v>25430.999999999996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40"/>
        <v>3098.28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3">SUM(B273:B284)</f>
        <v>81297.39</v>
      </c>
      <c r="C285" s="155">
        <f t="shared" si="143"/>
        <v>60573.55</v>
      </c>
      <c r="D285" s="155">
        <f t="shared" si="143"/>
        <v>54599.840000000004</v>
      </c>
      <c r="E285" s="155">
        <f t="shared" si="143"/>
        <v>82044.150000000009</v>
      </c>
      <c r="F285" s="155">
        <f t="shared" si="143"/>
        <v>105834.51000000001</v>
      </c>
      <c r="G285" s="155">
        <f t="shared" si="143"/>
        <v>92499.849999999991</v>
      </c>
      <c r="H285" s="155">
        <f t="shared" ref="H285" si="144">SUM(H273:H284)</f>
        <v>94568.209999999992</v>
      </c>
      <c r="I285" s="155">
        <f t="shared" ref="I285:N285" si="145">SUM(I273:I284)</f>
        <v>83366.98</v>
      </c>
      <c r="J285" s="155">
        <f t="shared" si="145"/>
        <v>-211658.71</v>
      </c>
      <c r="K285" s="155">
        <f t="shared" si="145"/>
        <v>66662.75</v>
      </c>
      <c r="L285" s="155">
        <f t="shared" si="145"/>
        <v>75012.94</v>
      </c>
      <c r="M285" s="155">
        <f t="shared" si="145"/>
        <v>106003.87000000001</v>
      </c>
      <c r="N285" s="155">
        <f t="shared" si="145"/>
        <v>443125.77</v>
      </c>
      <c r="P285" s="155">
        <f t="shared" si="141"/>
        <v>30647.445454545457</v>
      </c>
      <c r="Q285" s="155">
        <f t="shared" si="142"/>
        <v>75356.42454545456</v>
      </c>
    </row>
    <row r="286" spans="1:17" ht="15.75" thickTop="1" x14ac:dyDescent="0.25">
      <c r="P286" s="66">
        <f t="shared" si="141"/>
        <v>0</v>
      </c>
      <c r="Q286" s="66">
        <f t="shared" si="142"/>
        <v>0</v>
      </c>
    </row>
    <row r="287" spans="1:17" s="74" customFormat="1" ht="15.75" thickBot="1" x14ac:dyDescent="0.3">
      <c r="A287" s="74" t="s">
        <v>206</v>
      </c>
      <c r="B287" s="151">
        <f t="shared" ref="B287:G287" si="146">B200-B214-B238-B270+B285</f>
        <v>65733.430000085864</v>
      </c>
      <c r="C287" s="151">
        <f t="shared" si="146"/>
        <v>62568.989999875965</v>
      </c>
      <c r="D287" s="151">
        <f t="shared" si="146"/>
        <v>190852.60999999283</v>
      </c>
      <c r="E287" s="151">
        <f t="shared" si="146"/>
        <v>-70572.119999890288</v>
      </c>
      <c r="F287" s="151">
        <f t="shared" si="146"/>
        <v>-203743.00000022177</v>
      </c>
      <c r="G287" s="151">
        <f t="shared" si="146"/>
        <v>-88358.510000069145</v>
      </c>
      <c r="H287" s="151">
        <f t="shared" ref="H287" si="147">H200-H214-H238-H270+H285</f>
        <v>-303625.04000008584</v>
      </c>
      <c r="I287" s="151">
        <f t="shared" ref="I287:L287" si="148">I200-I214-I238-I270+I285</f>
        <v>-208857.15000011685</v>
      </c>
      <c r="J287" s="151">
        <f t="shared" si="148"/>
        <v>624726.2899999572</v>
      </c>
      <c r="K287" s="151">
        <f t="shared" si="148"/>
        <v>-30452.230000001189</v>
      </c>
      <c r="L287" s="151">
        <f t="shared" si="148"/>
        <v>-220404.46999992366</v>
      </c>
      <c r="M287" s="151">
        <f>M200-M214-M238-M270+M285</f>
        <v>-388476.55999977468</v>
      </c>
      <c r="N287" s="151">
        <f>N200-N214-N238-N270+N285</f>
        <v>68725.499999527587</v>
      </c>
      <c r="P287" s="151">
        <f t="shared" si="141"/>
        <v>41563.823636300207</v>
      </c>
      <c r="Q287" s="151">
        <f t="shared" si="142"/>
        <v>-430040.3836360749</v>
      </c>
    </row>
    <row r="288" spans="1:17" ht="15.75" thickTop="1" x14ac:dyDescent="0.25">
      <c r="P288" s="66">
        <f t="shared" si="141"/>
        <v>0</v>
      </c>
      <c r="Q288" s="66">
        <f t="shared" si="142"/>
        <v>0</v>
      </c>
    </row>
    <row r="289" spans="2:17" x14ac:dyDescent="0.25">
      <c r="B289" s="156">
        <f t="shared" ref="B289:G289" si="149">+B78-B287</f>
        <v>3.3396645449101925E-8</v>
      </c>
      <c r="C289" s="156">
        <f t="shared" si="149"/>
        <v>-8.5754436440765858E-8</v>
      </c>
      <c r="D289" s="156">
        <f t="shared" si="149"/>
        <v>-6.1991158872842789E-8</v>
      </c>
      <c r="E289" s="156">
        <f t="shared" si="149"/>
        <v>-1.5126715879887342E-7</v>
      </c>
      <c r="F289" s="156">
        <f t="shared" si="149"/>
        <v>2.2526364773511887E-7</v>
      </c>
      <c r="G289" s="156">
        <f t="shared" si="149"/>
        <v>1.1976226232945919E-8</v>
      </c>
      <c r="H289" s="156">
        <f t="shared" ref="H289" si="150">+H78-H287</f>
        <v>1.0972144082188606E-7</v>
      </c>
      <c r="I289" s="156">
        <f t="shared" ref="I289:N289" si="151">+I78-I287</f>
        <v>1.6932608559727669E-7</v>
      </c>
      <c r="J289" s="156">
        <f t="shared" si="151"/>
        <v>1.073349267244339E-7</v>
      </c>
      <c r="K289" s="156">
        <f t="shared" si="151"/>
        <v>1.2507371138781309E-7</v>
      </c>
      <c r="L289" s="156">
        <f t="shared" si="151"/>
        <v>4.8894435167312622E-8</v>
      </c>
      <c r="M289" s="156">
        <f t="shared" si="151"/>
        <v>-1.6082776710391045E-7</v>
      </c>
      <c r="N289" s="156">
        <f t="shared" si="151"/>
        <v>3.587920218706131E-7</v>
      </c>
      <c r="P289" s="156">
        <f t="shared" si="141"/>
        <v>4.7238162634047593E-8</v>
      </c>
      <c r="Q289" s="156">
        <f t="shared" si="142"/>
        <v>-2.0806592973795804E-7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2019-02-19T20:02:55Z</dcterms:modified>
</cp:coreProperties>
</file>