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ting\Pez Work\Published Financial Reports\Combined 2018\Use For 2019 PY\"/>
    </mc:Choice>
  </mc:AlternateContent>
  <xr:revisionPtr revIDLastSave="0" documentId="13_ncr:1_{56B533F5-13A9-463A-932E-367640EFC5D8}" xr6:coauthVersionLast="43" xr6:coauthVersionMax="43" xr10:uidLastSave="{00000000-0000-0000-0000-000000000000}"/>
  <bookViews>
    <workbookView xWindow="-120" yWindow="-120" windowWidth="29040" windowHeight="15840" tabRatio="911" firstSheet="3" activeTab="4" xr2:uid="{00000000-000D-0000-FFFF-FFFF00000000}"/>
  </bookViews>
  <sheets>
    <sheet name="Summary YTD 12.31.18 (condensd)" sheetId="16" state="hidden" r:id="rId1"/>
    <sheet name="Summary YTD 12.31.18" sheetId="11" state="hidden" r:id="rId2"/>
    <sheet name="Comp Summary YTD 2018-2017 Dec" sheetId="15" state="hidden" r:id="rId3"/>
    <sheet name="Comp YTD 2018-2017 10.28.18" sheetId="18" r:id="rId4"/>
    <sheet name="Comp YTD 2018-2017 Dec" sheetId="12" r:id="rId5"/>
    <sheet name="DEP" sheetId="5" r:id="rId6"/>
    <sheet name="BPM" sheetId="6" r:id="rId7"/>
    <sheet name="Lending" sheetId="7" r:id="rId8"/>
    <sheet name="BSC (Dome)" sheetId="10" r:id="rId9"/>
    <sheet name="Oliari Co." sheetId="14" r:id="rId10"/>
    <sheet name="722 Bedford St" sheetId="17" r:id="rId11"/>
    <sheet name="CNT" sheetId="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10">'722 Bedford St'!$A$1:$N$29</definedName>
    <definedName name="_xlnm.Print_Area" localSheetId="8">'BSC (Dome)'!$A$1:$N$83</definedName>
    <definedName name="_xlnm.Print_Area" localSheetId="11">CNT!$A$1:$N$291</definedName>
    <definedName name="_xlnm.Print_Area" localSheetId="2">'Comp Summary YTD 2018-2017 Dec'!$A$9:$AE$37</definedName>
    <definedName name="_xlnm.Print_Area" localSheetId="3">'Comp YTD 2018-2017 10.28.18'!$A$116:$L$151</definedName>
    <definedName name="_xlnm.Print_Area" localSheetId="4">'Comp YTD 2018-2017 Dec'!$A$1:$L$430</definedName>
    <definedName name="_xlnm.Print_Area" localSheetId="5">DEP!$A$1:$N$81</definedName>
    <definedName name="_xlnm.Print_Area" localSheetId="9">'Oliari Co.'!$A$1:$N$29</definedName>
    <definedName name="_xlnm.Print_Area" localSheetId="1">'Summary YTD 12.31.18'!$A$1:$I$110</definedName>
    <definedName name="_xlnm.Print_Area" localSheetId="0">'Summary YTD 12.31.18 (condensd)'!$A$1:$I$64</definedName>
    <definedName name="_xlnm.Print_Titles" localSheetId="8">'BSC (Dome)'!$1:$6</definedName>
    <definedName name="_xlnm.Print_Titles" localSheetId="11">CNT!$A:$A,CNT!$1:$3</definedName>
    <definedName name="_xlnm.Print_Titles" localSheetId="2">'Comp Summary YTD 2018-2017 Dec'!$9:$18</definedName>
    <definedName name="_xlnm.Print_Titles" localSheetId="3">'Comp YTD 2018-2017 10.28.18'!$5:$14</definedName>
    <definedName name="_xlnm.Print_Titles" localSheetId="5">DEP!$1:$6</definedName>
    <definedName name="_xlnm.Print_Titles" localSheetId="1">'Summary YTD 12.31.18'!$1:$6</definedName>
    <definedName name="_xlnm.Print_Titles" localSheetId="0">'Summary YTD 12.31.18 (condensd)'!$1:$6</definedName>
  </definedNames>
  <calcPr calcId="191029" iterate="1" iterateCount="1" iterateDelta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8" i="5" l="1"/>
  <c r="N17" i="5" s="1"/>
  <c r="G174" i="12" l="1"/>
  <c r="C174" i="12"/>
  <c r="B174" i="12"/>
  <c r="B173" i="12"/>
  <c r="B107" i="12"/>
  <c r="C108" i="12"/>
  <c r="G106" i="12"/>
  <c r="B98" i="12"/>
  <c r="C98" i="12"/>
  <c r="D98" i="12"/>
  <c r="D94" i="12"/>
  <c r="B94" i="12"/>
  <c r="D92" i="12"/>
  <c r="B92" i="12"/>
  <c r="B90" i="12"/>
  <c r="C90" i="12"/>
  <c r="D90" i="12"/>
  <c r="D89" i="12"/>
  <c r="C89" i="12"/>
  <c r="B89" i="12"/>
  <c r="C69" i="12"/>
  <c r="B69" i="12"/>
  <c r="B68" i="12"/>
  <c r="C68" i="12"/>
  <c r="C60" i="12"/>
  <c r="B60" i="12"/>
  <c r="C50" i="12"/>
  <c r="B46" i="12"/>
  <c r="C46" i="12"/>
  <c r="D46" i="12"/>
  <c r="D43" i="12"/>
  <c r="C43" i="12"/>
  <c r="B43" i="12"/>
  <c r="D41" i="12"/>
  <c r="C41" i="12"/>
  <c r="B41" i="12"/>
  <c r="B40" i="12"/>
  <c r="C40" i="12"/>
  <c r="D40" i="12"/>
  <c r="D37" i="12"/>
  <c r="C37" i="12"/>
  <c r="B37" i="12"/>
  <c r="D44" i="12" l="1"/>
  <c r="B44" i="12"/>
  <c r="N77" i="5" l="1"/>
  <c r="N76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57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39" i="5"/>
  <c r="N30" i="5"/>
  <c r="N31" i="5"/>
  <c r="N32" i="5"/>
  <c r="N33" i="5"/>
  <c r="N34" i="5"/>
  <c r="N35" i="5"/>
  <c r="N29" i="5"/>
  <c r="N20" i="5"/>
  <c r="N21" i="5"/>
  <c r="N22" i="5"/>
  <c r="N19" i="5"/>
  <c r="N9" i="5"/>
  <c r="N10" i="5"/>
  <c r="N11" i="5"/>
  <c r="N12" i="5"/>
  <c r="N13" i="5"/>
  <c r="N14" i="5"/>
  <c r="N15" i="5"/>
  <c r="N16" i="5"/>
  <c r="N74" i="6"/>
  <c r="N75" i="6"/>
  <c r="N73" i="6"/>
  <c r="N60" i="6"/>
  <c r="N61" i="6"/>
  <c r="N62" i="6"/>
  <c r="N63" i="6"/>
  <c r="N64" i="6"/>
  <c r="N65" i="6"/>
  <c r="N66" i="6"/>
  <c r="N67" i="6"/>
  <c r="N68" i="6"/>
  <c r="N69" i="6"/>
  <c r="N59" i="6"/>
  <c r="N53" i="6"/>
  <c r="N54" i="6"/>
  <c r="N55" i="6"/>
  <c r="N52" i="6"/>
  <c r="N44" i="6"/>
  <c r="N45" i="6"/>
  <c r="N46" i="6"/>
  <c r="N47" i="6"/>
  <c r="N48" i="6"/>
  <c r="N43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20" i="6"/>
  <c r="N9" i="6"/>
  <c r="N10" i="6"/>
  <c r="N11" i="6"/>
  <c r="N12" i="6"/>
  <c r="N13" i="6"/>
  <c r="N14" i="6"/>
  <c r="N15" i="6"/>
  <c r="N16" i="6"/>
  <c r="N8" i="6"/>
  <c r="N18" i="7"/>
  <c r="N17" i="7"/>
  <c r="N10" i="7"/>
  <c r="N11" i="7"/>
  <c r="N12" i="7"/>
  <c r="N13" i="7"/>
  <c r="N9" i="7"/>
  <c r="N77" i="10"/>
  <c r="N78" i="10"/>
  <c r="N79" i="10"/>
  <c r="N80" i="10"/>
  <c r="N76" i="10"/>
  <c r="N61" i="10"/>
  <c r="N62" i="10"/>
  <c r="N63" i="10"/>
  <c r="N64" i="10"/>
  <c r="N65" i="10"/>
  <c r="N66" i="10"/>
  <c r="N67" i="10"/>
  <c r="N68" i="10"/>
  <c r="N69" i="10"/>
  <c r="N70" i="10"/>
  <c r="N60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6" i="10"/>
  <c r="N36" i="10"/>
  <c r="N25" i="10"/>
  <c r="N26" i="10"/>
  <c r="N27" i="10"/>
  <c r="N28" i="10"/>
  <c r="N29" i="10"/>
  <c r="N30" i="10"/>
  <c r="N31" i="10"/>
  <c r="N32" i="10"/>
  <c r="N24" i="10"/>
  <c r="N17" i="10"/>
  <c r="N9" i="10"/>
  <c r="N10" i="10"/>
  <c r="N11" i="10"/>
  <c r="N12" i="10"/>
  <c r="N13" i="10"/>
  <c r="N8" i="10"/>
  <c r="N26" i="14"/>
  <c r="N25" i="14"/>
  <c r="N24" i="14"/>
  <c r="N23" i="14"/>
  <c r="N22" i="14"/>
  <c r="N21" i="14"/>
  <c r="N15" i="14"/>
  <c r="N11" i="14"/>
  <c r="N10" i="14"/>
  <c r="N26" i="17"/>
  <c r="N25" i="17"/>
  <c r="N24" i="17"/>
  <c r="N23" i="17"/>
  <c r="N22" i="17"/>
  <c r="N16" i="17"/>
  <c r="N15" i="17"/>
  <c r="N11" i="17"/>
  <c r="N10" i="17"/>
  <c r="N274" i="2"/>
  <c r="N275" i="2"/>
  <c r="N276" i="2"/>
  <c r="N277" i="2"/>
  <c r="N278" i="2"/>
  <c r="N279" i="2"/>
  <c r="N280" i="2"/>
  <c r="N281" i="2"/>
  <c r="N282" i="2"/>
  <c r="N283" i="2"/>
  <c r="N284" i="2"/>
  <c r="N273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40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16" i="2"/>
  <c r="N203" i="2"/>
  <c r="N204" i="2"/>
  <c r="N205" i="2"/>
  <c r="N206" i="2"/>
  <c r="N207" i="2"/>
  <c r="N208" i="2"/>
  <c r="N209" i="2"/>
  <c r="N210" i="2"/>
  <c r="N211" i="2"/>
  <c r="N212" i="2"/>
  <c r="N213" i="2"/>
  <c r="N202" i="2"/>
  <c r="N200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31" i="2"/>
  <c r="N110" i="2"/>
  <c r="N111" i="2"/>
  <c r="N129" i="2" s="1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09" i="2"/>
  <c r="N108" i="2"/>
  <c r="N107" i="2"/>
  <c r="N106" i="2"/>
  <c r="N94" i="2"/>
  <c r="N93" i="2"/>
  <c r="N92" i="2"/>
  <c r="N91" i="2"/>
  <c r="N90" i="2"/>
  <c r="N86" i="2"/>
  <c r="N85" i="2"/>
  <c r="N73" i="2"/>
  <c r="N74" i="2"/>
  <c r="N75" i="2"/>
  <c r="N76" i="2"/>
  <c r="N72" i="2"/>
  <c r="N62" i="2"/>
  <c r="N63" i="2"/>
  <c r="N64" i="2"/>
  <c r="N65" i="2"/>
  <c r="N66" i="2"/>
  <c r="N67" i="2"/>
  <c r="N68" i="2"/>
  <c r="N61" i="2"/>
  <c r="N56" i="2"/>
  <c r="N57" i="2"/>
  <c r="N58" i="2"/>
  <c r="N55" i="2"/>
  <c r="N39" i="2"/>
  <c r="N41" i="2"/>
  <c r="N42" i="2"/>
  <c r="N43" i="2"/>
  <c r="N44" i="2"/>
  <c r="N45" i="2"/>
  <c r="N46" i="2"/>
  <c r="N47" i="2"/>
  <c r="N48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14" i="2"/>
  <c r="N6" i="2"/>
  <c r="N7" i="2"/>
  <c r="N8" i="2"/>
  <c r="N9" i="2"/>
  <c r="N10" i="2"/>
  <c r="N5" i="2"/>
  <c r="N23" i="10"/>
  <c r="N27" i="17" l="1"/>
  <c r="C94" i="12" l="1"/>
  <c r="L143" i="18" l="1"/>
  <c r="L142" i="18"/>
  <c r="L140" i="18"/>
  <c r="K139" i="18"/>
  <c r="H139" i="18"/>
  <c r="G139" i="18"/>
  <c r="J138" i="18"/>
  <c r="E138" i="18"/>
  <c r="L138" i="18" s="1"/>
  <c r="C138" i="18"/>
  <c r="J137" i="18"/>
  <c r="E137" i="18"/>
  <c r="L137" i="18" s="1"/>
  <c r="C137" i="18"/>
  <c r="J136" i="18"/>
  <c r="F136" i="18"/>
  <c r="E136" i="18"/>
  <c r="C136" i="18"/>
  <c r="L136" i="18" s="1"/>
  <c r="B136" i="18"/>
  <c r="J135" i="18"/>
  <c r="J134" i="18"/>
  <c r="E134" i="18"/>
  <c r="L134" i="18" s="1"/>
  <c r="C134" i="18"/>
  <c r="J133" i="18"/>
  <c r="J132" i="18"/>
  <c r="J131" i="18"/>
  <c r="J130" i="18"/>
  <c r="J129" i="18"/>
  <c r="I128" i="18"/>
  <c r="D128" i="18"/>
  <c r="E128" i="18" s="1"/>
  <c r="C128" i="18"/>
  <c r="J127" i="18"/>
  <c r="J126" i="18"/>
  <c r="E126" i="18"/>
  <c r="C126" i="18"/>
  <c r="B126" i="18"/>
  <c r="L126" i="18" s="1"/>
  <c r="J125" i="18"/>
  <c r="E125" i="18"/>
  <c r="B125" i="18"/>
  <c r="C125" i="18" s="1"/>
  <c r="J124" i="18"/>
  <c r="E124" i="18"/>
  <c r="C124" i="18"/>
  <c r="B124" i="18"/>
  <c r="L124" i="18" s="1"/>
  <c r="J123" i="18"/>
  <c r="E123" i="18"/>
  <c r="B123" i="18"/>
  <c r="W119" i="18"/>
  <c r="L119" i="18"/>
  <c r="AC115" i="18"/>
  <c r="W115" i="18"/>
  <c r="L115" i="18"/>
  <c r="V114" i="18"/>
  <c r="T114" i="18"/>
  <c r="S114" i="18"/>
  <c r="R114" i="18"/>
  <c r="Q114" i="18"/>
  <c r="P114" i="18"/>
  <c r="AC113" i="18"/>
  <c r="B113" i="18"/>
  <c r="L113" i="18" s="1"/>
  <c r="AC112" i="18"/>
  <c r="B112" i="18"/>
  <c r="L112" i="18" s="1"/>
  <c r="AA112" i="18" s="1"/>
  <c r="AC111" i="18"/>
  <c r="W111" i="18"/>
  <c r="B111" i="18"/>
  <c r="L111" i="18" s="1"/>
  <c r="AE111" i="18" s="1"/>
  <c r="W110" i="18"/>
  <c r="AC110" i="18" s="1"/>
  <c r="B110" i="18"/>
  <c r="L110" i="18" s="1"/>
  <c r="AC109" i="18"/>
  <c r="W109" i="18"/>
  <c r="B109" i="18"/>
  <c r="L109" i="18" s="1"/>
  <c r="W108" i="18"/>
  <c r="AC108" i="18" s="1"/>
  <c r="I108" i="18"/>
  <c r="H108" i="18"/>
  <c r="B108" i="18"/>
  <c r="W107" i="18"/>
  <c r="AC107" i="18" s="1"/>
  <c r="U107" i="18"/>
  <c r="T107" i="18"/>
  <c r="I107" i="18"/>
  <c r="H107" i="18"/>
  <c r="G107" i="18"/>
  <c r="B107" i="18"/>
  <c r="AC106" i="18"/>
  <c r="W106" i="18"/>
  <c r="I106" i="18"/>
  <c r="G106" i="18"/>
  <c r="G114" i="18" s="1"/>
  <c r="F106" i="18"/>
  <c r="D106" i="18"/>
  <c r="B106" i="18"/>
  <c r="W105" i="18"/>
  <c r="AC105" i="18" s="1"/>
  <c r="B105" i="18"/>
  <c r="L105" i="18" s="1"/>
  <c r="AE105" i="18" s="1"/>
  <c r="AC104" i="18"/>
  <c r="D104" i="18"/>
  <c r="B104" i="18"/>
  <c r="W103" i="18"/>
  <c r="AC103" i="18" s="1"/>
  <c r="D103" i="18"/>
  <c r="L103" i="18" s="1"/>
  <c r="AE103" i="18" s="1"/>
  <c r="W102" i="18"/>
  <c r="AC102" i="18" s="1"/>
  <c r="B102" i="18"/>
  <c r="B135" i="18" s="1"/>
  <c r="C135" i="18" s="1"/>
  <c r="U101" i="18"/>
  <c r="U114" i="18" s="1"/>
  <c r="T101" i="18"/>
  <c r="W101" i="18" s="1"/>
  <c r="AC101" i="18" s="1"/>
  <c r="K101" i="18"/>
  <c r="K114" i="18" s="1"/>
  <c r="I101" i="18"/>
  <c r="I114" i="18" s="1"/>
  <c r="H101" i="18"/>
  <c r="F101" i="18"/>
  <c r="B101" i="18"/>
  <c r="AC100" i="18"/>
  <c r="AC99" i="18"/>
  <c r="W97" i="18"/>
  <c r="AC97" i="18" s="1"/>
  <c r="L97" i="18"/>
  <c r="V96" i="18"/>
  <c r="U96" i="18"/>
  <c r="S96" i="18"/>
  <c r="R96" i="18"/>
  <c r="Q96" i="18"/>
  <c r="P96" i="18"/>
  <c r="W95" i="18"/>
  <c r="B95" i="18"/>
  <c r="L95" i="18" s="1"/>
  <c r="AI94" i="18"/>
  <c r="W94" i="18"/>
  <c r="AC94" i="18" s="1"/>
  <c r="B94" i="18"/>
  <c r="L94" i="18" s="1"/>
  <c r="W93" i="18"/>
  <c r="AC93" i="18" s="1"/>
  <c r="B93" i="18"/>
  <c r="L93" i="18" s="1"/>
  <c r="AI92" i="18"/>
  <c r="AC92" i="18"/>
  <c r="W92" i="18"/>
  <c r="F92" i="18"/>
  <c r="D92" i="18"/>
  <c r="B92" i="18"/>
  <c r="L92" i="18" s="1"/>
  <c r="W91" i="18"/>
  <c r="AC91" i="18" s="1"/>
  <c r="H91" i="18"/>
  <c r="B91" i="18"/>
  <c r="AC90" i="18"/>
  <c r="W90" i="18"/>
  <c r="H90" i="18"/>
  <c r="F90" i="18"/>
  <c r="D90" i="18"/>
  <c r="B90" i="18"/>
  <c r="AI89" i="18"/>
  <c r="W89" i="18"/>
  <c r="AC89" i="18" s="1"/>
  <c r="D89" i="18"/>
  <c r="B89" i="18"/>
  <c r="L89" i="18" s="1"/>
  <c r="W88" i="18"/>
  <c r="AC88" i="18" s="1"/>
  <c r="H88" i="18"/>
  <c r="F88" i="18"/>
  <c r="D88" i="18"/>
  <c r="B88" i="18"/>
  <c r="W87" i="18"/>
  <c r="T87" i="18"/>
  <c r="T96" i="18" s="1"/>
  <c r="H87" i="18"/>
  <c r="F87" i="18"/>
  <c r="B87" i="18"/>
  <c r="AI86" i="18"/>
  <c r="W86" i="18"/>
  <c r="L86" i="18"/>
  <c r="AA86" i="18" s="1"/>
  <c r="F86" i="18"/>
  <c r="AI85" i="18"/>
  <c r="AC85" i="18"/>
  <c r="W85" i="18"/>
  <c r="B85" i="18"/>
  <c r="L85" i="18" s="1"/>
  <c r="AI84" i="18"/>
  <c r="W84" i="18"/>
  <c r="G84" i="18"/>
  <c r="F84" i="18"/>
  <c r="B84" i="18"/>
  <c r="D132" i="18" s="1"/>
  <c r="E132" i="18" s="1"/>
  <c r="W83" i="18"/>
  <c r="H83" i="18"/>
  <c r="F83" i="18"/>
  <c r="D83" i="18"/>
  <c r="B83" i="18"/>
  <c r="AC82" i="18"/>
  <c r="W82" i="18"/>
  <c r="I82" i="18"/>
  <c r="I96" i="18" s="1"/>
  <c r="H82" i="18"/>
  <c r="G82" i="18"/>
  <c r="F82" i="18"/>
  <c r="D82" i="18"/>
  <c r="B82" i="18"/>
  <c r="W81" i="18"/>
  <c r="H81" i="18"/>
  <c r="B81" i="18"/>
  <c r="AC80" i="18"/>
  <c r="W80" i="18"/>
  <c r="H80" i="18"/>
  <c r="L80" i="18" s="1"/>
  <c r="AC79" i="18"/>
  <c r="W79" i="18"/>
  <c r="K79" i="18"/>
  <c r="K96" i="18" s="1"/>
  <c r="H79" i="18"/>
  <c r="G79" i="18"/>
  <c r="F79" i="18"/>
  <c r="D79" i="18"/>
  <c r="B79" i="18"/>
  <c r="W78" i="18"/>
  <c r="B78" i="18"/>
  <c r="L78" i="18" s="1"/>
  <c r="AA78" i="18" s="1"/>
  <c r="W77" i="18"/>
  <c r="H77" i="18"/>
  <c r="F77" i="18"/>
  <c r="B77" i="18"/>
  <c r="AC76" i="18"/>
  <c r="AC75" i="18"/>
  <c r="V74" i="18"/>
  <c r="U74" i="18"/>
  <c r="S74" i="18"/>
  <c r="R74" i="18"/>
  <c r="Q74" i="18"/>
  <c r="P74" i="18"/>
  <c r="AI73" i="18"/>
  <c r="W73" i="18"/>
  <c r="H73" i="18"/>
  <c r="F73" i="18"/>
  <c r="D73" i="18"/>
  <c r="B73" i="18"/>
  <c r="AI72" i="18"/>
  <c r="W72" i="18"/>
  <c r="H72" i="18"/>
  <c r="F72" i="18"/>
  <c r="B72" i="18"/>
  <c r="W71" i="18"/>
  <c r="F71" i="18"/>
  <c r="B71" i="18"/>
  <c r="AC70" i="18"/>
  <c r="W70" i="18"/>
  <c r="F70" i="18"/>
  <c r="B70" i="18"/>
  <c r="W69" i="18"/>
  <c r="K69" i="18"/>
  <c r="I69" i="18"/>
  <c r="H69" i="18"/>
  <c r="G69" i="18"/>
  <c r="G74" i="18" s="1"/>
  <c r="F69" i="18"/>
  <c r="D69" i="18"/>
  <c r="B69" i="18"/>
  <c r="W68" i="18"/>
  <c r="T68" i="18"/>
  <c r="B68" i="18"/>
  <c r="L68" i="18" s="1"/>
  <c r="AE68" i="18" s="1"/>
  <c r="AC67" i="18"/>
  <c r="W67" i="18"/>
  <c r="K67" i="18"/>
  <c r="I67" i="18"/>
  <c r="H67" i="18"/>
  <c r="F67" i="18"/>
  <c r="D67" i="18"/>
  <c r="B67" i="18"/>
  <c r="W66" i="18"/>
  <c r="B66" i="18"/>
  <c r="L66" i="18" s="1"/>
  <c r="AA66" i="18" s="1"/>
  <c r="W65" i="18"/>
  <c r="F65" i="18"/>
  <c r="B65" i="18"/>
  <c r="AC64" i="18"/>
  <c r="W64" i="18"/>
  <c r="H64" i="18"/>
  <c r="F64" i="18"/>
  <c r="B64" i="18"/>
  <c r="AC63" i="18"/>
  <c r="T63" i="18"/>
  <c r="W63" i="18" s="1"/>
  <c r="H63" i="18"/>
  <c r="L63" i="18" s="1"/>
  <c r="AA63" i="18" s="1"/>
  <c r="W62" i="18"/>
  <c r="H62" i="18"/>
  <c r="F62" i="18"/>
  <c r="B62" i="18"/>
  <c r="W61" i="18"/>
  <c r="F61" i="18"/>
  <c r="B61" i="18"/>
  <c r="AC60" i="18"/>
  <c r="W60" i="18"/>
  <c r="H60" i="18"/>
  <c r="F60" i="18"/>
  <c r="B60" i="18"/>
  <c r="T59" i="18"/>
  <c r="H59" i="18"/>
  <c r="D59" i="18"/>
  <c r="AC58" i="18"/>
  <c r="W58" i="18"/>
  <c r="H58" i="18"/>
  <c r="F58" i="18"/>
  <c r="B58" i="18"/>
  <c r="AC57" i="18"/>
  <c r="W57" i="18"/>
  <c r="F57" i="18"/>
  <c r="B57" i="18"/>
  <c r="W56" i="18"/>
  <c r="H56" i="18"/>
  <c r="F56" i="18"/>
  <c r="B56" i="18"/>
  <c r="W55" i="18"/>
  <c r="H55" i="18"/>
  <c r="B55" i="18"/>
  <c r="AC54" i="18"/>
  <c r="W54" i="18"/>
  <c r="H54" i="18"/>
  <c r="B54" i="18"/>
  <c r="W53" i="18"/>
  <c r="H53" i="18"/>
  <c r="F53" i="18"/>
  <c r="B53" i="18"/>
  <c r="W52" i="18"/>
  <c r="H52" i="18"/>
  <c r="F52" i="18"/>
  <c r="B52" i="18"/>
  <c r="AC51" i="18"/>
  <c r="AC50" i="18"/>
  <c r="V49" i="18"/>
  <c r="V98" i="18" s="1"/>
  <c r="U49" i="18"/>
  <c r="U98" i="18" s="1"/>
  <c r="S49" i="18"/>
  <c r="S98" i="18" s="1"/>
  <c r="R49" i="18"/>
  <c r="R98" i="18" s="1"/>
  <c r="Q49" i="18"/>
  <c r="Q98" i="18" s="1"/>
  <c r="K49" i="18"/>
  <c r="I49" i="18"/>
  <c r="G49" i="18"/>
  <c r="D49" i="18"/>
  <c r="AC48" i="18"/>
  <c r="W48" i="18"/>
  <c r="B48" i="18"/>
  <c r="AC47" i="18"/>
  <c r="W47" i="18"/>
  <c r="P46" i="18"/>
  <c r="W46" i="18" s="1"/>
  <c r="H46" i="18"/>
  <c r="F46" i="18"/>
  <c r="W45" i="18"/>
  <c r="H45" i="18"/>
  <c r="F45" i="18"/>
  <c r="W44" i="18"/>
  <c r="H44" i="18"/>
  <c r="F44" i="18"/>
  <c r="W43" i="18"/>
  <c r="H43" i="18"/>
  <c r="F43" i="18"/>
  <c r="AC42" i="18"/>
  <c r="W42" i="18"/>
  <c r="H42" i="18"/>
  <c r="F42" i="18"/>
  <c r="W41" i="18"/>
  <c r="W40" i="18"/>
  <c r="AC40" i="18" s="1"/>
  <c r="T40" i="18"/>
  <c r="T49" i="18" s="1"/>
  <c r="P40" i="18"/>
  <c r="H40" i="18"/>
  <c r="F40" i="18"/>
  <c r="B40" i="18"/>
  <c r="AC39" i="18"/>
  <c r="W39" i="18"/>
  <c r="L39" i="18"/>
  <c r="AC38" i="18"/>
  <c r="W38" i="18"/>
  <c r="L38" i="18"/>
  <c r="W37" i="18"/>
  <c r="AC37" i="18" s="1"/>
  <c r="L37" i="18"/>
  <c r="W36" i="18"/>
  <c r="AC36" i="18" s="1"/>
  <c r="L36" i="18"/>
  <c r="V35" i="18"/>
  <c r="V116" i="18" s="1"/>
  <c r="V120" i="18" s="1"/>
  <c r="V33" i="18"/>
  <c r="U33" i="18"/>
  <c r="T33" i="18"/>
  <c r="S33" i="18"/>
  <c r="R33" i="18"/>
  <c r="Q33" i="18"/>
  <c r="K33" i="18"/>
  <c r="I33" i="18"/>
  <c r="G33" i="18"/>
  <c r="Q32" i="18"/>
  <c r="W32" i="18" s="1"/>
  <c r="AC32" i="18" s="1"/>
  <c r="P32" i="18"/>
  <c r="H32" i="18"/>
  <c r="H33" i="18" s="1"/>
  <c r="F32" i="18"/>
  <c r="F33" i="18" s="1"/>
  <c r="D32" i="18"/>
  <c r="B32" i="18"/>
  <c r="W31" i="18"/>
  <c r="D31" i="18"/>
  <c r="B31" i="18"/>
  <c r="Q30" i="18"/>
  <c r="W30" i="18" s="1"/>
  <c r="AC30" i="18" s="1"/>
  <c r="P30" i="18"/>
  <c r="D30" i="18"/>
  <c r="B30" i="18"/>
  <c r="Q29" i="18"/>
  <c r="P29" i="18"/>
  <c r="W29" i="18" s="1"/>
  <c r="D29" i="18"/>
  <c r="B29" i="18"/>
  <c r="AC28" i="18"/>
  <c r="Q28" i="18"/>
  <c r="P28" i="18"/>
  <c r="W28" i="18" s="1"/>
  <c r="D28" i="18"/>
  <c r="B28" i="18"/>
  <c r="W27" i="18"/>
  <c r="Q27" i="18"/>
  <c r="P27" i="18"/>
  <c r="D27" i="18"/>
  <c r="B27" i="18"/>
  <c r="Q26" i="18"/>
  <c r="W26" i="18" s="1"/>
  <c r="AC26" i="18" s="1"/>
  <c r="P26" i="18"/>
  <c r="P33" i="18" s="1"/>
  <c r="D26" i="18"/>
  <c r="B26" i="18"/>
  <c r="AC25" i="18"/>
  <c r="W25" i="18"/>
  <c r="L25" i="18"/>
  <c r="W24" i="18"/>
  <c r="AC24" i="18" s="1"/>
  <c r="L24" i="18"/>
  <c r="V23" i="18"/>
  <c r="U23" i="18"/>
  <c r="T23" i="18"/>
  <c r="T35" i="18" s="1"/>
  <c r="S23" i="18"/>
  <c r="S35" i="18" s="1"/>
  <c r="S116" i="18" s="1"/>
  <c r="S120" i="18" s="1"/>
  <c r="R23" i="18"/>
  <c r="R35" i="18" s="1"/>
  <c r="R116" i="18" s="1"/>
  <c r="R120" i="18" s="1"/>
  <c r="K23" i="18"/>
  <c r="K35" i="18" s="1"/>
  <c r="I23" i="18"/>
  <c r="I35" i="18" s="1"/>
  <c r="G23" i="18"/>
  <c r="G35" i="18" s="1"/>
  <c r="Q22" i="18"/>
  <c r="P22" i="18"/>
  <c r="W22" i="18" s="1"/>
  <c r="H22" i="18"/>
  <c r="H23" i="18" s="1"/>
  <c r="H35" i="18" s="1"/>
  <c r="F22" i="18"/>
  <c r="F23" i="18" s="1"/>
  <c r="F35" i="18" s="1"/>
  <c r="D22" i="18"/>
  <c r="B22" i="18"/>
  <c r="W21" i="18"/>
  <c r="D21" i="18"/>
  <c r="B21" i="18"/>
  <c r="Q20" i="18"/>
  <c r="P20" i="18"/>
  <c r="D20" i="18"/>
  <c r="B20" i="18"/>
  <c r="W19" i="18"/>
  <c r="P19" i="18"/>
  <c r="D19" i="18"/>
  <c r="B19" i="18"/>
  <c r="W18" i="18"/>
  <c r="P18" i="18"/>
  <c r="D18" i="18"/>
  <c r="B18" i="18"/>
  <c r="W17" i="18"/>
  <c r="Q17" i="18"/>
  <c r="P17" i="18"/>
  <c r="D17" i="18"/>
  <c r="B17" i="18"/>
  <c r="Q16" i="18"/>
  <c r="W16" i="18" s="1"/>
  <c r="AC16" i="18" s="1"/>
  <c r="P16" i="18"/>
  <c r="P23" i="18" s="1"/>
  <c r="P35" i="18" s="1"/>
  <c r="D16" i="18"/>
  <c r="B16" i="18"/>
  <c r="L71" i="18" l="1"/>
  <c r="L54" i="18"/>
  <c r="AE54" i="18" s="1"/>
  <c r="L72" i="18"/>
  <c r="AA72" i="18" s="1"/>
  <c r="L102" i="18"/>
  <c r="AA102" i="18" s="1"/>
  <c r="H49" i="18"/>
  <c r="G96" i="18"/>
  <c r="G98" i="18" s="1"/>
  <c r="G116" i="18" s="1"/>
  <c r="D114" i="18"/>
  <c r="AA105" i="18"/>
  <c r="L107" i="18"/>
  <c r="L29" i="18"/>
  <c r="AA29" i="18" s="1"/>
  <c r="L31" i="18"/>
  <c r="AA31" i="18" s="1"/>
  <c r="L55" i="18"/>
  <c r="AA55" i="18" s="1"/>
  <c r="D74" i="18"/>
  <c r="L61" i="18"/>
  <c r="AG61" i="18" s="1"/>
  <c r="AI61" i="18" s="1"/>
  <c r="L77" i="18"/>
  <c r="AA77" i="18" s="1"/>
  <c r="L62" i="18"/>
  <c r="AA62" i="18" s="1"/>
  <c r="L73" i="18"/>
  <c r="L81" i="18"/>
  <c r="AE81" i="18" s="1"/>
  <c r="B114" i="18"/>
  <c r="L104" i="18"/>
  <c r="AA104" i="18" s="1"/>
  <c r="L108" i="18"/>
  <c r="AE108" i="18" s="1"/>
  <c r="L17" i="18"/>
  <c r="AE17" i="18" s="1"/>
  <c r="L27" i="18"/>
  <c r="AA27" i="18" s="1"/>
  <c r="L28" i="18"/>
  <c r="AE28" i="18" s="1"/>
  <c r="F49" i="18"/>
  <c r="L56" i="18"/>
  <c r="AG56" i="18" s="1"/>
  <c r="AI56" i="18" s="1"/>
  <c r="L91" i="18"/>
  <c r="AG91" i="18" s="1"/>
  <c r="L64" i="18"/>
  <c r="AA64" i="18" s="1"/>
  <c r="B133" i="18"/>
  <c r="C133" i="18" s="1"/>
  <c r="L16" i="18"/>
  <c r="AE16" i="18" s="1"/>
  <c r="L22" i="18"/>
  <c r="AE22" i="18" s="1"/>
  <c r="B74" i="18"/>
  <c r="L65" i="18"/>
  <c r="AE65" i="18" s="1"/>
  <c r="L70" i="18"/>
  <c r="AG70" i="18" s="1"/>
  <c r="AI70" i="18" s="1"/>
  <c r="L90" i="18"/>
  <c r="AE90" i="18" s="1"/>
  <c r="H114" i="18"/>
  <c r="F133" i="18"/>
  <c r="F114" i="18"/>
  <c r="L19" i="18"/>
  <c r="AG19" i="18" s="1"/>
  <c r="AI19" i="18" s="1"/>
  <c r="L21" i="18"/>
  <c r="AA21" i="18" s="1"/>
  <c r="B33" i="18"/>
  <c r="L30" i="18"/>
  <c r="AA30" i="18" s="1"/>
  <c r="F74" i="18"/>
  <c r="L53" i="18"/>
  <c r="AE53" i="18" s="1"/>
  <c r="L58" i="18"/>
  <c r="AE58" i="18" s="1"/>
  <c r="L60" i="18"/>
  <c r="AG60" i="18" s="1"/>
  <c r="AI60" i="18" s="1"/>
  <c r="L67" i="18"/>
  <c r="AE67" i="18" s="1"/>
  <c r="K74" i="18"/>
  <c r="K98" i="18" s="1"/>
  <c r="K116" i="18" s="1"/>
  <c r="L69" i="18"/>
  <c r="AA69" i="18" s="1"/>
  <c r="L84" i="18"/>
  <c r="AE84" i="18" s="1"/>
  <c r="L87" i="18"/>
  <c r="AA87" i="18" s="1"/>
  <c r="L106" i="18"/>
  <c r="AE106" i="18" s="1"/>
  <c r="AC21" i="18"/>
  <c r="AC22" i="18"/>
  <c r="AC27" i="18"/>
  <c r="L40" i="18"/>
  <c r="AC45" i="18"/>
  <c r="AC17" i="18"/>
  <c r="L20" i="18"/>
  <c r="B23" i="18"/>
  <c r="W23" i="18"/>
  <c r="X22" i="18" s="1"/>
  <c r="D33" i="18"/>
  <c r="L33" i="18" s="1"/>
  <c r="X26" i="18"/>
  <c r="AG27" i="18"/>
  <c r="AI27" i="18" s="1"/>
  <c r="AE27" i="18"/>
  <c r="AC29" i="18"/>
  <c r="L32" i="18"/>
  <c r="AC46" i="18"/>
  <c r="AG53" i="18"/>
  <c r="AI53" i="18" s="1"/>
  <c r="AA16" i="18"/>
  <c r="AE73" i="18"/>
  <c r="AA73" i="18"/>
  <c r="AC18" i="18"/>
  <c r="AG22" i="18"/>
  <c r="AI22" i="18" s="1"/>
  <c r="AE31" i="18"/>
  <c r="AC43" i="18"/>
  <c r="L18" i="18"/>
  <c r="AC19" i="18"/>
  <c r="X19" i="18"/>
  <c r="W20" i="18"/>
  <c r="U35" i="18"/>
  <c r="U116" i="18" s="1"/>
  <c r="U120" i="18" s="1"/>
  <c r="W33" i="18"/>
  <c r="X28" i="18" s="1"/>
  <c r="AE29" i="18"/>
  <c r="X31" i="18"/>
  <c r="AC41" i="18"/>
  <c r="AC44" i="18"/>
  <c r="AA54" i="18"/>
  <c r="AA58" i="18"/>
  <c r="AG69" i="18"/>
  <c r="AI69" i="18" s="1"/>
  <c r="AG71" i="18"/>
  <c r="AI71" i="18" s="1"/>
  <c r="AE71" i="18"/>
  <c r="D23" i="18"/>
  <c r="AC31" i="18"/>
  <c r="P49" i="18"/>
  <c r="AC55" i="18"/>
  <c r="X55" i="18"/>
  <c r="AC56" i="18"/>
  <c r="X56" i="18"/>
  <c r="L57" i="18"/>
  <c r="X61" i="18"/>
  <c r="AG65" i="18"/>
  <c r="AI65" i="18" s="1"/>
  <c r="AC68" i="18"/>
  <c r="X68" i="18"/>
  <c r="AC78" i="18"/>
  <c r="X86" i="18"/>
  <c r="AE92" i="18"/>
  <c r="AA92" i="18"/>
  <c r="AE102" i="18"/>
  <c r="AE61" i="18"/>
  <c r="AA70" i="18"/>
  <c r="H74" i="18"/>
  <c r="AA106" i="18"/>
  <c r="Q23" i="18"/>
  <c r="Q35" i="18" s="1"/>
  <c r="Q116" i="18" s="1"/>
  <c r="Q120" i="18" s="1"/>
  <c r="T98" i="18"/>
  <c r="T116" i="18" s="1"/>
  <c r="T120" i="18" s="1"/>
  <c r="F127" i="18"/>
  <c r="B127" i="18"/>
  <c r="L48" i="18"/>
  <c r="D127" i="18"/>
  <c r="L52" i="18"/>
  <c r="L59" i="18"/>
  <c r="AG66" i="18"/>
  <c r="AI66" i="18" s="1"/>
  <c r="AE66" i="18"/>
  <c r="I74" i="18"/>
  <c r="I98" i="18" s="1"/>
  <c r="I116" i="18" s="1"/>
  <c r="AC69" i="18"/>
  <c r="X69" i="18"/>
  <c r="AA71" i="18"/>
  <c r="AE91" i="18"/>
  <c r="AA95" i="18"/>
  <c r="AE95" i="18"/>
  <c r="X72" i="18"/>
  <c r="AE89" i="18"/>
  <c r="AA89" i="18"/>
  <c r="L26" i="18"/>
  <c r="X52" i="18"/>
  <c r="AC52" i="18"/>
  <c r="X53" i="18"/>
  <c r="AC53" i="18"/>
  <c r="W59" i="18"/>
  <c r="T74" i="18"/>
  <c r="W74" i="18" s="1"/>
  <c r="X63" i="18" s="1"/>
  <c r="AE64" i="18"/>
  <c r="AC65" i="18"/>
  <c r="X65" i="18"/>
  <c r="X66" i="18"/>
  <c r="AG67" i="18"/>
  <c r="AI67" i="18" s="1"/>
  <c r="AA68" i="18"/>
  <c r="AG68" i="18"/>
  <c r="AI68" i="18" s="1"/>
  <c r="AE69" i="18"/>
  <c r="AE72" i="18"/>
  <c r="AG77" i="18"/>
  <c r="AI77" i="18" s="1"/>
  <c r="AE94" i="18"/>
  <c r="AA94" i="18"/>
  <c r="AC61" i="18"/>
  <c r="D130" i="18"/>
  <c r="E130" i="18" s="1"/>
  <c r="B130" i="18"/>
  <c r="AC62" i="18"/>
  <c r="AE63" i="18"/>
  <c r="AC66" i="18"/>
  <c r="AC71" i="18"/>
  <c r="AC72" i="18"/>
  <c r="AC73" i="18"/>
  <c r="B96" i="18"/>
  <c r="AC77" i="18"/>
  <c r="L79" i="18"/>
  <c r="AC81" i="18"/>
  <c r="X81" i="18"/>
  <c r="L83" i="18"/>
  <c r="AC83" i="18"/>
  <c r="AA85" i="18"/>
  <c r="AE85" i="18"/>
  <c r="AE93" i="18"/>
  <c r="AA93" i="18"/>
  <c r="AC95" i="18"/>
  <c r="X95" i="18"/>
  <c r="W96" i="18"/>
  <c r="X78" i="18" s="1"/>
  <c r="AA103" i="18"/>
  <c r="AE104" i="18"/>
  <c r="AA108" i="18"/>
  <c r="AA109" i="18"/>
  <c r="AE109" i="18"/>
  <c r="AE110" i="18"/>
  <c r="W114" i="18"/>
  <c r="L125" i="18"/>
  <c r="AG63" i="18"/>
  <c r="AI63" i="18" s="1"/>
  <c r="B129" i="18"/>
  <c r="D129" i="18"/>
  <c r="E129" i="18" s="1"/>
  <c r="F96" i="18"/>
  <c r="AG78" i="18"/>
  <c r="AI78" i="18" s="1"/>
  <c r="D96" i="18"/>
  <c r="AC84" i="18"/>
  <c r="AE107" i="18"/>
  <c r="AA107" i="18"/>
  <c r="B131" i="18"/>
  <c r="D131" i="18"/>
  <c r="E131" i="18" s="1"/>
  <c r="H96" i="18"/>
  <c r="AE78" i="18"/>
  <c r="AA80" i="18"/>
  <c r="AG80" i="18"/>
  <c r="AI80" i="18" s="1"/>
  <c r="AE80" i="18"/>
  <c r="L82" i="18"/>
  <c r="AE86" i="18"/>
  <c r="AE87" i="18"/>
  <c r="L88" i="18"/>
  <c r="L101" i="18"/>
  <c r="I139" i="18"/>
  <c r="J128" i="18"/>
  <c r="L128" i="18" s="1"/>
  <c r="AC86" i="18"/>
  <c r="AC87" i="18"/>
  <c r="B132" i="18"/>
  <c r="F132" i="18"/>
  <c r="D135" i="18"/>
  <c r="E135" i="18" s="1"/>
  <c r="L123" i="18"/>
  <c r="D133" i="18"/>
  <c r="E133" i="18" s="1"/>
  <c r="C123" i="18"/>
  <c r="AG64" i="18" l="1"/>
  <c r="AI64" i="18" s="1"/>
  <c r="AG55" i="18"/>
  <c r="AI55" i="18" s="1"/>
  <c r="AE21" i="18"/>
  <c r="AG28" i="18"/>
  <c r="AI28" i="18" s="1"/>
  <c r="AE62" i="18"/>
  <c r="AA53" i="18"/>
  <c r="AA81" i="18"/>
  <c r="D98" i="18"/>
  <c r="AE77" i="18"/>
  <c r="AE56" i="18"/>
  <c r="AA91" i="18"/>
  <c r="AE70" i="18"/>
  <c r="AG54" i="18"/>
  <c r="AI54" i="18" s="1"/>
  <c r="AG16" i="18"/>
  <c r="AI16" i="18" s="1"/>
  <c r="AA67" i="18"/>
  <c r="AG62" i="18"/>
  <c r="AI62" i="18" s="1"/>
  <c r="AE55" i="18"/>
  <c r="AA65" i="18"/>
  <c r="AG29" i="18"/>
  <c r="AI29" i="18" s="1"/>
  <c r="AA22" i="18"/>
  <c r="AA28" i="18"/>
  <c r="AA19" i="18"/>
  <c r="AA90" i="18"/>
  <c r="AG81" i="18"/>
  <c r="AI81" i="18" s="1"/>
  <c r="F98" i="18"/>
  <c r="F116" i="18" s="1"/>
  <c r="AA61" i="18"/>
  <c r="D35" i="18"/>
  <c r="AG17" i="18"/>
  <c r="AI17" i="18" s="1"/>
  <c r="K120" i="18"/>
  <c r="K141" i="18"/>
  <c r="K145" i="18" s="1"/>
  <c r="AA84" i="18"/>
  <c r="AE30" i="18"/>
  <c r="AA60" i="18"/>
  <c r="AA17" i="18"/>
  <c r="AE60" i="18"/>
  <c r="AA56" i="18"/>
  <c r="B139" i="18"/>
  <c r="AG30" i="18"/>
  <c r="AI30" i="18" s="1"/>
  <c r="H98" i="18"/>
  <c r="H116" i="18" s="1"/>
  <c r="H141" i="18" s="1"/>
  <c r="H145" i="18" s="1"/>
  <c r="L135" i="18"/>
  <c r="AE19" i="18"/>
  <c r="AG87" i="18"/>
  <c r="AI87" i="18" s="1"/>
  <c r="AG58" i="18"/>
  <c r="AI58" i="18" s="1"/>
  <c r="M70" i="18"/>
  <c r="L74" i="18"/>
  <c r="M52" i="18" s="1"/>
  <c r="G120" i="18"/>
  <c r="G141" i="18"/>
  <c r="G145" i="18" s="1"/>
  <c r="I120" i="18"/>
  <c r="I141" i="18"/>
  <c r="I145" i="18" s="1"/>
  <c r="AG33" i="18"/>
  <c r="AI33" i="18" s="1"/>
  <c r="AA33" i="18"/>
  <c r="M31" i="18"/>
  <c r="M30" i="18"/>
  <c r="M27" i="18"/>
  <c r="M29" i="18"/>
  <c r="M28" i="18"/>
  <c r="F120" i="18"/>
  <c r="L23" i="18"/>
  <c r="M20" i="18" s="1"/>
  <c r="B35" i="18"/>
  <c r="AG74" i="18"/>
  <c r="AI74" i="18" s="1"/>
  <c r="M64" i="18"/>
  <c r="L114" i="18"/>
  <c r="AE101" i="18"/>
  <c r="AA101" i="18"/>
  <c r="X84" i="18"/>
  <c r="AA83" i="18"/>
  <c r="AG83" i="18"/>
  <c r="AI83" i="18" s="1"/>
  <c r="AE83" i="18"/>
  <c r="C130" i="18"/>
  <c r="L130" i="18" s="1"/>
  <c r="X62" i="18"/>
  <c r="AG52" i="18"/>
  <c r="AI52" i="18" s="1"/>
  <c r="AA52" i="18"/>
  <c r="AE52" i="18"/>
  <c r="F139" i="18"/>
  <c r="F141" i="18" s="1"/>
  <c r="F145" i="18" s="1"/>
  <c r="X77" i="18"/>
  <c r="M69" i="18"/>
  <c r="X20" i="18"/>
  <c r="AC20" i="18"/>
  <c r="AE32" i="18"/>
  <c r="AA32" i="18"/>
  <c r="AG32" i="18"/>
  <c r="AI32" i="18" s="1"/>
  <c r="M32" i="18"/>
  <c r="AG40" i="18"/>
  <c r="AI40" i="18" s="1"/>
  <c r="AE40" i="18"/>
  <c r="AA40" i="18"/>
  <c r="W35" i="18"/>
  <c r="AE79" i="18"/>
  <c r="AA79" i="18"/>
  <c r="AG79" i="18"/>
  <c r="AI79" i="18" s="1"/>
  <c r="AC59" i="18"/>
  <c r="X59" i="18"/>
  <c r="C127" i="18"/>
  <c r="P98" i="18"/>
  <c r="W49" i="18"/>
  <c r="AE88" i="18"/>
  <c r="AA88" i="18"/>
  <c r="AG88" i="18"/>
  <c r="AI88" i="18" s="1"/>
  <c r="L133" i="18"/>
  <c r="J139" i="18"/>
  <c r="L96" i="18"/>
  <c r="M83" i="18" s="1"/>
  <c r="D139" i="18"/>
  <c r="E127" i="18"/>
  <c r="E139" i="18" s="1"/>
  <c r="M61" i="18"/>
  <c r="AC23" i="18"/>
  <c r="X16" i="18"/>
  <c r="AA20" i="18"/>
  <c r="AG20" i="18"/>
  <c r="AI20" i="18" s="1"/>
  <c r="AE20" i="18"/>
  <c r="AA18" i="18"/>
  <c r="AG18" i="18"/>
  <c r="AI18" i="18" s="1"/>
  <c r="AE18" i="18"/>
  <c r="C131" i="18"/>
  <c r="L131" i="18" s="1"/>
  <c r="C132" i="18"/>
  <c r="L132" i="18" s="1"/>
  <c r="AE82" i="18"/>
  <c r="AA82" i="18"/>
  <c r="AG82" i="18"/>
  <c r="AI82" i="18" s="1"/>
  <c r="M63" i="18"/>
  <c r="C129" i="18"/>
  <c r="L129" i="18" s="1"/>
  <c r="AC114" i="18"/>
  <c r="X114" i="18"/>
  <c r="X92" i="18"/>
  <c r="X90" i="18"/>
  <c r="X89" i="18"/>
  <c r="X85" i="18"/>
  <c r="X80" i="18"/>
  <c r="AC96" i="18"/>
  <c r="X93" i="18"/>
  <c r="X91" i="18"/>
  <c r="X94" i="18"/>
  <c r="X82" i="18"/>
  <c r="X79" i="18"/>
  <c r="X88" i="18"/>
  <c r="X83" i="18"/>
  <c r="X87" i="18"/>
  <c r="AC74" i="18"/>
  <c r="X67" i="18"/>
  <c r="X64" i="18"/>
  <c r="X70" i="18"/>
  <c r="X60" i="18"/>
  <c r="X54" i="18"/>
  <c r="X74" i="18" s="1"/>
  <c r="X58" i="18"/>
  <c r="X57" i="18"/>
  <c r="AE26" i="18"/>
  <c r="AA26" i="18"/>
  <c r="AG26" i="18"/>
  <c r="AI26" i="18" s="1"/>
  <c r="M26" i="18"/>
  <c r="AE59" i="18"/>
  <c r="AA59" i="18"/>
  <c r="M59" i="18"/>
  <c r="AG59" i="18"/>
  <c r="AI59" i="18" s="1"/>
  <c r="AA48" i="18"/>
  <c r="AE48" i="18"/>
  <c r="AG48" i="18"/>
  <c r="AI48" i="18" s="1"/>
  <c r="X71" i="18"/>
  <c r="AE57" i="18"/>
  <c r="AA57" i="18"/>
  <c r="AG57" i="18"/>
  <c r="AI57" i="18" s="1"/>
  <c r="M57" i="18"/>
  <c r="X73" i="18"/>
  <c r="AC33" i="18"/>
  <c r="X32" i="18"/>
  <c r="X30" i="18"/>
  <c r="X18" i="18"/>
  <c r="X29" i="18"/>
  <c r="X33" i="18" s="1"/>
  <c r="X17" i="18"/>
  <c r="X27" i="18"/>
  <c r="X21" i="18"/>
  <c r="D116" i="18" l="1"/>
  <c r="M72" i="18"/>
  <c r="M62" i="18"/>
  <c r="H120" i="18"/>
  <c r="M55" i="18"/>
  <c r="M68" i="18"/>
  <c r="M53" i="18"/>
  <c r="L127" i="18"/>
  <c r="L139" i="18" s="1"/>
  <c r="AE33" i="18"/>
  <c r="M65" i="18"/>
  <c r="M71" i="18"/>
  <c r="M66" i="18"/>
  <c r="M56" i="18"/>
  <c r="M58" i="18"/>
  <c r="M67" i="18"/>
  <c r="M33" i="18"/>
  <c r="M73" i="18"/>
  <c r="M54" i="18"/>
  <c r="M60" i="18"/>
  <c r="AE74" i="18"/>
  <c r="AA74" i="18"/>
  <c r="X23" i="18"/>
  <c r="AC35" i="18"/>
  <c r="M82" i="18"/>
  <c r="M18" i="18"/>
  <c r="AC49" i="18"/>
  <c r="X47" i="18"/>
  <c r="X48" i="18"/>
  <c r="X40" i="18"/>
  <c r="X46" i="18"/>
  <c r="X43" i="18"/>
  <c r="X41" i="18"/>
  <c r="X44" i="18"/>
  <c r="X45" i="18"/>
  <c r="X42" i="18"/>
  <c r="M79" i="18"/>
  <c r="AE114" i="18"/>
  <c r="M114" i="18"/>
  <c r="AA114" i="18"/>
  <c r="D120" i="18"/>
  <c r="D141" i="18"/>
  <c r="AA96" i="18"/>
  <c r="AG96" i="18"/>
  <c r="AI96" i="18" s="1"/>
  <c r="AE96" i="18"/>
  <c r="M87" i="18"/>
  <c r="M85" i="18"/>
  <c r="M80" i="18"/>
  <c r="M95" i="18"/>
  <c r="M77" i="18"/>
  <c r="M93" i="18"/>
  <c r="M78" i="18"/>
  <c r="M90" i="18"/>
  <c r="M92" i="18"/>
  <c r="M89" i="18"/>
  <c r="M84" i="18"/>
  <c r="M81" i="18"/>
  <c r="M91" i="18"/>
  <c r="M94" i="18"/>
  <c r="M86" i="18"/>
  <c r="W98" i="18"/>
  <c r="P116" i="18"/>
  <c r="C139" i="18"/>
  <c r="L35" i="18"/>
  <c r="M88" i="18"/>
  <c r="X96" i="18"/>
  <c r="AA23" i="18"/>
  <c r="AG23" i="18"/>
  <c r="AI23" i="18" s="1"/>
  <c r="AE23" i="18"/>
  <c r="M21" i="18"/>
  <c r="M19" i="18"/>
  <c r="M22" i="18"/>
  <c r="M16" i="18"/>
  <c r="M17" i="18"/>
  <c r="M74" i="18" l="1"/>
  <c r="W116" i="18"/>
  <c r="P120" i="18"/>
  <c r="M96" i="18"/>
  <c r="X49" i="18"/>
  <c r="M23" i="18"/>
  <c r="AG35" i="18"/>
  <c r="AI35" i="18" s="1"/>
  <c r="AE35" i="18"/>
  <c r="AA35" i="18"/>
  <c r="AC98" i="18"/>
  <c r="X98" i="18"/>
  <c r="W120" i="18" l="1"/>
  <c r="AC116" i="18"/>
  <c r="W121" i="18"/>
  <c r="B238" i="2" l="1"/>
  <c r="B90" i="2"/>
  <c r="C90" i="2"/>
  <c r="D90" i="2"/>
  <c r="E90" i="2"/>
  <c r="F90" i="2"/>
  <c r="G90" i="2"/>
  <c r="H90" i="2"/>
  <c r="I90" i="2"/>
  <c r="J90" i="2"/>
  <c r="K90" i="2"/>
  <c r="L90" i="2"/>
  <c r="B91" i="2"/>
  <c r="C91" i="2"/>
  <c r="D91" i="2"/>
  <c r="E91" i="2"/>
  <c r="F91" i="2"/>
  <c r="G91" i="2"/>
  <c r="H91" i="2"/>
  <c r="I91" i="2"/>
  <c r="J91" i="2"/>
  <c r="K91" i="2"/>
  <c r="L91" i="2"/>
  <c r="B92" i="2"/>
  <c r="C92" i="2"/>
  <c r="D92" i="2"/>
  <c r="E92" i="2"/>
  <c r="F92" i="2"/>
  <c r="G92" i="2"/>
  <c r="H92" i="2"/>
  <c r="I92" i="2"/>
  <c r="J92" i="2"/>
  <c r="K92" i="2"/>
  <c r="L92" i="2"/>
  <c r="B93" i="2"/>
  <c r="C93" i="2"/>
  <c r="D93" i="2"/>
  <c r="E93" i="2"/>
  <c r="F93" i="2"/>
  <c r="G93" i="2"/>
  <c r="H93" i="2"/>
  <c r="I93" i="2"/>
  <c r="J93" i="2"/>
  <c r="K93" i="2"/>
  <c r="L93" i="2"/>
  <c r="B94" i="2"/>
  <c r="C94" i="2"/>
  <c r="D94" i="2"/>
  <c r="E94" i="2"/>
  <c r="F94" i="2"/>
  <c r="G94" i="2"/>
  <c r="H94" i="2"/>
  <c r="I94" i="2"/>
  <c r="J94" i="2"/>
  <c r="K94" i="2"/>
  <c r="L94" i="2"/>
  <c r="B85" i="2"/>
  <c r="C85" i="2"/>
  <c r="D85" i="2"/>
  <c r="E85" i="2"/>
  <c r="F85" i="2"/>
  <c r="G85" i="2"/>
  <c r="H85" i="2"/>
  <c r="I85" i="2"/>
  <c r="J85" i="2"/>
  <c r="K85" i="2"/>
  <c r="L85" i="2"/>
  <c r="B86" i="2"/>
  <c r="C86" i="2"/>
  <c r="D86" i="2"/>
  <c r="E86" i="2"/>
  <c r="F86" i="2"/>
  <c r="G86" i="2"/>
  <c r="H86" i="2"/>
  <c r="I86" i="2"/>
  <c r="J86" i="2"/>
  <c r="K86" i="2"/>
  <c r="L86" i="2"/>
  <c r="B70" i="2"/>
  <c r="C70" i="2"/>
  <c r="D70" i="2"/>
  <c r="E70" i="2"/>
  <c r="F70" i="2"/>
  <c r="G70" i="2"/>
  <c r="H70" i="2"/>
  <c r="I70" i="2"/>
  <c r="J70" i="2"/>
  <c r="K70" i="2"/>
  <c r="L70" i="2"/>
  <c r="B72" i="2"/>
  <c r="C72" i="2"/>
  <c r="D72" i="2"/>
  <c r="E72" i="2"/>
  <c r="F72" i="2"/>
  <c r="G72" i="2"/>
  <c r="I72" i="2"/>
  <c r="J72" i="2"/>
  <c r="K72" i="2"/>
  <c r="L72" i="2"/>
  <c r="B73" i="2"/>
  <c r="C73" i="2"/>
  <c r="D73" i="2"/>
  <c r="E73" i="2"/>
  <c r="F73" i="2"/>
  <c r="G73" i="2"/>
  <c r="H73" i="2"/>
  <c r="I73" i="2"/>
  <c r="J73" i="2"/>
  <c r="K73" i="2"/>
  <c r="L73" i="2"/>
  <c r="B75" i="2"/>
  <c r="C75" i="2"/>
  <c r="D75" i="2"/>
  <c r="E75" i="2"/>
  <c r="F75" i="2"/>
  <c r="G75" i="2"/>
  <c r="H75" i="2"/>
  <c r="I75" i="2"/>
  <c r="J75" i="2"/>
  <c r="K75" i="2"/>
  <c r="L75" i="2"/>
  <c r="B76" i="2"/>
  <c r="C76" i="2"/>
  <c r="D76" i="2"/>
  <c r="E76" i="2"/>
  <c r="F76" i="2"/>
  <c r="G76" i="2"/>
  <c r="H76" i="2"/>
  <c r="I76" i="2"/>
  <c r="J76" i="2"/>
  <c r="K76" i="2"/>
  <c r="L76" i="2"/>
  <c r="B61" i="2"/>
  <c r="C61" i="2"/>
  <c r="D61" i="2"/>
  <c r="E61" i="2"/>
  <c r="F61" i="2"/>
  <c r="G61" i="2"/>
  <c r="H61" i="2"/>
  <c r="I61" i="2"/>
  <c r="J61" i="2"/>
  <c r="K61" i="2"/>
  <c r="L61" i="2"/>
  <c r="B62" i="2"/>
  <c r="C62" i="2"/>
  <c r="D62" i="2"/>
  <c r="E62" i="2"/>
  <c r="F62" i="2"/>
  <c r="G62" i="2"/>
  <c r="H62" i="2"/>
  <c r="I62" i="2"/>
  <c r="J62" i="2"/>
  <c r="K62" i="2"/>
  <c r="L62" i="2"/>
  <c r="B63" i="2"/>
  <c r="C63" i="2"/>
  <c r="D63" i="2"/>
  <c r="E63" i="2"/>
  <c r="F63" i="2"/>
  <c r="G63" i="2"/>
  <c r="H63" i="2"/>
  <c r="I63" i="2"/>
  <c r="J63" i="2"/>
  <c r="K63" i="2"/>
  <c r="L63" i="2"/>
  <c r="B64" i="2"/>
  <c r="C64" i="2"/>
  <c r="D64" i="2"/>
  <c r="E64" i="2"/>
  <c r="F64" i="2"/>
  <c r="G64" i="2"/>
  <c r="H64" i="2"/>
  <c r="I64" i="2"/>
  <c r="J64" i="2"/>
  <c r="K64" i="2"/>
  <c r="L64" i="2"/>
  <c r="B65" i="2"/>
  <c r="C65" i="2"/>
  <c r="D65" i="2"/>
  <c r="E65" i="2"/>
  <c r="F65" i="2"/>
  <c r="G65" i="2"/>
  <c r="H65" i="2"/>
  <c r="I65" i="2"/>
  <c r="J65" i="2"/>
  <c r="K65" i="2"/>
  <c r="L65" i="2"/>
  <c r="B66" i="2"/>
  <c r="C66" i="2"/>
  <c r="D66" i="2"/>
  <c r="E66" i="2"/>
  <c r="F66" i="2"/>
  <c r="G66" i="2"/>
  <c r="H66" i="2"/>
  <c r="I66" i="2"/>
  <c r="J66" i="2"/>
  <c r="K66" i="2"/>
  <c r="L66" i="2"/>
  <c r="B68" i="2"/>
  <c r="C68" i="2"/>
  <c r="D68" i="2"/>
  <c r="E68" i="2"/>
  <c r="F68" i="2"/>
  <c r="G68" i="2"/>
  <c r="H68" i="2"/>
  <c r="I68" i="2"/>
  <c r="J68" i="2"/>
  <c r="K68" i="2"/>
  <c r="L68" i="2"/>
  <c r="B55" i="2"/>
  <c r="C55" i="2"/>
  <c r="D55" i="2"/>
  <c r="E55" i="2"/>
  <c r="F55" i="2"/>
  <c r="G55" i="2"/>
  <c r="H55" i="2"/>
  <c r="I55" i="2"/>
  <c r="J55" i="2"/>
  <c r="K55" i="2"/>
  <c r="L55" i="2"/>
  <c r="B56" i="2"/>
  <c r="C56" i="2"/>
  <c r="D56" i="2"/>
  <c r="E56" i="2"/>
  <c r="F56" i="2"/>
  <c r="G56" i="2"/>
  <c r="H56" i="2"/>
  <c r="I56" i="2"/>
  <c r="J56" i="2"/>
  <c r="K56" i="2"/>
  <c r="L56" i="2"/>
  <c r="B57" i="2"/>
  <c r="C57" i="2"/>
  <c r="D57" i="2"/>
  <c r="E57" i="2"/>
  <c r="F57" i="2"/>
  <c r="G57" i="2"/>
  <c r="H57" i="2"/>
  <c r="I57" i="2"/>
  <c r="J57" i="2"/>
  <c r="K57" i="2"/>
  <c r="L57" i="2"/>
  <c r="B58" i="2"/>
  <c r="C58" i="2"/>
  <c r="D58" i="2"/>
  <c r="E58" i="2"/>
  <c r="F58" i="2"/>
  <c r="G58" i="2"/>
  <c r="H58" i="2"/>
  <c r="I58" i="2"/>
  <c r="J58" i="2"/>
  <c r="K58" i="2"/>
  <c r="L58" i="2"/>
  <c r="B38" i="2"/>
  <c r="C38" i="2"/>
  <c r="D38" i="2"/>
  <c r="E38" i="2"/>
  <c r="G38" i="2"/>
  <c r="H38" i="2"/>
  <c r="I38" i="2"/>
  <c r="J38" i="2"/>
  <c r="B39" i="2"/>
  <c r="C39" i="2"/>
  <c r="D39" i="2"/>
  <c r="E39" i="2"/>
  <c r="G39" i="2"/>
  <c r="H39" i="2"/>
  <c r="I39" i="2"/>
  <c r="J39" i="2"/>
  <c r="B40" i="2"/>
  <c r="C40" i="2"/>
  <c r="D40" i="2"/>
  <c r="E40" i="2"/>
  <c r="G40" i="2"/>
  <c r="H40" i="2"/>
  <c r="I40" i="2"/>
  <c r="J40" i="2"/>
  <c r="B41" i="2"/>
  <c r="C41" i="2"/>
  <c r="G41" i="2"/>
  <c r="I41" i="2"/>
  <c r="J41" i="2"/>
  <c r="B43" i="2"/>
  <c r="C43" i="2"/>
  <c r="D43" i="2"/>
  <c r="E43" i="2"/>
  <c r="G43" i="2"/>
  <c r="J43" i="2"/>
  <c r="C48" i="2"/>
  <c r="B14" i="2"/>
  <c r="C14" i="2"/>
  <c r="D14" i="2"/>
  <c r="E14" i="2"/>
  <c r="F14" i="2"/>
  <c r="G14" i="2"/>
  <c r="H14" i="2"/>
  <c r="I14" i="2"/>
  <c r="J14" i="2"/>
  <c r="K14" i="2"/>
  <c r="L14" i="2"/>
  <c r="B15" i="2"/>
  <c r="C15" i="2"/>
  <c r="D15" i="2"/>
  <c r="E15" i="2"/>
  <c r="F15" i="2"/>
  <c r="G15" i="2"/>
  <c r="H15" i="2"/>
  <c r="I15" i="2"/>
  <c r="J15" i="2"/>
  <c r="K15" i="2"/>
  <c r="L15" i="2"/>
  <c r="B16" i="2"/>
  <c r="C16" i="2"/>
  <c r="D16" i="2"/>
  <c r="E16" i="2"/>
  <c r="F16" i="2"/>
  <c r="G16" i="2"/>
  <c r="H16" i="2"/>
  <c r="I16" i="2"/>
  <c r="J16" i="2"/>
  <c r="K16" i="2"/>
  <c r="L16" i="2"/>
  <c r="B17" i="2"/>
  <c r="C17" i="2"/>
  <c r="D17" i="2"/>
  <c r="E17" i="2"/>
  <c r="F17" i="2"/>
  <c r="G17" i="2"/>
  <c r="H17" i="2"/>
  <c r="I17" i="2"/>
  <c r="J17" i="2"/>
  <c r="K17" i="2"/>
  <c r="L17" i="2"/>
  <c r="B18" i="2"/>
  <c r="C18" i="2"/>
  <c r="D18" i="2"/>
  <c r="E18" i="2"/>
  <c r="F18" i="2"/>
  <c r="G18" i="2"/>
  <c r="H18" i="2"/>
  <c r="I18" i="2"/>
  <c r="J18" i="2"/>
  <c r="K18" i="2"/>
  <c r="L18" i="2"/>
  <c r="B19" i="2"/>
  <c r="C19" i="2"/>
  <c r="D19" i="2"/>
  <c r="E19" i="2"/>
  <c r="F19" i="2"/>
  <c r="G19" i="2"/>
  <c r="H19" i="2"/>
  <c r="I19" i="2"/>
  <c r="J19" i="2"/>
  <c r="K19" i="2"/>
  <c r="L19" i="2"/>
  <c r="B20" i="2"/>
  <c r="C20" i="2"/>
  <c r="D20" i="2"/>
  <c r="E20" i="2"/>
  <c r="F20" i="2"/>
  <c r="G20" i="2"/>
  <c r="H20" i="2"/>
  <c r="I20" i="2"/>
  <c r="J20" i="2"/>
  <c r="K20" i="2"/>
  <c r="L20" i="2"/>
  <c r="B22" i="2"/>
  <c r="C22" i="2"/>
  <c r="D22" i="2"/>
  <c r="E22" i="2"/>
  <c r="F22" i="2"/>
  <c r="G22" i="2"/>
  <c r="H22" i="2"/>
  <c r="I22" i="2"/>
  <c r="J22" i="2"/>
  <c r="K22" i="2"/>
  <c r="L22" i="2"/>
  <c r="B23" i="2"/>
  <c r="C23" i="2"/>
  <c r="D23" i="2"/>
  <c r="E23" i="2"/>
  <c r="F23" i="2"/>
  <c r="G23" i="2"/>
  <c r="H23" i="2"/>
  <c r="I23" i="2"/>
  <c r="J23" i="2"/>
  <c r="K23" i="2"/>
  <c r="L23" i="2"/>
  <c r="B24" i="2"/>
  <c r="C24" i="2"/>
  <c r="D24" i="2"/>
  <c r="E24" i="2"/>
  <c r="F24" i="2"/>
  <c r="G24" i="2"/>
  <c r="H24" i="2"/>
  <c r="I24" i="2"/>
  <c r="J24" i="2"/>
  <c r="K24" i="2"/>
  <c r="L24" i="2"/>
  <c r="B25" i="2"/>
  <c r="C25" i="2"/>
  <c r="D25" i="2"/>
  <c r="E25" i="2"/>
  <c r="F25" i="2"/>
  <c r="G25" i="2"/>
  <c r="H25" i="2"/>
  <c r="I25" i="2"/>
  <c r="J25" i="2"/>
  <c r="K25" i="2"/>
  <c r="L25" i="2"/>
  <c r="B27" i="2"/>
  <c r="C27" i="2"/>
  <c r="D27" i="2"/>
  <c r="E27" i="2"/>
  <c r="F27" i="2"/>
  <c r="G27" i="2"/>
  <c r="H27" i="2"/>
  <c r="I27" i="2"/>
  <c r="J27" i="2"/>
  <c r="K27" i="2"/>
  <c r="L27" i="2"/>
  <c r="B28" i="2"/>
  <c r="C28" i="2"/>
  <c r="D28" i="2"/>
  <c r="E28" i="2"/>
  <c r="F28" i="2"/>
  <c r="G28" i="2"/>
  <c r="H28" i="2"/>
  <c r="I28" i="2"/>
  <c r="J28" i="2"/>
  <c r="K28" i="2"/>
  <c r="L28" i="2"/>
  <c r="B29" i="2"/>
  <c r="C29" i="2"/>
  <c r="D29" i="2"/>
  <c r="E29" i="2"/>
  <c r="F29" i="2"/>
  <c r="G29" i="2"/>
  <c r="H29" i="2"/>
  <c r="I29" i="2"/>
  <c r="J29" i="2"/>
  <c r="K29" i="2"/>
  <c r="L29" i="2"/>
  <c r="B30" i="2"/>
  <c r="C30" i="2"/>
  <c r="D30" i="2"/>
  <c r="E30" i="2"/>
  <c r="F30" i="2"/>
  <c r="G30" i="2"/>
  <c r="H30" i="2"/>
  <c r="I30" i="2"/>
  <c r="J30" i="2"/>
  <c r="K30" i="2"/>
  <c r="L30" i="2"/>
  <c r="B32" i="2"/>
  <c r="C32" i="2"/>
  <c r="D32" i="2"/>
  <c r="E32" i="2"/>
  <c r="F32" i="2"/>
  <c r="G32" i="2"/>
  <c r="H32" i="2"/>
  <c r="I32" i="2"/>
  <c r="J32" i="2"/>
  <c r="K32" i="2"/>
  <c r="L32" i="2"/>
  <c r="B33" i="2"/>
  <c r="C33" i="2"/>
  <c r="D33" i="2"/>
  <c r="E33" i="2"/>
  <c r="F33" i="2"/>
  <c r="G33" i="2"/>
  <c r="H33" i="2"/>
  <c r="I33" i="2"/>
  <c r="J33" i="2"/>
  <c r="K33" i="2"/>
  <c r="L33" i="2"/>
  <c r="B5" i="2"/>
  <c r="C5" i="2"/>
  <c r="D5" i="2"/>
  <c r="E5" i="2"/>
  <c r="F5" i="2"/>
  <c r="G5" i="2"/>
  <c r="H5" i="2"/>
  <c r="I5" i="2"/>
  <c r="J5" i="2"/>
  <c r="K5" i="2"/>
  <c r="L5" i="2"/>
  <c r="B6" i="2"/>
  <c r="C6" i="2"/>
  <c r="D6" i="2"/>
  <c r="E6" i="2"/>
  <c r="F6" i="2"/>
  <c r="G6" i="2"/>
  <c r="H6" i="2"/>
  <c r="I6" i="2"/>
  <c r="J6" i="2"/>
  <c r="K6" i="2"/>
  <c r="L6" i="2"/>
  <c r="B7" i="2"/>
  <c r="C7" i="2"/>
  <c r="D7" i="2"/>
  <c r="E7" i="2"/>
  <c r="F7" i="2"/>
  <c r="G7" i="2"/>
  <c r="H7" i="2"/>
  <c r="I7" i="2"/>
  <c r="J7" i="2"/>
  <c r="K7" i="2"/>
  <c r="L7" i="2"/>
  <c r="B8" i="2"/>
  <c r="C8" i="2"/>
  <c r="D8" i="2"/>
  <c r="E8" i="2"/>
  <c r="F8" i="2"/>
  <c r="G8" i="2"/>
  <c r="H8" i="2"/>
  <c r="I8" i="2"/>
  <c r="J8" i="2"/>
  <c r="K8" i="2"/>
  <c r="L8" i="2"/>
  <c r="B9" i="2"/>
  <c r="C9" i="2"/>
  <c r="D9" i="2"/>
  <c r="E9" i="2"/>
  <c r="F9" i="2"/>
  <c r="G9" i="2"/>
  <c r="H9" i="2"/>
  <c r="I9" i="2"/>
  <c r="J9" i="2"/>
  <c r="K9" i="2"/>
  <c r="L9" i="2"/>
  <c r="B10" i="2"/>
  <c r="C10" i="2"/>
  <c r="D10" i="2"/>
  <c r="E10" i="2"/>
  <c r="F10" i="2"/>
  <c r="G10" i="2"/>
  <c r="H10" i="2"/>
  <c r="I10" i="2"/>
  <c r="J10" i="2"/>
  <c r="K10" i="2"/>
  <c r="L10" i="2"/>
  <c r="N40" i="2" l="1"/>
  <c r="N38" i="2"/>
  <c r="N69" i="2"/>
  <c r="I172" i="12" l="1"/>
  <c r="C28" i="12" l="1"/>
  <c r="M61" i="6"/>
  <c r="D113" i="11" l="1"/>
  <c r="N78" i="5"/>
  <c r="M34" i="5"/>
  <c r="M39" i="5"/>
  <c r="M23" i="5"/>
  <c r="L23" i="5"/>
  <c r="K23" i="5"/>
  <c r="J23" i="5"/>
  <c r="I23" i="5"/>
  <c r="H23" i="5"/>
  <c r="G23" i="5"/>
  <c r="F23" i="5"/>
  <c r="E23" i="5"/>
  <c r="D23" i="5"/>
  <c r="C23" i="5"/>
  <c r="B23" i="5"/>
  <c r="F113" i="11"/>
  <c r="F38" i="12"/>
  <c r="F33" i="11" l="1"/>
  <c r="N81" i="10"/>
  <c r="N71" i="10"/>
  <c r="N57" i="10"/>
  <c r="N18" i="10"/>
  <c r="N14" i="10"/>
  <c r="O13" i="10"/>
  <c r="M44" i="10"/>
  <c r="E72" i="11"/>
  <c r="I72" i="11" s="1"/>
  <c r="K387" i="12"/>
  <c r="I262" i="12"/>
  <c r="E387" i="12" s="1"/>
  <c r="E83" i="12"/>
  <c r="E40" i="16" s="1"/>
  <c r="I40" i="16" s="1"/>
  <c r="N14" i="7"/>
  <c r="L14" i="7"/>
  <c r="K14" i="7"/>
  <c r="J14" i="7"/>
  <c r="I14" i="7"/>
  <c r="H14" i="7"/>
  <c r="G14" i="7"/>
  <c r="F14" i="7"/>
  <c r="E14" i="7"/>
  <c r="D14" i="7"/>
  <c r="C14" i="7"/>
  <c r="B14" i="7"/>
  <c r="M14" i="7"/>
  <c r="N20" i="10" l="1"/>
  <c r="I83" i="12"/>
  <c r="N33" i="10"/>
  <c r="N73" i="10" s="1"/>
  <c r="K343" i="12"/>
  <c r="I218" i="12"/>
  <c r="E343" i="12" s="1"/>
  <c r="B38" i="12"/>
  <c r="B33" i="11" s="1"/>
  <c r="I33" i="11" s="1"/>
  <c r="B28" i="12"/>
  <c r="B24" i="11" s="1"/>
  <c r="B12" i="12"/>
  <c r="B8" i="11" s="1"/>
  <c r="B13" i="12"/>
  <c r="B9" i="11" s="1"/>
  <c r="N83" i="10" l="1"/>
  <c r="I38" i="12"/>
  <c r="G343" i="12" s="1"/>
  <c r="G387" i="12"/>
  <c r="C387" i="12"/>
  <c r="M129" i="2"/>
  <c r="N199" i="2"/>
  <c r="M199" i="2"/>
  <c r="M214" i="2"/>
  <c r="M72" i="2" s="1"/>
  <c r="M238" i="2"/>
  <c r="M285" i="2"/>
  <c r="M94" i="2"/>
  <c r="M93" i="2"/>
  <c r="M92" i="2"/>
  <c r="M91" i="2"/>
  <c r="M90" i="2"/>
  <c r="M86" i="2"/>
  <c r="M85" i="2"/>
  <c r="M70" i="2"/>
  <c r="M76" i="2"/>
  <c r="M73" i="2"/>
  <c r="M68" i="2"/>
  <c r="M66" i="2"/>
  <c r="M65" i="2"/>
  <c r="M64" i="2"/>
  <c r="M63" i="2"/>
  <c r="M62" i="2"/>
  <c r="M61" i="2"/>
  <c r="M58" i="2"/>
  <c r="M57" i="2"/>
  <c r="M56" i="2"/>
  <c r="M55" i="2"/>
  <c r="M33" i="2"/>
  <c r="M32" i="2"/>
  <c r="M30" i="2"/>
  <c r="M29" i="2"/>
  <c r="M28" i="2"/>
  <c r="M27" i="2"/>
  <c r="M25" i="2"/>
  <c r="M24" i="2"/>
  <c r="M23" i="2"/>
  <c r="M22" i="2"/>
  <c r="M20" i="2"/>
  <c r="M19" i="2"/>
  <c r="M18" i="2"/>
  <c r="M17" i="2"/>
  <c r="M16" i="2"/>
  <c r="M15" i="2"/>
  <c r="M14" i="2"/>
  <c r="M10" i="2"/>
  <c r="M9" i="2"/>
  <c r="M8" i="2"/>
  <c r="M7" i="2"/>
  <c r="M6" i="2"/>
  <c r="M5" i="2"/>
  <c r="M270" i="2"/>
  <c r="M74" i="2" s="1"/>
  <c r="C343" i="12" l="1"/>
  <c r="M200" i="2"/>
  <c r="M287" i="2"/>
  <c r="M75" i="2"/>
  <c r="B123" i="12"/>
  <c r="I123" i="12" s="1"/>
  <c r="B307" i="12"/>
  <c r="I307" i="12" s="1"/>
  <c r="B208" i="12"/>
  <c r="C208" i="12"/>
  <c r="F28" i="12"/>
  <c r="D304" i="12"/>
  <c r="D235" i="12"/>
  <c r="D224" i="12"/>
  <c r="C204" i="12"/>
  <c r="C203" i="12"/>
  <c r="C202" i="12"/>
  <c r="C304" i="12"/>
  <c r="C206" i="12"/>
  <c r="C205" i="12"/>
  <c r="C196" i="12"/>
  <c r="C193" i="12"/>
  <c r="C192" i="12"/>
  <c r="C198" i="12"/>
  <c r="B280" i="12"/>
  <c r="B257" i="12"/>
  <c r="B304" i="12"/>
  <c r="I301" i="12"/>
  <c r="I302" i="12"/>
  <c r="I118" i="12"/>
  <c r="B224" i="12"/>
  <c r="B205" i="12"/>
  <c r="B203" i="12"/>
  <c r="B204" i="12"/>
  <c r="B206" i="12"/>
  <c r="B202" i="12"/>
  <c r="B198" i="12"/>
  <c r="B196" i="12"/>
  <c r="B195" i="12"/>
  <c r="B194" i="12"/>
  <c r="B193" i="12"/>
  <c r="B192" i="12"/>
  <c r="F296" i="12"/>
  <c r="F290" i="12"/>
  <c r="F241" i="12"/>
  <c r="F242" i="12"/>
  <c r="F217" i="12"/>
  <c r="G290" i="12"/>
  <c r="G426" i="12" l="1"/>
  <c r="I208" i="12"/>
  <c r="B210" i="12"/>
  <c r="E333" i="12"/>
  <c r="G296" i="12"/>
  <c r="L27" i="17" l="1"/>
  <c r="L17" i="17"/>
  <c r="L12" i="17"/>
  <c r="L19" i="17" s="1"/>
  <c r="L27" i="14"/>
  <c r="L29" i="14" s="1"/>
  <c r="L16" i="14"/>
  <c r="L12" i="14"/>
  <c r="L18" i="14" s="1"/>
  <c r="L81" i="10"/>
  <c r="L71" i="10"/>
  <c r="L44" i="10"/>
  <c r="L42" i="10"/>
  <c r="L57" i="10" s="1"/>
  <c r="L33" i="10"/>
  <c r="L73" i="10" s="1"/>
  <c r="L18" i="10"/>
  <c r="L14" i="10"/>
  <c r="L20" i="10" s="1"/>
  <c r="L19" i="7"/>
  <c r="L21" i="7" s="1"/>
  <c r="L76" i="6"/>
  <c r="L61" i="6"/>
  <c r="L70" i="6" s="1"/>
  <c r="L56" i="6"/>
  <c r="L78" i="6" s="1"/>
  <c r="L49" i="6"/>
  <c r="L36" i="6"/>
  <c r="L17" i="6"/>
  <c r="L38" i="6" s="1"/>
  <c r="L9" i="6"/>
  <c r="L8" i="6"/>
  <c r="L78" i="5"/>
  <c r="L71" i="5"/>
  <c r="L39" i="5"/>
  <c r="L54" i="5" s="1"/>
  <c r="L36" i="5"/>
  <c r="L17" i="5"/>
  <c r="L25" i="5" s="1"/>
  <c r="L73" i="5" l="1"/>
  <c r="L29" i="17"/>
  <c r="L83" i="10"/>
  <c r="L86" i="10" s="1"/>
  <c r="L80" i="6"/>
  <c r="L80" i="5"/>
  <c r="L83" i="5" s="1"/>
  <c r="B70" i="12"/>
  <c r="L129" i="2"/>
  <c r="L199" i="2"/>
  <c r="L214" i="2"/>
  <c r="L238" i="2"/>
  <c r="L270" i="2"/>
  <c r="L74" i="2" s="1"/>
  <c r="L285" i="2"/>
  <c r="P45" i="2"/>
  <c r="Q45" i="2" s="1"/>
  <c r="K129" i="2"/>
  <c r="K199" i="2"/>
  <c r="K214" i="2"/>
  <c r="K238" i="2"/>
  <c r="K270" i="2"/>
  <c r="K74" i="2" s="1"/>
  <c r="K285" i="2"/>
  <c r="B71" i="12"/>
  <c r="B199" i="2"/>
  <c r="E199" i="2"/>
  <c r="G199" i="2"/>
  <c r="H199" i="2"/>
  <c r="I199" i="2"/>
  <c r="J199" i="2"/>
  <c r="B143" i="12" l="1"/>
  <c r="B142" i="12"/>
  <c r="B130" i="12"/>
  <c r="B131" i="12"/>
  <c r="B129" i="12"/>
  <c r="B128" i="12"/>
  <c r="B127" i="12"/>
  <c r="B137" i="12" l="1"/>
  <c r="D137" i="12"/>
  <c r="C137" i="12"/>
  <c r="D136" i="12" l="1"/>
  <c r="D159" i="12" s="1"/>
  <c r="C136" i="12"/>
  <c r="C159" i="12" s="1"/>
  <c r="B136" i="12"/>
  <c r="B159" i="12" s="1"/>
  <c r="C135" i="12"/>
  <c r="C158" i="12" s="1"/>
  <c r="B135" i="12"/>
  <c r="B158" i="12" s="1"/>
  <c r="C134" i="12"/>
  <c r="B134" i="12"/>
  <c r="B157" i="12" s="1"/>
  <c r="C133" i="12"/>
  <c r="C156" i="12" s="1"/>
  <c r="B133" i="12"/>
  <c r="B156" i="12" s="1"/>
  <c r="B132" i="12"/>
  <c r="B155" i="12" s="1"/>
  <c r="D161" i="12"/>
  <c r="C161" i="12"/>
  <c r="E159" i="12"/>
  <c r="D158" i="12"/>
  <c r="D157" i="12"/>
  <c r="D156" i="12"/>
  <c r="D155" i="12"/>
  <c r="C155" i="12"/>
  <c r="D154" i="12"/>
  <c r="C154" i="12"/>
  <c r="B154" i="12"/>
  <c r="B153" i="12"/>
  <c r="D152" i="12"/>
  <c r="C152" i="12"/>
  <c r="B152" i="12"/>
  <c r="D151" i="12"/>
  <c r="C151" i="12"/>
  <c r="B151" i="12"/>
  <c r="D150" i="12"/>
  <c r="C150" i="12"/>
  <c r="B150" i="12"/>
  <c r="I145" i="12"/>
  <c r="D144" i="12"/>
  <c r="C144" i="12"/>
  <c r="B144" i="12"/>
  <c r="H139" i="12"/>
  <c r="G139" i="12"/>
  <c r="F139" i="12"/>
  <c r="E139" i="12"/>
  <c r="B161" i="12"/>
  <c r="J137" i="12"/>
  <c r="D160" i="12"/>
  <c r="C160" i="12"/>
  <c r="I137" i="12"/>
  <c r="J136" i="12"/>
  <c r="J135" i="12"/>
  <c r="J134" i="12"/>
  <c r="J133" i="12"/>
  <c r="I131" i="12"/>
  <c r="D153" i="12"/>
  <c r="I130" i="12"/>
  <c r="I129" i="12"/>
  <c r="I128" i="12"/>
  <c r="I127" i="12"/>
  <c r="I132" i="12" l="1"/>
  <c r="I151" i="12"/>
  <c r="I134" i="12"/>
  <c r="I161" i="12"/>
  <c r="I136" i="12"/>
  <c r="I135" i="12"/>
  <c r="C139" i="12"/>
  <c r="C157" i="12"/>
  <c r="I157" i="12" s="1"/>
  <c r="I159" i="12"/>
  <c r="I158" i="12"/>
  <c r="I155" i="12"/>
  <c r="I154" i="12"/>
  <c r="I152" i="12"/>
  <c r="I150" i="12"/>
  <c r="I156" i="12"/>
  <c r="D162" i="12"/>
  <c r="B139" i="12"/>
  <c r="I133" i="12"/>
  <c r="C153" i="12"/>
  <c r="I138" i="12"/>
  <c r="D139" i="12"/>
  <c r="B160" i="12"/>
  <c r="I160" i="12" s="1"/>
  <c r="I139" i="12" l="1"/>
  <c r="C162" i="12"/>
  <c r="B162" i="12"/>
  <c r="I153" i="12"/>
  <c r="D167" i="12"/>
  <c r="B163" i="12"/>
  <c r="I162" i="12" l="1"/>
  <c r="C166" i="12"/>
  <c r="B164" i="12"/>
  <c r="B165" i="12"/>
  <c r="M78" i="5" l="1"/>
  <c r="K78" i="5"/>
  <c r="K71" i="5"/>
  <c r="K54" i="5"/>
  <c r="K40" i="5"/>
  <c r="K39" i="5"/>
  <c r="K36" i="5"/>
  <c r="K25" i="5"/>
  <c r="K17" i="5"/>
  <c r="K76" i="6"/>
  <c r="K70" i="6"/>
  <c r="K56" i="6"/>
  <c r="K49" i="6"/>
  <c r="K36" i="6"/>
  <c r="K17" i="6"/>
  <c r="K19" i="7"/>
  <c r="K21" i="7" s="1"/>
  <c r="M81" i="10"/>
  <c r="K81" i="10"/>
  <c r="K71" i="10"/>
  <c r="K44" i="10"/>
  <c r="K57" i="10" s="1"/>
  <c r="K33" i="10"/>
  <c r="K18" i="10"/>
  <c r="K14" i="10"/>
  <c r="K27" i="14"/>
  <c r="K16" i="14"/>
  <c r="K12" i="14"/>
  <c r="K18" i="14" s="1"/>
  <c r="K27" i="17"/>
  <c r="K29" i="17" s="1"/>
  <c r="K17" i="17"/>
  <c r="K12" i="17"/>
  <c r="K19" i="17" s="1"/>
  <c r="K29" i="14" l="1"/>
  <c r="K78" i="6"/>
  <c r="K80" i="6" s="1"/>
  <c r="K38" i="6"/>
  <c r="K80" i="5"/>
  <c r="K83" i="5" s="1"/>
  <c r="K73" i="5"/>
  <c r="K73" i="10"/>
  <c r="K20" i="10"/>
  <c r="K83" i="10"/>
  <c r="K86" i="10" s="1"/>
  <c r="C42" i="12" l="1"/>
  <c r="C37" i="11" l="1"/>
  <c r="F65" i="16" l="1"/>
  <c r="D75" i="11" l="1"/>
  <c r="D86" i="12" l="1"/>
  <c r="H76" i="11" l="1"/>
  <c r="H87" i="12"/>
  <c r="I204" i="12"/>
  <c r="I206" i="12"/>
  <c r="I193" i="12"/>
  <c r="I197" i="12"/>
  <c r="I207" i="12"/>
  <c r="J23" i="17"/>
  <c r="J27" i="17" s="1"/>
  <c r="J17" i="17"/>
  <c r="J12" i="17"/>
  <c r="J27" i="14"/>
  <c r="J16" i="14"/>
  <c r="J12" i="14"/>
  <c r="J81" i="10"/>
  <c r="J71" i="10"/>
  <c r="J44" i="10"/>
  <c r="J57" i="10" s="1"/>
  <c r="J33" i="10"/>
  <c r="J18" i="10"/>
  <c r="J14" i="10"/>
  <c r="J19" i="7"/>
  <c r="J76" i="6"/>
  <c r="J63" i="6"/>
  <c r="J70" i="6" s="1"/>
  <c r="J56" i="6"/>
  <c r="J49" i="6"/>
  <c r="J36" i="6"/>
  <c r="J17" i="6"/>
  <c r="J78" i="5"/>
  <c r="J71" i="5"/>
  <c r="J43" i="5"/>
  <c r="J39" i="5"/>
  <c r="J34" i="5"/>
  <c r="J36" i="5" s="1"/>
  <c r="J17" i="5"/>
  <c r="B27" i="12" l="1"/>
  <c r="J38" i="6"/>
  <c r="I195" i="12"/>
  <c r="I203" i="12"/>
  <c r="I205" i="12"/>
  <c r="I196" i="12"/>
  <c r="I194" i="12"/>
  <c r="I202" i="12"/>
  <c r="J20" i="10"/>
  <c r="J73" i="10"/>
  <c r="I209" i="12"/>
  <c r="J25" i="5"/>
  <c r="J54" i="5"/>
  <c r="J73" i="5" s="1"/>
  <c r="J21" i="7"/>
  <c r="J18" i="14"/>
  <c r="J29" i="14" s="1"/>
  <c r="I192" i="12"/>
  <c r="J78" i="6"/>
  <c r="J80" i="6" s="1"/>
  <c r="J19" i="17"/>
  <c r="J29" i="17" s="1"/>
  <c r="I198" i="12"/>
  <c r="J80" i="5" l="1"/>
  <c r="J83" i="5" s="1"/>
  <c r="J83" i="10"/>
  <c r="J86" i="10" s="1"/>
  <c r="M70" i="6" l="1"/>
  <c r="M49" i="6"/>
  <c r="I49" i="6"/>
  <c r="H49" i="6"/>
  <c r="G49" i="6"/>
  <c r="F49" i="6"/>
  <c r="E49" i="6"/>
  <c r="D49" i="6"/>
  <c r="C49" i="6"/>
  <c r="B49" i="6"/>
  <c r="C55" i="11" l="1"/>
  <c r="C36" i="11"/>
  <c r="C79" i="11"/>
  <c r="C32" i="11"/>
  <c r="C35" i="11"/>
  <c r="C67" i="12"/>
  <c r="C56" i="11"/>
  <c r="C78" i="11"/>
  <c r="C63" i="11"/>
  <c r="C38" i="11"/>
  <c r="C41" i="11"/>
  <c r="C51" i="11"/>
  <c r="C57" i="12"/>
  <c r="C64" i="11"/>
  <c r="N49" i="6"/>
  <c r="H34" i="5"/>
  <c r="G34" i="5"/>
  <c r="B36" i="5"/>
  <c r="D86" i="11" l="1"/>
  <c r="D97" i="12"/>
  <c r="D83" i="11"/>
  <c r="D79" i="11"/>
  <c r="B65" i="12"/>
  <c r="B64" i="12"/>
  <c r="B60" i="11" s="1"/>
  <c r="B63" i="12"/>
  <c r="B59" i="11" s="1"/>
  <c r="B59" i="12"/>
  <c r="B54" i="11" s="1"/>
  <c r="B58" i="12"/>
  <c r="B53" i="11" s="1"/>
  <c r="B56" i="12"/>
  <c r="B51" i="11" s="1"/>
  <c r="B53" i="12"/>
  <c r="B48" i="11" s="1"/>
  <c r="B52" i="12"/>
  <c r="B47" i="11" s="1"/>
  <c r="B51" i="12"/>
  <c r="B46" i="11" s="1"/>
  <c r="B97" i="11"/>
  <c r="B80" i="11"/>
  <c r="B74" i="11"/>
  <c r="B57" i="11"/>
  <c r="B52" i="11"/>
  <c r="B23" i="11"/>
  <c r="B26" i="12"/>
  <c r="B22" i="11" s="1"/>
  <c r="B24" i="12"/>
  <c r="B20" i="11" s="1"/>
  <c r="B23" i="12"/>
  <c r="B19" i="11" s="1"/>
  <c r="B22" i="12"/>
  <c r="B95" i="12"/>
  <c r="B84" i="11" s="1"/>
  <c r="B62" i="12"/>
  <c r="B58" i="11" s="1"/>
  <c r="B66" i="11"/>
  <c r="B65" i="11"/>
  <c r="B67" i="12"/>
  <c r="B56" i="11" s="1"/>
  <c r="B66" i="12"/>
  <c r="B62" i="11" s="1"/>
  <c r="B55" i="12"/>
  <c r="B50" i="11" s="1"/>
  <c r="B54" i="12"/>
  <c r="B49" i="11" s="1"/>
  <c r="B18" i="12"/>
  <c r="B14" i="11" s="1"/>
  <c r="B17" i="12"/>
  <c r="B13" i="11" s="1"/>
  <c r="B16" i="12"/>
  <c r="B12" i="11" s="1"/>
  <c r="B15" i="12"/>
  <c r="B11" i="11" s="1"/>
  <c r="B14" i="12"/>
  <c r="B10" i="11" s="1"/>
  <c r="B61" i="11" l="1"/>
  <c r="B19" i="12"/>
  <c r="B18" i="11"/>
  <c r="D39" i="11"/>
  <c r="I129" i="2"/>
  <c r="I214" i="2"/>
  <c r="I238" i="2"/>
  <c r="I270" i="2"/>
  <c r="I74" i="2" s="1"/>
  <c r="I285" i="2"/>
  <c r="J238" i="2"/>
  <c r="J49" i="2" l="1"/>
  <c r="C97" i="12" l="1"/>
  <c r="C86" i="11"/>
  <c r="J285" i="2" l="1"/>
  <c r="J270" i="2"/>
  <c r="J74" i="2" s="1"/>
  <c r="J214" i="2"/>
  <c r="J129" i="2"/>
  <c r="I27" i="17"/>
  <c r="I17" i="17"/>
  <c r="I12" i="17"/>
  <c r="I27" i="14"/>
  <c r="I16" i="14"/>
  <c r="I12" i="14"/>
  <c r="M71" i="10"/>
  <c r="I81" i="10"/>
  <c r="I71" i="10"/>
  <c r="I44" i="10"/>
  <c r="I57" i="10" s="1"/>
  <c r="I33" i="10"/>
  <c r="I18" i="10"/>
  <c r="I14" i="10"/>
  <c r="I19" i="7"/>
  <c r="I76" i="6"/>
  <c r="I70" i="6"/>
  <c r="I56" i="6"/>
  <c r="I78" i="6" s="1"/>
  <c r="I36" i="6"/>
  <c r="I15" i="6"/>
  <c r="I17" i="6" s="1"/>
  <c r="I78" i="5"/>
  <c r="I71" i="5"/>
  <c r="I39" i="5"/>
  <c r="I54" i="5" s="1"/>
  <c r="I36" i="5"/>
  <c r="I17" i="5"/>
  <c r="I38" i="6" l="1"/>
  <c r="I80" i="6" s="1"/>
  <c r="I21" i="7"/>
  <c r="I20" i="10"/>
  <c r="I73" i="10"/>
  <c r="I19" i="17"/>
  <c r="I29" i="17" s="1"/>
  <c r="I18" i="14"/>
  <c r="I29" i="14" s="1"/>
  <c r="I25" i="5"/>
  <c r="I73" i="5"/>
  <c r="I80" i="5" l="1"/>
  <c r="I83" i="5" s="1"/>
  <c r="I83" i="10"/>
  <c r="I86" i="10" s="1"/>
  <c r="B21" i="7"/>
  <c r="B19" i="7"/>
  <c r="C17" i="12" l="1"/>
  <c r="C13" i="11" s="1"/>
  <c r="M17" i="6"/>
  <c r="H238" i="2" l="1"/>
  <c r="P42" i="2"/>
  <c r="Q42" i="2" s="1"/>
  <c r="P41" i="2" l="1"/>
  <c r="Q41" i="2" s="1"/>
  <c r="I49" i="2"/>
  <c r="H285" i="2" l="1"/>
  <c r="H270" i="2"/>
  <c r="H74" i="2" s="1"/>
  <c r="H212" i="2"/>
  <c r="H211" i="2"/>
  <c r="H210" i="2"/>
  <c r="H209" i="2"/>
  <c r="H208" i="2"/>
  <c r="H207" i="2"/>
  <c r="H206" i="2"/>
  <c r="H205" i="2"/>
  <c r="H204" i="2"/>
  <c r="H129" i="2"/>
  <c r="H27" i="17"/>
  <c r="H17" i="17"/>
  <c r="H12" i="17"/>
  <c r="H27" i="14"/>
  <c r="H16" i="14"/>
  <c r="H12" i="14"/>
  <c r="H18" i="14" s="1"/>
  <c r="H81" i="10"/>
  <c r="H71" i="10"/>
  <c r="H42" i="10"/>
  <c r="H57" i="10" s="1"/>
  <c r="H33" i="10"/>
  <c r="H18" i="10"/>
  <c r="H14" i="10"/>
  <c r="H19" i="7"/>
  <c r="H21" i="7" s="1"/>
  <c r="H76" i="6"/>
  <c r="H70" i="6"/>
  <c r="H56" i="6"/>
  <c r="H36" i="6"/>
  <c r="H17" i="6"/>
  <c r="H78" i="5"/>
  <c r="H71" i="5"/>
  <c r="H39" i="5"/>
  <c r="H54" i="5" s="1"/>
  <c r="H36" i="5"/>
  <c r="H8" i="5"/>
  <c r="H17" i="5" s="1"/>
  <c r="E427" i="12"/>
  <c r="H304" i="12"/>
  <c r="I300" i="12"/>
  <c r="E424" i="12" s="1"/>
  <c r="I299" i="12"/>
  <c r="E423" i="12" s="1"/>
  <c r="I298" i="12"/>
  <c r="G304" i="12"/>
  <c r="F304" i="12"/>
  <c r="E304" i="12"/>
  <c r="N214" i="2" l="1"/>
  <c r="H78" i="6"/>
  <c r="H73" i="5"/>
  <c r="H214" i="2"/>
  <c r="H72" i="2" s="1"/>
  <c r="H20" i="10"/>
  <c r="H25" i="5"/>
  <c r="H38" i="6"/>
  <c r="H59" i="2"/>
  <c r="H11" i="2"/>
  <c r="H200" i="2"/>
  <c r="H69" i="2"/>
  <c r="H87" i="2"/>
  <c r="H73" i="10"/>
  <c r="H19" i="17"/>
  <c r="H29" i="17" s="1"/>
  <c r="H49" i="2"/>
  <c r="H34" i="2"/>
  <c r="H95" i="2"/>
  <c r="H96" i="2" s="1"/>
  <c r="H29" i="14"/>
  <c r="H80" i="5" l="1"/>
  <c r="H83" i="5" s="1"/>
  <c r="H77" i="2"/>
  <c r="H80" i="6"/>
  <c r="H83" i="10"/>
  <c r="H86" i="10" s="1"/>
  <c r="H35" i="2"/>
  <c r="H36" i="2" s="1"/>
  <c r="H287" i="2"/>
  <c r="B270" i="2"/>
  <c r="B74" i="2" s="1"/>
  <c r="B285" i="2"/>
  <c r="C285" i="2"/>
  <c r="D285" i="2"/>
  <c r="E285" i="2"/>
  <c r="F285" i="2"/>
  <c r="G285" i="2"/>
  <c r="H50" i="2" l="1"/>
  <c r="H78" i="2"/>
  <c r="H82" i="2" s="1"/>
  <c r="H289" i="2" l="1"/>
  <c r="B119" i="12"/>
  <c r="B107" i="11" s="1"/>
  <c r="G78" i="5"/>
  <c r="G71" i="5"/>
  <c r="G39" i="5"/>
  <c r="G54" i="5" s="1"/>
  <c r="G36" i="5"/>
  <c r="G8" i="5"/>
  <c r="G17" i="5" s="1"/>
  <c r="G25" i="5" l="1"/>
  <c r="G73" i="5"/>
  <c r="I107" i="11"/>
  <c r="I119" i="12"/>
  <c r="G427" i="12" s="1"/>
  <c r="C23" i="11" l="1"/>
  <c r="G80" i="5"/>
  <c r="G83" i="5" s="1"/>
  <c r="C27" i="12"/>
  <c r="N285" i="2" l="1"/>
  <c r="G129" i="2"/>
  <c r="G214" i="2"/>
  <c r="G238" i="2"/>
  <c r="G270" i="2"/>
  <c r="G74" i="2" s="1"/>
  <c r="I11" i="2" l="1"/>
  <c r="I34" i="2"/>
  <c r="G44" i="10"/>
  <c r="G57" i="10" s="1"/>
  <c r="G81" i="10"/>
  <c r="G71" i="10"/>
  <c r="G33" i="10"/>
  <c r="G18" i="10"/>
  <c r="G14" i="10"/>
  <c r="G20" i="10" l="1"/>
  <c r="I35" i="2"/>
  <c r="G73" i="10"/>
  <c r="G83" i="10" s="1"/>
  <c r="G86" i="10" s="1"/>
  <c r="I217" i="12"/>
  <c r="E342" i="12" s="1"/>
  <c r="G19" i="7"/>
  <c r="G21" i="7" s="1"/>
  <c r="G76" i="6"/>
  <c r="G70" i="6"/>
  <c r="G56" i="6"/>
  <c r="G36" i="6"/>
  <c r="G17" i="6"/>
  <c r="E330" i="12"/>
  <c r="E317" i="12"/>
  <c r="G27" i="17"/>
  <c r="G17" i="17"/>
  <c r="G12" i="17"/>
  <c r="G19" i="17" s="1"/>
  <c r="G29" i="17" s="1"/>
  <c r="G227" i="12"/>
  <c r="G27" i="14"/>
  <c r="G16" i="14"/>
  <c r="G12" i="14"/>
  <c r="G18" i="14" s="1"/>
  <c r="G56" i="11"/>
  <c r="G28" i="16" s="1"/>
  <c r="I69" i="11"/>
  <c r="K395" i="12"/>
  <c r="K394" i="12"/>
  <c r="K393" i="12"/>
  <c r="B214" i="2"/>
  <c r="C214" i="2"/>
  <c r="D214" i="2"/>
  <c r="E214" i="2"/>
  <c r="F214" i="2"/>
  <c r="C270" i="2"/>
  <c r="C74" i="2" s="1"/>
  <c r="D270" i="2"/>
  <c r="D74" i="2" s="1"/>
  <c r="F270" i="2"/>
  <c r="F74" i="2" s="1"/>
  <c r="C238" i="2"/>
  <c r="D238" i="2"/>
  <c r="E238" i="2"/>
  <c r="F238" i="2"/>
  <c r="C199" i="2"/>
  <c r="C17" i="5"/>
  <c r="D17" i="5"/>
  <c r="E17" i="5"/>
  <c r="F17" i="5"/>
  <c r="B17" i="5"/>
  <c r="M17" i="5"/>
  <c r="M19" i="7"/>
  <c r="F27" i="17"/>
  <c r="F17" i="17"/>
  <c r="F12" i="17"/>
  <c r="F19" i="17" s="1"/>
  <c r="F29" i="17" s="1"/>
  <c r="F27" i="14"/>
  <c r="F16" i="14"/>
  <c r="F12" i="14"/>
  <c r="F81" i="10"/>
  <c r="F71" i="10"/>
  <c r="F44" i="10"/>
  <c r="F57" i="10" s="1"/>
  <c r="F33" i="10"/>
  <c r="F18" i="10"/>
  <c r="F14" i="10"/>
  <c r="E84" i="12"/>
  <c r="F19" i="7"/>
  <c r="F21" i="7"/>
  <c r="M56" i="6"/>
  <c r="C12" i="12"/>
  <c r="F76" i="6"/>
  <c r="F70" i="6"/>
  <c r="F56" i="6"/>
  <c r="F31" i="6"/>
  <c r="F13" i="6"/>
  <c r="F17" i="6" s="1"/>
  <c r="D95" i="12"/>
  <c r="D87" i="12"/>
  <c r="D56" i="11"/>
  <c r="D28" i="16" s="1"/>
  <c r="N71" i="5"/>
  <c r="D50" i="11"/>
  <c r="D61" i="11"/>
  <c r="D31" i="16" s="1"/>
  <c r="D42" i="12"/>
  <c r="N23" i="5"/>
  <c r="D28" i="12" s="1"/>
  <c r="M71" i="5"/>
  <c r="M54" i="5"/>
  <c r="G61" i="16"/>
  <c r="G51" i="16"/>
  <c r="G50" i="16"/>
  <c r="G48" i="16"/>
  <c r="G47" i="16"/>
  <c r="G46" i="16"/>
  <c r="G45" i="16"/>
  <c r="G43" i="16"/>
  <c r="G42" i="16"/>
  <c r="G41" i="16"/>
  <c r="G39" i="16"/>
  <c r="G35" i="16"/>
  <c r="G34" i="16"/>
  <c r="G33" i="16"/>
  <c r="G32" i="16"/>
  <c r="G29" i="16"/>
  <c r="G27" i="16"/>
  <c r="G26" i="16"/>
  <c r="G25" i="16"/>
  <c r="G24" i="16"/>
  <c r="G23" i="16"/>
  <c r="G22" i="16"/>
  <c r="G17" i="16"/>
  <c r="G16" i="16"/>
  <c r="G59" i="11"/>
  <c r="G30" i="16" s="1"/>
  <c r="G42" i="11"/>
  <c r="G25" i="11"/>
  <c r="G15" i="11"/>
  <c r="G27" i="11" s="1"/>
  <c r="H84" i="12"/>
  <c r="H101" i="12" s="1"/>
  <c r="H32" i="15" s="1"/>
  <c r="G47" i="12"/>
  <c r="G30" i="15" s="1"/>
  <c r="G30" i="12"/>
  <c r="G24" i="15" s="1"/>
  <c r="G25" i="15" s="1"/>
  <c r="G9" i="16" s="1"/>
  <c r="G19" i="12"/>
  <c r="G20" i="15" s="1"/>
  <c r="G21" i="15" s="1"/>
  <c r="Q35" i="15"/>
  <c r="G280" i="12"/>
  <c r="Q32" i="15" s="1"/>
  <c r="G257" i="12"/>
  <c r="Q31" i="15" s="1"/>
  <c r="G210" i="12"/>
  <c r="Q24" i="15" s="1"/>
  <c r="Q25" i="15" s="1"/>
  <c r="G199" i="12"/>
  <c r="Q20" i="15" s="1"/>
  <c r="Q21" i="15" s="1"/>
  <c r="H56" i="11"/>
  <c r="C17" i="17"/>
  <c r="D17" i="17"/>
  <c r="E17" i="17"/>
  <c r="M17" i="17"/>
  <c r="B17" i="17"/>
  <c r="M27" i="17"/>
  <c r="E27" i="17"/>
  <c r="D27" i="17"/>
  <c r="C27" i="17"/>
  <c r="B27" i="17"/>
  <c r="M12" i="17"/>
  <c r="E12" i="17"/>
  <c r="D12" i="17"/>
  <c r="C12" i="17"/>
  <c r="B12" i="17"/>
  <c r="I290" i="12"/>
  <c r="E414" i="12" s="1"/>
  <c r="D61" i="16"/>
  <c r="E61" i="16"/>
  <c r="F61" i="16"/>
  <c r="C60" i="16"/>
  <c r="D60" i="16"/>
  <c r="F59" i="16"/>
  <c r="D58" i="16"/>
  <c r="E58" i="16"/>
  <c r="C51" i="16"/>
  <c r="D51" i="16"/>
  <c r="E51" i="16"/>
  <c r="F51" i="16"/>
  <c r="H51" i="16"/>
  <c r="E50" i="16"/>
  <c r="F50" i="16"/>
  <c r="H50" i="16"/>
  <c r="C43" i="16"/>
  <c r="D43" i="16"/>
  <c r="E48" i="16"/>
  <c r="B48" i="16"/>
  <c r="D47" i="16"/>
  <c r="E47" i="16"/>
  <c r="F47" i="16"/>
  <c r="H47" i="16"/>
  <c r="E46" i="16"/>
  <c r="H46" i="16"/>
  <c r="C45" i="16"/>
  <c r="E45" i="16"/>
  <c r="C42" i="16"/>
  <c r="D42" i="16"/>
  <c r="E42" i="16"/>
  <c r="H42" i="16"/>
  <c r="B42" i="16"/>
  <c r="C39" i="16"/>
  <c r="E39" i="16"/>
  <c r="H39" i="16"/>
  <c r="E35" i="16"/>
  <c r="C34" i="16"/>
  <c r="E34" i="16"/>
  <c r="C33" i="16"/>
  <c r="D33" i="16"/>
  <c r="E33" i="16"/>
  <c r="F33" i="16"/>
  <c r="H33" i="16"/>
  <c r="C32" i="16"/>
  <c r="D32" i="16"/>
  <c r="E32" i="16"/>
  <c r="F32" i="16"/>
  <c r="H32" i="16"/>
  <c r="E31" i="16"/>
  <c r="C30" i="16"/>
  <c r="E30" i="16"/>
  <c r="C29" i="16"/>
  <c r="E29" i="16"/>
  <c r="H29" i="16"/>
  <c r="C27" i="16"/>
  <c r="E27" i="16"/>
  <c r="H27" i="16"/>
  <c r="C26" i="16"/>
  <c r="E26" i="16"/>
  <c r="F26" i="16"/>
  <c r="H26" i="16"/>
  <c r="C25" i="16"/>
  <c r="E25" i="16"/>
  <c r="E24" i="16"/>
  <c r="E22" i="16"/>
  <c r="C23" i="16"/>
  <c r="E23" i="16"/>
  <c r="C18" i="16"/>
  <c r="E18" i="16"/>
  <c r="C17" i="16"/>
  <c r="E17" i="16"/>
  <c r="C16" i="16"/>
  <c r="E16" i="16"/>
  <c r="H18" i="16"/>
  <c r="I63" i="16"/>
  <c r="I53" i="16"/>
  <c r="H49" i="16"/>
  <c r="I38" i="16"/>
  <c r="I37" i="16"/>
  <c r="S36" i="15"/>
  <c r="Y36" i="15" s="1"/>
  <c r="I36" i="15"/>
  <c r="Y34" i="15"/>
  <c r="I29" i="15"/>
  <c r="I28" i="15"/>
  <c r="S26" i="15"/>
  <c r="Y26" i="15" s="1"/>
  <c r="I26" i="15"/>
  <c r="W26" i="15" s="1"/>
  <c r="S23" i="15"/>
  <c r="Y23" i="15" s="1"/>
  <c r="I23" i="15"/>
  <c r="S22" i="15"/>
  <c r="Y22" i="15" s="1"/>
  <c r="I22" i="15"/>
  <c r="H48" i="16"/>
  <c r="H45" i="16"/>
  <c r="H43" i="16"/>
  <c r="H35" i="16"/>
  <c r="H34" i="16"/>
  <c r="H59" i="11"/>
  <c r="H30" i="16" s="1"/>
  <c r="H25" i="16"/>
  <c r="H24" i="16"/>
  <c r="H23" i="16"/>
  <c r="H22" i="16"/>
  <c r="H42" i="11"/>
  <c r="H17" i="16"/>
  <c r="H16" i="16"/>
  <c r="H25" i="11"/>
  <c r="H15" i="11"/>
  <c r="B27" i="14"/>
  <c r="M27" i="14"/>
  <c r="E27" i="14"/>
  <c r="D27" i="14"/>
  <c r="C27" i="14"/>
  <c r="G100" i="11"/>
  <c r="G59" i="16" s="1"/>
  <c r="G102" i="11"/>
  <c r="G58" i="16" s="1"/>
  <c r="M16" i="14"/>
  <c r="E16" i="14"/>
  <c r="D16" i="14"/>
  <c r="C16" i="14"/>
  <c r="B16" i="14"/>
  <c r="N16" i="14"/>
  <c r="G65" i="12"/>
  <c r="M12" i="14"/>
  <c r="E12" i="14"/>
  <c r="C12" i="14"/>
  <c r="C18" i="14" s="1"/>
  <c r="B12" i="14"/>
  <c r="R35" i="15"/>
  <c r="F227" i="12"/>
  <c r="P30" i="15" s="1"/>
  <c r="F210" i="12"/>
  <c r="P24" i="15" s="1"/>
  <c r="P25" i="15" s="1"/>
  <c r="F199" i="12"/>
  <c r="H47" i="12"/>
  <c r="H30" i="15" s="1"/>
  <c r="G113" i="12"/>
  <c r="H44" i="16"/>
  <c r="F280" i="12"/>
  <c r="P32" i="15" s="1"/>
  <c r="G112" i="12"/>
  <c r="D12" i="14"/>
  <c r="E353" i="12"/>
  <c r="E359" i="12"/>
  <c r="E383" i="12"/>
  <c r="E384" i="12"/>
  <c r="E412" i="12"/>
  <c r="E413" i="12"/>
  <c r="E417" i="12"/>
  <c r="E422" i="12"/>
  <c r="E425" i="12"/>
  <c r="I292" i="12"/>
  <c r="E416" i="12" s="1"/>
  <c r="D145" i="2"/>
  <c r="F145" i="2"/>
  <c r="F199" i="2" s="1"/>
  <c r="I269" i="12"/>
  <c r="E394" i="12" s="1"/>
  <c r="B114" i="12"/>
  <c r="B117" i="12"/>
  <c r="I77" i="2"/>
  <c r="B28" i="16"/>
  <c r="B87" i="12"/>
  <c r="B76" i="11" s="1"/>
  <c r="I261" i="12"/>
  <c r="E386" i="12" s="1"/>
  <c r="I252" i="12"/>
  <c r="E377" i="12" s="1"/>
  <c r="I270" i="12"/>
  <c r="E395" i="12" s="1"/>
  <c r="F64" i="5"/>
  <c r="F40" i="5"/>
  <c r="F39" i="5"/>
  <c r="E78" i="5"/>
  <c r="E71" i="5"/>
  <c r="E39" i="5"/>
  <c r="E54" i="5" s="1"/>
  <c r="E36" i="5"/>
  <c r="C19" i="7"/>
  <c r="D19" i="7"/>
  <c r="E19" i="7"/>
  <c r="E101" i="11"/>
  <c r="E60" i="16" s="1"/>
  <c r="M36" i="6"/>
  <c r="M38" i="6" s="1"/>
  <c r="C76" i="6"/>
  <c r="D76" i="6"/>
  <c r="E76" i="6"/>
  <c r="M76" i="6"/>
  <c r="M78" i="6" s="1"/>
  <c r="M80" i="6" s="1"/>
  <c r="B76" i="6"/>
  <c r="C31" i="6"/>
  <c r="C36" i="6" s="1"/>
  <c r="C210" i="12"/>
  <c r="E70" i="6"/>
  <c r="E56" i="6"/>
  <c r="E36" i="6"/>
  <c r="E17" i="6"/>
  <c r="H257" i="12"/>
  <c r="R31" i="15" s="1"/>
  <c r="I271" i="12"/>
  <c r="E396" i="12" s="1"/>
  <c r="I305" i="12"/>
  <c r="E429" i="12" s="1"/>
  <c r="I121" i="12"/>
  <c r="N35" i="15"/>
  <c r="M35" i="15"/>
  <c r="I297" i="12"/>
  <c r="E421" i="12" s="1"/>
  <c r="I295" i="12"/>
  <c r="E419" i="12" s="1"/>
  <c r="I294" i="12"/>
  <c r="E418" i="12" s="1"/>
  <c r="I291" i="12"/>
  <c r="E415" i="12" s="1"/>
  <c r="I281" i="12"/>
  <c r="E406" i="12" s="1"/>
  <c r="I102" i="12"/>
  <c r="E280" i="12"/>
  <c r="O32" i="15" s="1"/>
  <c r="D280" i="12"/>
  <c r="N32" i="15" s="1"/>
  <c r="C280" i="12"/>
  <c r="M32" i="15" s="1"/>
  <c r="L32" i="15"/>
  <c r="I279" i="12"/>
  <c r="E404" i="12" s="1"/>
  <c r="I278" i="12"/>
  <c r="E403" i="12" s="1"/>
  <c r="I277" i="12"/>
  <c r="E402" i="12" s="1"/>
  <c r="I276" i="12"/>
  <c r="E401" i="12" s="1"/>
  <c r="I275" i="12"/>
  <c r="E400" i="12" s="1"/>
  <c r="I274" i="12"/>
  <c r="E399" i="12" s="1"/>
  <c r="C95" i="12"/>
  <c r="I273" i="12"/>
  <c r="E398" i="12" s="1"/>
  <c r="I272" i="12"/>
  <c r="E397" i="12" s="1"/>
  <c r="I268" i="12"/>
  <c r="E393" i="12" s="1"/>
  <c r="I267" i="12"/>
  <c r="E392" i="12" s="1"/>
  <c r="I266" i="12"/>
  <c r="I265" i="12"/>
  <c r="E390" i="12" s="1"/>
  <c r="I264" i="12"/>
  <c r="E389" i="12" s="1"/>
  <c r="I263" i="12"/>
  <c r="E388" i="12" s="1"/>
  <c r="I260" i="12"/>
  <c r="E385" i="12" s="1"/>
  <c r="E257" i="12"/>
  <c r="O31" i="15" s="1"/>
  <c r="C257" i="12"/>
  <c r="M31" i="15" s="1"/>
  <c r="K381" i="12"/>
  <c r="I256" i="12"/>
  <c r="E381" i="12" s="1"/>
  <c r="K380" i="12"/>
  <c r="I255" i="12"/>
  <c r="E380" i="12" s="1"/>
  <c r="I254" i="12"/>
  <c r="I253" i="12"/>
  <c r="E378" i="12" s="1"/>
  <c r="I251" i="12"/>
  <c r="E376" i="12" s="1"/>
  <c r="I250" i="12"/>
  <c r="E375" i="12" s="1"/>
  <c r="I249" i="12"/>
  <c r="E374" i="12" s="1"/>
  <c r="I248" i="12"/>
  <c r="E373" i="12" s="1"/>
  <c r="I247" i="12"/>
  <c r="E372" i="12" s="1"/>
  <c r="I246" i="12"/>
  <c r="E371" i="12" s="1"/>
  <c r="I245" i="12"/>
  <c r="I244" i="12"/>
  <c r="E369" i="12" s="1"/>
  <c r="I243" i="12"/>
  <c r="E368" i="12" s="1"/>
  <c r="I240" i="12"/>
  <c r="E365" i="12" s="1"/>
  <c r="I239" i="12"/>
  <c r="E364" i="12" s="1"/>
  <c r="I238" i="12"/>
  <c r="I237" i="12"/>
  <c r="E362" i="12" s="1"/>
  <c r="I236" i="12"/>
  <c r="E361" i="12" s="1"/>
  <c r="D257" i="12"/>
  <c r="N31" i="15" s="1"/>
  <c r="L31" i="15"/>
  <c r="E227" i="12"/>
  <c r="O30" i="15" s="1"/>
  <c r="D227" i="12"/>
  <c r="N30" i="15" s="1"/>
  <c r="C227" i="12"/>
  <c r="M30" i="15" s="1"/>
  <c r="E47" i="12"/>
  <c r="C47" i="12"/>
  <c r="C30" i="15" s="1"/>
  <c r="I226" i="12"/>
  <c r="E351" i="12" s="1"/>
  <c r="I225" i="12"/>
  <c r="E350" i="12" s="1"/>
  <c r="I224" i="12"/>
  <c r="E349" i="12" s="1"/>
  <c r="B227" i="12"/>
  <c r="I223" i="12"/>
  <c r="E348" i="12" s="1"/>
  <c r="I222" i="12"/>
  <c r="E347" i="12" s="1"/>
  <c r="I221" i="12"/>
  <c r="E346" i="12" s="1"/>
  <c r="I220" i="12"/>
  <c r="E345" i="12" s="1"/>
  <c r="I219" i="12"/>
  <c r="E344" i="12" s="1"/>
  <c r="H227" i="12"/>
  <c r="R30" i="15" s="1"/>
  <c r="I216" i="12"/>
  <c r="E341" i="12" s="1"/>
  <c r="I36" i="12"/>
  <c r="I215" i="12"/>
  <c r="E340" i="12" s="1"/>
  <c r="I35" i="12"/>
  <c r="I33" i="12"/>
  <c r="H210" i="12"/>
  <c r="R24" i="15" s="1"/>
  <c r="R25" i="15" s="1"/>
  <c r="E210" i="12"/>
  <c r="O24" i="15" s="1"/>
  <c r="O25" i="15" s="1"/>
  <c r="D210" i="12"/>
  <c r="N24" i="15" s="1"/>
  <c r="N25" i="15" s="1"/>
  <c r="E30" i="12"/>
  <c r="E24" i="15" s="1"/>
  <c r="E25" i="15" s="1"/>
  <c r="E9" i="16" s="1"/>
  <c r="H30" i="12"/>
  <c r="H24" i="15" s="1"/>
  <c r="H25" i="15" s="1"/>
  <c r="H9" i="16" s="1"/>
  <c r="E331" i="12"/>
  <c r="C26" i="12"/>
  <c r="E329" i="12"/>
  <c r="I200" i="12"/>
  <c r="E325" i="12" s="1"/>
  <c r="I20" i="12"/>
  <c r="H199" i="12"/>
  <c r="R20" i="15" s="1"/>
  <c r="R21" i="15" s="1"/>
  <c r="E199" i="12"/>
  <c r="D199" i="12"/>
  <c r="N20" i="15" s="1"/>
  <c r="N21" i="15" s="1"/>
  <c r="E19" i="12"/>
  <c r="E20" i="15" s="1"/>
  <c r="E21" i="15" s="1"/>
  <c r="E323" i="12"/>
  <c r="H19" i="12"/>
  <c r="H20" i="15" s="1"/>
  <c r="H21" i="15" s="1"/>
  <c r="E322" i="12"/>
  <c r="E321" i="12"/>
  <c r="C16" i="12"/>
  <c r="E320" i="12"/>
  <c r="E319" i="12"/>
  <c r="C199" i="12"/>
  <c r="M20" i="15" s="1"/>
  <c r="M21" i="15" s="1"/>
  <c r="E318" i="12"/>
  <c r="L35" i="15"/>
  <c r="H280" i="12"/>
  <c r="R32" i="15" s="1"/>
  <c r="E327" i="12"/>
  <c r="B199" i="12"/>
  <c r="I241" i="12"/>
  <c r="E366" i="12" s="1"/>
  <c r="E328" i="12"/>
  <c r="I235" i="12"/>
  <c r="E360" i="12" s="1"/>
  <c r="E334" i="12"/>
  <c r="K403" i="12"/>
  <c r="I109" i="11"/>
  <c r="I91" i="11"/>
  <c r="D50" i="16"/>
  <c r="C50" i="16"/>
  <c r="C84" i="11"/>
  <c r="C48" i="16" s="1"/>
  <c r="C83" i="11"/>
  <c r="C47" i="16" s="1"/>
  <c r="I68" i="11"/>
  <c r="F64" i="11"/>
  <c r="F34" i="16" s="1"/>
  <c r="F59" i="11"/>
  <c r="F30" i="16" s="1"/>
  <c r="E42" i="11"/>
  <c r="C42" i="11"/>
  <c r="E25" i="11"/>
  <c r="E15" i="11"/>
  <c r="C12" i="11"/>
  <c r="M57" i="10"/>
  <c r="F113" i="12"/>
  <c r="F106" i="12"/>
  <c r="F84" i="12"/>
  <c r="F74" i="11"/>
  <c r="F42" i="16" s="1"/>
  <c r="F95" i="12"/>
  <c r="F81" i="11"/>
  <c r="F49" i="16"/>
  <c r="F76" i="11"/>
  <c r="F93" i="12"/>
  <c r="F71" i="12"/>
  <c r="F51" i="12"/>
  <c r="F54" i="12"/>
  <c r="F50" i="11"/>
  <c r="F58" i="12"/>
  <c r="F60" i="12"/>
  <c r="F67" i="12"/>
  <c r="F62" i="12"/>
  <c r="F61" i="11"/>
  <c r="F31" i="16" s="1"/>
  <c r="F63" i="11"/>
  <c r="F65" i="11"/>
  <c r="F50" i="12"/>
  <c r="F40" i="12"/>
  <c r="F41" i="12"/>
  <c r="F42" i="12"/>
  <c r="F30" i="12"/>
  <c r="F24" i="15" s="1"/>
  <c r="F25" i="15" s="1"/>
  <c r="F9" i="16" s="1"/>
  <c r="M33" i="10"/>
  <c r="M18" i="10"/>
  <c r="M14" i="10"/>
  <c r="I214" i="12"/>
  <c r="E339" i="12" s="1"/>
  <c r="K401" i="12"/>
  <c r="K398" i="12"/>
  <c r="E44" i="10"/>
  <c r="E10" i="10"/>
  <c r="D44" i="10"/>
  <c r="D42" i="10"/>
  <c r="C44" i="10"/>
  <c r="C57" i="10" s="1"/>
  <c r="B44" i="10"/>
  <c r="B33" i="10"/>
  <c r="E81" i="10"/>
  <c r="D81" i="10"/>
  <c r="C81" i="10"/>
  <c r="B81" i="10"/>
  <c r="E71" i="10"/>
  <c r="D71" i="10"/>
  <c r="C71" i="10"/>
  <c r="B71" i="10"/>
  <c r="E57" i="10"/>
  <c r="E33" i="10"/>
  <c r="D33" i="10"/>
  <c r="C33" i="10"/>
  <c r="E18" i="10"/>
  <c r="D18" i="10"/>
  <c r="C18" i="10"/>
  <c r="B18" i="10"/>
  <c r="E14" i="10"/>
  <c r="E20" i="10" s="1"/>
  <c r="D14" i="10"/>
  <c r="C14" i="10"/>
  <c r="C20" i="10" s="1"/>
  <c r="B14" i="10"/>
  <c r="B20" i="10" s="1"/>
  <c r="E111" i="12"/>
  <c r="D21" i="7"/>
  <c r="E56" i="11"/>
  <c r="E28" i="16" s="1"/>
  <c r="C28" i="16"/>
  <c r="C66" i="11"/>
  <c r="C70" i="6"/>
  <c r="D70" i="6"/>
  <c r="B70" i="6"/>
  <c r="C82" i="11"/>
  <c r="D56" i="6"/>
  <c r="C56" i="6"/>
  <c r="B56" i="6"/>
  <c r="D36" i="6"/>
  <c r="B36" i="6"/>
  <c r="N19" i="6"/>
  <c r="D17" i="6"/>
  <c r="D38" i="6" s="1"/>
  <c r="C17" i="6"/>
  <c r="B17" i="6"/>
  <c r="B38" i="6" s="1"/>
  <c r="D39" i="5"/>
  <c r="D54" i="5" s="1"/>
  <c r="C39" i="5"/>
  <c r="C54" i="5" s="1"/>
  <c r="B39" i="5"/>
  <c r="C71" i="5"/>
  <c r="D71" i="5"/>
  <c r="B71" i="5"/>
  <c r="C78" i="5"/>
  <c r="D78" i="5"/>
  <c r="F78" i="5"/>
  <c r="B78" i="5"/>
  <c r="C36" i="5"/>
  <c r="D36" i="5"/>
  <c r="F36" i="5"/>
  <c r="N28" i="5"/>
  <c r="B129" i="2"/>
  <c r="B200" i="2" s="1"/>
  <c r="C129" i="2"/>
  <c r="P288" i="2"/>
  <c r="Q288" i="2" s="1"/>
  <c r="P286" i="2"/>
  <c r="Q286" i="2" s="1"/>
  <c r="P279" i="2"/>
  <c r="Q279" i="2" s="1"/>
  <c r="P278" i="2"/>
  <c r="Q278" i="2" s="1"/>
  <c r="B110" i="12"/>
  <c r="B99" i="11" s="1"/>
  <c r="P272" i="2"/>
  <c r="Q272" i="2" s="1"/>
  <c r="P271" i="2"/>
  <c r="Q271" i="2" s="1"/>
  <c r="P258" i="2"/>
  <c r="Q258" i="2" s="1"/>
  <c r="P254" i="2"/>
  <c r="Q254" i="2" s="1"/>
  <c r="P253" i="2"/>
  <c r="Q253" i="2" s="1"/>
  <c r="I66" i="12"/>
  <c r="E251" i="2"/>
  <c r="B96" i="12"/>
  <c r="B85" i="11" s="1"/>
  <c r="P248" i="2"/>
  <c r="Q248" i="2" s="1"/>
  <c r="P247" i="2"/>
  <c r="Q247" i="2" s="1"/>
  <c r="P246" i="2"/>
  <c r="Q246" i="2" s="1"/>
  <c r="B86" i="12"/>
  <c r="P244" i="2"/>
  <c r="Q244" i="2" s="1"/>
  <c r="P243" i="2"/>
  <c r="Q243" i="2" s="1"/>
  <c r="B81" i="12"/>
  <c r="B70" i="11" s="1"/>
  <c r="N270" i="2"/>
  <c r="P239" i="2"/>
  <c r="Q239" i="2" s="1"/>
  <c r="P235" i="2"/>
  <c r="Q235" i="2" s="1"/>
  <c r="P234" i="2"/>
  <c r="Q234" i="2" s="1"/>
  <c r="B32" i="16"/>
  <c r="P227" i="2"/>
  <c r="Q227" i="2" s="1"/>
  <c r="P225" i="2"/>
  <c r="Q225" i="2" s="1"/>
  <c r="P224" i="2"/>
  <c r="Q224" i="2" s="1"/>
  <c r="P223" i="2"/>
  <c r="Q223" i="2" s="1"/>
  <c r="P219" i="2"/>
  <c r="Q219" i="2" s="1"/>
  <c r="P215" i="2"/>
  <c r="Q215" i="2" s="1"/>
  <c r="P211" i="2"/>
  <c r="Q211" i="2" s="1"/>
  <c r="P210" i="2"/>
  <c r="Q210" i="2" s="1"/>
  <c r="P209" i="2"/>
  <c r="Q209" i="2" s="1"/>
  <c r="P203" i="2"/>
  <c r="Q203" i="2" s="1"/>
  <c r="P201" i="2"/>
  <c r="Q201" i="2" s="1"/>
  <c r="E189" i="2"/>
  <c r="P188" i="2"/>
  <c r="Q188" i="2" s="1"/>
  <c r="P187" i="2"/>
  <c r="Q187" i="2" s="1"/>
  <c r="P186" i="2"/>
  <c r="Q186" i="2" s="1"/>
  <c r="P185" i="2"/>
  <c r="Q185" i="2" s="1"/>
  <c r="P183" i="2"/>
  <c r="Q183" i="2" s="1"/>
  <c r="P182" i="2"/>
  <c r="Q182" i="2" s="1"/>
  <c r="P181" i="2"/>
  <c r="Q181" i="2" s="1"/>
  <c r="P179" i="2"/>
  <c r="Q179" i="2" s="1"/>
  <c r="P178" i="2"/>
  <c r="Q178" i="2" s="1"/>
  <c r="P177" i="2"/>
  <c r="Q177" i="2" s="1"/>
  <c r="P176" i="2"/>
  <c r="Q176" i="2" s="1"/>
  <c r="P175" i="2"/>
  <c r="Q175" i="2" s="1"/>
  <c r="E174" i="2"/>
  <c r="B25" i="12" s="1"/>
  <c r="P173" i="2"/>
  <c r="Q173" i="2" s="1"/>
  <c r="P172" i="2"/>
  <c r="Q172" i="2" s="1"/>
  <c r="P171" i="2"/>
  <c r="Q171" i="2" s="1"/>
  <c r="P169" i="2"/>
  <c r="Q169" i="2" s="1"/>
  <c r="P167" i="2"/>
  <c r="Q167" i="2" s="1"/>
  <c r="P166" i="2"/>
  <c r="Q166" i="2" s="1"/>
  <c r="P165" i="2"/>
  <c r="Q165" i="2" s="1"/>
  <c r="P164" i="2"/>
  <c r="Q164" i="2" s="1"/>
  <c r="P163" i="2"/>
  <c r="Q163" i="2" s="1"/>
  <c r="P162" i="2"/>
  <c r="Q162" i="2" s="1"/>
  <c r="P161" i="2"/>
  <c r="Q161" i="2" s="1"/>
  <c r="P160" i="2"/>
  <c r="Q160" i="2" s="1"/>
  <c r="P159" i="2"/>
  <c r="Q159" i="2" s="1"/>
  <c r="P158" i="2"/>
  <c r="Q158" i="2" s="1"/>
  <c r="P157" i="2"/>
  <c r="Q157" i="2" s="1"/>
  <c r="P155" i="2"/>
  <c r="Q155" i="2" s="1"/>
  <c r="P154" i="2"/>
  <c r="Q154" i="2" s="1"/>
  <c r="P153" i="2"/>
  <c r="Q153" i="2" s="1"/>
  <c r="P152" i="2"/>
  <c r="Q152" i="2" s="1"/>
  <c r="P151" i="2"/>
  <c r="Q151" i="2" s="1"/>
  <c r="P150" i="2"/>
  <c r="Q150" i="2" s="1"/>
  <c r="P149" i="2"/>
  <c r="Q149" i="2" s="1"/>
  <c r="P148" i="2"/>
  <c r="Q148" i="2" s="1"/>
  <c r="P147" i="2"/>
  <c r="Q147" i="2" s="1"/>
  <c r="P143" i="2"/>
  <c r="Q143" i="2" s="1"/>
  <c r="P142" i="2"/>
  <c r="Q142" i="2" s="1"/>
  <c r="P130" i="2"/>
  <c r="Q130" i="2" s="1"/>
  <c r="J200" i="2"/>
  <c r="G200" i="2"/>
  <c r="F129" i="2"/>
  <c r="E129" i="2"/>
  <c r="D129" i="2"/>
  <c r="P124" i="2"/>
  <c r="Q124" i="2" s="1"/>
  <c r="P123" i="2"/>
  <c r="Q123" i="2" s="1"/>
  <c r="P122" i="2"/>
  <c r="Q122" i="2" s="1"/>
  <c r="P121" i="2"/>
  <c r="Q121" i="2" s="1"/>
  <c r="P120" i="2"/>
  <c r="Q120" i="2" s="1"/>
  <c r="P117" i="2"/>
  <c r="Q117" i="2" s="1"/>
  <c r="P116" i="2"/>
  <c r="Q116" i="2" s="1"/>
  <c r="P115" i="2"/>
  <c r="Q115" i="2" s="1"/>
  <c r="P113" i="2"/>
  <c r="Q113" i="2" s="1"/>
  <c r="P112" i="2"/>
  <c r="Q112" i="2" s="1"/>
  <c r="P111" i="2"/>
  <c r="Q111" i="2" s="1"/>
  <c r="P108" i="2"/>
  <c r="Q108" i="2" s="1"/>
  <c r="P107" i="2"/>
  <c r="Q107" i="2" s="1"/>
  <c r="P105" i="2"/>
  <c r="Q105" i="2" s="1"/>
  <c r="P104" i="2"/>
  <c r="Q104" i="2" s="1"/>
  <c r="P103" i="2"/>
  <c r="Q103" i="2" s="1"/>
  <c r="P102" i="2"/>
  <c r="Q102" i="2" s="1"/>
  <c r="P101" i="2"/>
  <c r="Q101" i="2" s="1"/>
  <c r="N100" i="2"/>
  <c r="P100" i="2" s="1"/>
  <c r="Q100" i="2" s="1"/>
  <c r="P99" i="2"/>
  <c r="Q99" i="2" s="1"/>
  <c r="P98" i="2"/>
  <c r="Q98" i="2" s="1"/>
  <c r="P97" i="2"/>
  <c r="Q97" i="2" s="1"/>
  <c r="P89" i="2"/>
  <c r="Q89" i="2" s="1"/>
  <c r="P88" i="2"/>
  <c r="Q88" i="2" s="1"/>
  <c r="P84" i="2"/>
  <c r="Q84" i="2" s="1"/>
  <c r="P83" i="2"/>
  <c r="Q83" i="2" s="1"/>
  <c r="P82" i="2"/>
  <c r="Q82" i="2" s="1"/>
  <c r="P80" i="2"/>
  <c r="Q80" i="2" s="1"/>
  <c r="P79" i="2"/>
  <c r="Q79" i="2" s="1"/>
  <c r="P71" i="2"/>
  <c r="Q71" i="2" s="1"/>
  <c r="P67" i="2"/>
  <c r="Q67" i="2" s="1"/>
  <c r="P60" i="2"/>
  <c r="Q60" i="2" s="1"/>
  <c r="I87" i="2"/>
  <c r="P54" i="2"/>
  <c r="Q54" i="2" s="1"/>
  <c r="P53" i="2"/>
  <c r="Q53" i="2" s="1"/>
  <c r="P52" i="2"/>
  <c r="Q52" i="2" s="1"/>
  <c r="P51" i="2"/>
  <c r="Q51" i="2" s="1"/>
  <c r="M49" i="2"/>
  <c r="L49" i="2"/>
  <c r="K49" i="2"/>
  <c r="F49" i="2"/>
  <c r="P44" i="2"/>
  <c r="Q44" i="2" s="1"/>
  <c r="P37" i="2"/>
  <c r="Q37" i="2" s="1"/>
  <c r="P31" i="2"/>
  <c r="Q31" i="2" s="1"/>
  <c r="P26" i="2"/>
  <c r="Q26" i="2" s="1"/>
  <c r="P21" i="2"/>
  <c r="Q21" i="2" s="1"/>
  <c r="P13" i="2"/>
  <c r="Q13" i="2" s="1"/>
  <c r="P12" i="2"/>
  <c r="Q12" i="2" s="1"/>
  <c r="E270" i="2"/>
  <c r="E74" i="2" s="1"/>
  <c r="K200" i="2"/>
  <c r="P273" i="2"/>
  <c r="Q273" i="2" s="1"/>
  <c r="B106" i="12"/>
  <c r="B25" i="5"/>
  <c r="I59" i="2"/>
  <c r="I95" i="2"/>
  <c r="I34" i="12"/>
  <c r="B95" i="11" l="1"/>
  <c r="B57" i="16" s="1"/>
  <c r="B75" i="11"/>
  <c r="I175" i="12"/>
  <c r="B54" i="5"/>
  <c r="N54" i="5"/>
  <c r="N36" i="5"/>
  <c r="D55" i="11"/>
  <c r="D27" i="16" s="1"/>
  <c r="L30" i="15"/>
  <c r="L33" i="15" s="1"/>
  <c r="B282" i="12"/>
  <c r="B50" i="12"/>
  <c r="B45" i="11" s="1"/>
  <c r="B22" i="16" s="1"/>
  <c r="N238" i="2"/>
  <c r="N287" i="2" s="1"/>
  <c r="P174" i="2"/>
  <c r="Q174" i="2" s="1"/>
  <c r="P23" i="2"/>
  <c r="Q23" i="2" s="1"/>
  <c r="B21" i="11"/>
  <c r="P180" i="2"/>
  <c r="Q180" i="2" s="1"/>
  <c r="I28" i="12"/>
  <c r="M24" i="15"/>
  <c r="M25" i="15" s="1"/>
  <c r="M27" i="15" s="1"/>
  <c r="C212" i="12"/>
  <c r="D25" i="5"/>
  <c r="P38" i="2"/>
  <c r="Q38" i="2" s="1"/>
  <c r="P270" i="2"/>
  <c r="Q270" i="2" s="1"/>
  <c r="P8" i="2"/>
  <c r="Q8" i="2" s="1"/>
  <c r="P6" i="2"/>
  <c r="Q6" i="2" s="1"/>
  <c r="F102" i="11"/>
  <c r="F58" i="16" s="1"/>
  <c r="E67" i="11"/>
  <c r="P28" i="2"/>
  <c r="Q28" i="2" s="1"/>
  <c r="P57" i="2"/>
  <c r="Q57" i="2" s="1"/>
  <c r="P75" i="2"/>
  <c r="Q75" i="2" s="1"/>
  <c r="P17" i="2"/>
  <c r="Q17" i="2" s="1"/>
  <c r="P66" i="2"/>
  <c r="Q66" i="2" s="1"/>
  <c r="P9" i="2"/>
  <c r="Q9" i="2" s="1"/>
  <c r="P24" i="2"/>
  <c r="Q24" i="2" s="1"/>
  <c r="P64" i="2"/>
  <c r="Q64" i="2" s="1"/>
  <c r="P76" i="2"/>
  <c r="Q76" i="2" s="1"/>
  <c r="P74" i="2"/>
  <c r="Q74" i="2" s="1"/>
  <c r="C78" i="6"/>
  <c r="P15" i="2"/>
  <c r="Q15" i="2" s="1"/>
  <c r="F61" i="12"/>
  <c r="I61" i="12" s="1"/>
  <c r="P16" i="2"/>
  <c r="Q16" i="2" s="1"/>
  <c r="P29" i="2"/>
  <c r="Q29" i="2" s="1"/>
  <c r="P33" i="2"/>
  <c r="Q33" i="2" s="1"/>
  <c r="P58" i="2"/>
  <c r="Q58" i="2" s="1"/>
  <c r="D78" i="6"/>
  <c r="D80" i="6" s="1"/>
  <c r="E27" i="11"/>
  <c r="E38" i="6"/>
  <c r="D67" i="12"/>
  <c r="I32" i="16"/>
  <c r="E19" i="16"/>
  <c r="P56" i="2"/>
  <c r="Q56" i="2" s="1"/>
  <c r="F87" i="2"/>
  <c r="P93" i="2"/>
  <c r="Q93" i="2" s="1"/>
  <c r="D199" i="2"/>
  <c r="B19" i="17"/>
  <c r="B29" i="17" s="1"/>
  <c r="C19" i="17"/>
  <c r="P92" i="2"/>
  <c r="Q92" i="2" s="1"/>
  <c r="P48" i="2"/>
  <c r="Q48" i="2" s="1"/>
  <c r="P39" i="2"/>
  <c r="Q39" i="2" s="1"/>
  <c r="B78" i="6"/>
  <c r="B80" i="6" s="1"/>
  <c r="E18" i="14"/>
  <c r="E19" i="17"/>
  <c r="E29" i="17" s="1"/>
  <c r="F18" i="14"/>
  <c r="F29" i="14" s="1"/>
  <c r="E78" i="6"/>
  <c r="P65" i="2"/>
  <c r="Q65" i="2" s="1"/>
  <c r="P43" i="2"/>
  <c r="Q43" i="2" s="1"/>
  <c r="B57" i="10"/>
  <c r="B73" i="10" s="1"/>
  <c r="B83" i="10" s="1"/>
  <c r="B86" i="10" s="1"/>
  <c r="H67" i="12"/>
  <c r="D19" i="17"/>
  <c r="H101" i="11"/>
  <c r="H60" i="16" s="1"/>
  <c r="H112" i="12"/>
  <c r="F78" i="6"/>
  <c r="F20" i="10"/>
  <c r="G78" i="6"/>
  <c r="P68" i="2"/>
  <c r="Q68" i="2" s="1"/>
  <c r="D55" i="12"/>
  <c r="I55" i="12" s="1"/>
  <c r="I365" i="12" s="1"/>
  <c r="K365" i="12" s="1"/>
  <c r="B73" i="5"/>
  <c r="B80" i="5" s="1"/>
  <c r="B83" i="5" s="1"/>
  <c r="G76" i="11"/>
  <c r="G90" i="11" s="1"/>
  <c r="G87" i="12"/>
  <c r="G101" i="12" s="1"/>
  <c r="G32" i="15" s="1"/>
  <c r="C29" i="17"/>
  <c r="N17" i="17"/>
  <c r="P40" i="2"/>
  <c r="Q40" i="2" s="1"/>
  <c r="H95" i="11"/>
  <c r="H57" i="16"/>
  <c r="H106" i="12"/>
  <c r="G95" i="11"/>
  <c r="G57" i="16" s="1"/>
  <c r="N27" i="14"/>
  <c r="N70" i="6"/>
  <c r="C45" i="11"/>
  <c r="C22" i="16" s="1"/>
  <c r="N56" i="6"/>
  <c r="N76" i="6"/>
  <c r="D65" i="12"/>
  <c r="D84" i="11"/>
  <c r="D48" i="16" s="1"/>
  <c r="D60" i="12"/>
  <c r="C25" i="5"/>
  <c r="C19" i="16"/>
  <c r="G29" i="14"/>
  <c r="E29" i="14"/>
  <c r="C29" i="14"/>
  <c r="C97" i="11"/>
  <c r="I97" i="11" s="1"/>
  <c r="C65" i="12"/>
  <c r="C98" i="11"/>
  <c r="C88" i="12"/>
  <c r="C46" i="16"/>
  <c r="C71" i="12"/>
  <c r="C87" i="12"/>
  <c r="C73" i="11"/>
  <c r="C41" i="16" s="1"/>
  <c r="C14" i="12"/>
  <c r="C10" i="11" s="1"/>
  <c r="C25" i="12"/>
  <c r="C13" i="12"/>
  <c r="C9" i="11" s="1"/>
  <c r="I9" i="11" s="1"/>
  <c r="D63" i="12"/>
  <c r="I63" i="12" s="1"/>
  <c r="G373" i="12" s="1"/>
  <c r="D54" i="12"/>
  <c r="I54" i="12" s="1"/>
  <c r="I364" i="12" s="1"/>
  <c r="K364" i="12" s="1"/>
  <c r="D84" i="12"/>
  <c r="D78" i="11"/>
  <c r="F71" i="5"/>
  <c r="D65" i="11"/>
  <c r="I65" i="11" s="1"/>
  <c r="D69" i="12"/>
  <c r="D53" i="11"/>
  <c r="D25" i="16" s="1"/>
  <c r="D95" i="11"/>
  <c r="D73" i="5"/>
  <c r="D80" i="5" s="1"/>
  <c r="D83" i="5" s="1"/>
  <c r="D63" i="11"/>
  <c r="D62" i="12"/>
  <c r="I62" i="12" s="1"/>
  <c r="D56" i="12"/>
  <c r="D93" i="12"/>
  <c r="D81" i="11"/>
  <c r="D45" i="16" s="1"/>
  <c r="D111" i="12"/>
  <c r="D66" i="11"/>
  <c r="D54" i="11"/>
  <c r="D26" i="16" s="1"/>
  <c r="D88" i="12"/>
  <c r="D37" i="11"/>
  <c r="B79" i="11"/>
  <c r="I79" i="11" s="1"/>
  <c r="P256" i="2"/>
  <c r="Q256" i="2" s="1"/>
  <c r="P255" i="2"/>
  <c r="Q255" i="2" s="1"/>
  <c r="P251" i="2"/>
  <c r="Q251" i="2" s="1"/>
  <c r="P241" i="2"/>
  <c r="Q241" i="2" s="1"/>
  <c r="P226" i="2"/>
  <c r="Q226" i="2" s="1"/>
  <c r="P208" i="2"/>
  <c r="Q208" i="2" s="1"/>
  <c r="B36" i="11"/>
  <c r="B35" i="11"/>
  <c r="B17" i="16" s="1"/>
  <c r="Q27" i="15"/>
  <c r="G32" i="12"/>
  <c r="I114" i="12"/>
  <c r="C422" i="12" s="1"/>
  <c r="B103" i="11"/>
  <c r="I103" i="11" s="1"/>
  <c r="I110" i="12"/>
  <c r="G418" i="12" s="1"/>
  <c r="I117" i="12"/>
  <c r="B106" i="11"/>
  <c r="I106" i="11" s="1"/>
  <c r="C8" i="11"/>
  <c r="I98" i="12"/>
  <c r="G402" i="12" s="1"/>
  <c r="B87" i="11"/>
  <c r="I87" i="11" s="1"/>
  <c r="P132" i="2"/>
  <c r="Q132" i="2" s="1"/>
  <c r="P146" i="2"/>
  <c r="Q146" i="2" s="1"/>
  <c r="P138" i="2"/>
  <c r="Q138" i="2" s="1"/>
  <c r="P184" i="2"/>
  <c r="Q184" i="2" s="1"/>
  <c r="P139" i="2"/>
  <c r="Q139" i="2" s="1"/>
  <c r="P156" i="2"/>
  <c r="Q156" i="2" s="1"/>
  <c r="B111" i="12"/>
  <c r="B100" i="11" s="1"/>
  <c r="B59" i="16" s="1"/>
  <c r="E200" i="2"/>
  <c r="E287" i="2" s="1"/>
  <c r="P189" i="2"/>
  <c r="Q189" i="2" s="1"/>
  <c r="P259" i="2"/>
  <c r="Q259" i="2" s="1"/>
  <c r="B81" i="11"/>
  <c r="B45" i="16" s="1"/>
  <c r="C18" i="12"/>
  <c r="C14" i="11" s="1"/>
  <c r="H212" i="12"/>
  <c r="M18" i="14"/>
  <c r="M29" i="14" s="1"/>
  <c r="G67" i="12"/>
  <c r="G72" i="12" s="1"/>
  <c r="N12" i="14"/>
  <c r="N18" i="14" s="1"/>
  <c r="F57" i="12"/>
  <c r="E73" i="11"/>
  <c r="E41" i="16" s="1"/>
  <c r="E77" i="11"/>
  <c r="E89" i="12"/>
  <c r="E78" i="11"/>
  <c r="E87" i="12"/>
  <c r="C84" i="12"/>
  <c r="D68" i="12"/>
  <c r="D73" i="11"/>
  <c r="D41" i="16" s="1"/>
  <c r="D59" i="12"/>
  <c r="I59" i="12" s="1"/>
  <c r="G369" i="12" s="1"/>
  <c r="D38" i="11"/>
  <c r="C93" i="12"/>
  <c r="N17" i="6"/>
  <c r="C15" i="12"/>
  <c r="C11" i="11" s="1"/>
  <c r="M21" i="7"/>
  <c r="H73" i="11"/>
  <c r="H41" i="16" s="1"/>
  <c r="H52" i="16" s="1"/>
  <c r="D77" i="2"/>
  <c r="P245" i="2"/>
  <c r="Q245" i="2" s="1"/>
  <c r="D49" i="2"/>
  <c r="B82" i="12"/>
  <c r="B112" i="12"/>
  <c r="B101" i="11" s="1"/>
  <c r="B60" i="16" s="1"/>
  <c r="E11" i="2"/>
  <c r="P131" i="2"/>
  <c r="Q131" i="2" s="1"/>
  <c r="P18" i="2"/>
  <c r="Q18" i="2" s="1"/>
  <c r="P55" i="2"/>
  <c r="Q55" i="2" s="1"/>
  <c r="F200" i="2"/>
  <c r="F287" i="2" s="1"/>
  <c r="C200" i="2"/>
  <c r="C287" i="2" s="1"/>
  <c r="G11" i="2"/>
  <c r="J287" i="2"/>
  <c r="K77" i="2"/>
  <c r="B49" i="16"/>
  <c r="I49" i="16" s="1"/>
  <c r="D59" i="2"/>
  <c r="F95" i="2"/>
  <c r="F96" i="2" s="1"/>
  <c r="L77" i="2"/>
  <c r="B31" i="16"/>
  <c r="M77" i="2"/>
  <c r="C69" i="2"/>
  <c r="P205" i="2"/>
  <c r="Q205" i="2" s="1"/>
  <c r="D51" i="12"/>
  <c r="D46" i="11"/>
  <c r="D23" i="16" s="1"/>
  <c r="B59" i="2"/>
  <c r="K287" i="2"/>
  <c r="D95" i="2"/>
  <c r="F70" i="12"/>
  <c r="E282" i="12"/>
  <c r="D18" i="14"/>
  <c r="D29" i="14" s="1"/>
  <c r="H27" i="11"/>
  <c r="D29" i="17"/>
  <c r="G19" i="16"/>
  <c r="D51" i="11"/>
  <c r="F85" i="11"/>
  <c r="F82" i="11"/>
  <c r="F46" i="16" s="1"/>
  <c r="E21" i="7"/>
  <c r="F54" i="5"/>
  <c r="B18" i="14"/>
  <c r="B29" i="14" s="1"/>
  <c r="G38" i="6"/>
  <c r="M59" i="2"/>
  <c r="P260" i="2"/>
  <c r="Q260" i="2" s="1"/>
  <c r="B95" i="2"/>
  <c r="C21" i="7"/>
  <c r="F58" i="11"/>
  <c r="I42" i="16"/>
  <c r="F73" i="10"/>
  <c r="L20" i="15"/>
  <c r="L21" i="15" s="1"/>
  <c r="I201" i="12"/>
  <c r="E326" i="12" s="1"/>
  <c r="N27" i="15"/>
  <c r="D212" i="12"/>
  <c r="I99" i="11"/>
  <c r="B93" i="12"/>
  <c r="B82" i="11" s="1"/>
  <c r="B46" i="16" s="1"/>
  <c r="B97" i="12"/>
  <c r="P257" i="2"/>
  <c r="Q257" i="2" s="1"/>
  <c r="P249" i="2"/>
  <c r="Q249" i="2" s="1"/>
  <c r="B100" i="12"/>
  <c r="P240" i="2"/>
  <c r="Q240" i="2" s="1"/>
  <c r="I64" i="12"/>
  <c r="G374" i="12" s="1"/>
  <c r="C77" i="2"/>
  <c r="B39" i="12"/>
  <c r="P277" i="2"/>
  <c r="Q277" i="2" s="1"/>
  <c r="M69" i="2"/>
  <c r="B77" i="2"/>
  <c r="I96" i="2"/>
  <c r="J69" i="2"/>
  <c r="B38" i="11"/>
  <c r="P32" i="2"/>
  <c r="Q32" i="2" s="1"/>
  <c r="J95" i="2"/>
  <c r="L200" i="2"/>
  <c r="L287" i="2" s="1"/>
  <c r="D200" i="2"/>
  <c r="D287" i="2" s="1"/>
  <c r="M19" i="17"/>
  <c r="M29" i="17" s="1"/>
  <c r="G101" i="11"/>
  <c r="G60" i="16" s="1"/>
  <c r="G61" i="11"/>
  <c r="G31" i="16" s="1"/>
  <c r="G36" i="16" s="1"/>
  <c r="F73" i="11"/>
  <c r="F41" i="16" s="1"/>
  <c r="F65" i="12"/>
  <c r="F53" i="11"/>
  <c r="F25" i="16" s="1"/>
  <c r="F45" i="11"/>
  <c r="F22" i="16" s="1"/>
  <c r="C73" i="10"/>
  <c r="C83" i="10" s="1"/>
  <c r="C86" i="10" s="1"/>
  <c r="E73" i="10"/>
  <c r="E83" i="10" s="1"/>
  <c r="E86" i="10" s="1"/>
  <c r="D20" i="10"/>
  <c r="F35" i="11"/>
  <c r="F17" i="16" s="1"/>
  <c r="M20" i="10"/>
  <c r="E112" i="12"/>
  <c r="E120" i="12" s="1"/>
  <c r="E35" i="15" s="1"/>
  <c r="N19" i="7"/>
  <c r="E100" i="11"/>
  <c r="C35" i="16"/>
  <c r="C23" i="12"/>
  <c r="C76" i="11"/>
  <c r="C61" i="11"/>
  <c r="C31" i="16" s="1"/>
  <c r="C24" i="11"/>
  <c r="C38" i="6"/>
  <c r="D100" i="11"/>
  <c r="D59" i="16" s="1"/>
  <c r="D58" i="11"/>
  <c r="D29" i="16" s="1"/>
  <c r="D36" i="11"/>
  <c r="D82" i="11"/>
  <c r="D46" i="16" s="1"/>
  <c r="F25" i="5"/>
  <c r="I95" i="12"/>
  <c r="C399" i="12" s="1"/>
  <c r="E25" i="5"/>
  <c r="I210" i="12"/>
  <c r="R33" i="15"/>
  <c r="M33" i="15"/>
  <c r="C282" i="12"/>
  <c r="H282" i="12"/>
  <c r="N33" i="15"/>
  <c r="D282" i="12"/>
  <c r="I280" i="12"/>
  <c r="S32" i="15"/>
  <c r="Y32" i="15" s="1"/>
  <c r="G376" i="12"/>
  <c r="I227" i="12"/>
  <c r="L24" i="15"/>
  <c r="L25" i="15" s="1"/>
  <c r="B212" i="12"/>
  <c r="I213" i="12" s="1"/>
  <c r="E338" i="12" s="1"/>
  <c r="F11" i="2"/>
  <c r="I23" i="11"/>
  <c r="B287" i="2"/>
  <c r="B115" i="12"/>
  <c r="B104" i="11" s="1"/>
  <c r="I104" i="11" s="1"/>
  <c r="H19" i="16"/>
  <c r="E36" i="16"/>
  <c r="O33" i="15"/>
  <c r="R27" i="15"/>
  <c r="P230" i="2"/>
  <c r="Q230" i="2" s="1"/>
  <c r="P204" i="2"/>
  <c r="Q204" i="2" s="1"/>
  <c r="P274" i="2"/>
  <c r="Q274" i="2" s="1"/>
  <c r="P250" i="2"/>
  <c r="Q250" i="2" s="1"/>
  <c r="D87" i="2"/>
  <c r="B116" i="12"/>
  <c r="B99" i="12"/>
  <c r="B113" i="12"/>
  <c r="P220" i="2"/>
  <c r="Q220" i="2" s="1"/>
  <c r="P207" i="2"/>
  <c r="Q207" i="2" s="1"/>
  <c r="G87" i="2"/>
  <c r="I60" i="11"/>
  <c r="I22" i="11"/>
  <c r="C34" i="2"/>
  <c r="B42" i="12"/>
  <c r="B37" i="11" s="1"/>
  <c r="L87" i="2"/>
  <c r="P30" i="2"/>
  <c r="Q30" i="2" s="1"/>
  <c r="P119" i="2"/>
  <c r="Q119" i="2" s="1"/>
  <c r="G49" i="2"/>
  <c r="D57" i="16"/>
  <c r="D106" i="12"/>
  <c r="D70" i="11"/>
  <c r="D39" i="16" s="1"/>
  <c r="D81" i="12"/>
  <c r="D70" i="12"/>
  <c r="D58" i="12"/>
  <c r="D35" i="11"/>
  <c r="D17" i="16" s="1"/>
  <c r="D32" i="11"/>
  <c r="D16" i="16" s="1"/>
  <c r="M25" i="5"/>
  <c r="C73" i="5"/>
  <c r="D49" i="11"/>
  <c r="D77" i="11"/>
  <c r="D59" i="11"/>
  <c r="D30" i="16" s="1"/>
  <c r="D71" i="12"/>
  <c r="D76" i="11"/>
  <c r="D64" i="11"/>
  <c r="D34" i="16" s="1"/>
  <c r="C19" i="11"/>
  <c r="C21" i="11"/>
  <c r="B84" i="12"/>
  <c r="B73" i="11" s="1"/>
  <c r="B41" i="16" s="1"/>
  <c r="P252" i="2"/>
  <c r="Q252" i="2" s="1"/>
  <c r="P222" i="2"/>
  <c r="Q222" i="2" s="1"/>
  <c r="P217" i="2"/>
  <c r="Q217" i="2" s="1"/>
  <c r="P231" i="2"/>
  <c r="Q231" i="2" s="1"/>
  <c r="B25" i="16"/>
  <c r="P228" i="2"/>
  <c r="Q228" i="2" s="1"/>
  <c r="B30" i="16"/>
  <c r="B39" i="11"/>
  <c r="G77" i="2"/>
  <c r="P206" i="2"/>
  <c r="Q206" i="2" s="1"/>
  <c r="G287" i="2"/>
  <c r="J34" i="2"/>
  <c r="K34" i="2"/>
  <c r="C11" i="2"/>
  <c r="G59" i="2"/>
  <c r="G69" i="2"/>
  <c r="P144" i="2"/>
  <c r="Q144" i="2" s="1"/>
  <c r="C376" i="12"/>
  <c r="I376" i="12"/>
  <c r="K376" i="12" s="1"/>
  <c r="L11" i="2"/>
  <c r="K69" i="2"/>
  <c r="P109" i="2"/>
  <c r="Q109" i="2" s="1"/>
  <c r="P141" i="2"/>
  <c r="Q141" i="2" s="1"/>
  <c r="C49" i="2"/>
  <c r="J59" i="2"/>
  <c r="K59" i="2"/>
  <c r="M87" i="2"/>
  <c r="L69" i="2"/>
  <c r="L59" i="2"/>
  <c r="K11" i="2"/>
  <c r="D34" i="2"/>
  <c r="P27" i="2"/>
  <c r="Q27" i="2" s="1"/>
  <c r="P22" i="2"/>
  <c r="Q22" i="2" s="1"/>
  <c r="M95" i="2"/>
  <c r="M11" i="2"/>
  <c r="J11" i="2"/>
  <c r="F34" i="2"/>
  <c r="L34" i="2"/>
  <c r="P25" i="2"/>
  <c r="Q25" i="2" s="1"/>
  <c r="G95" i="2"/>
  <c r="I200" i="2"/>
  <c r="I287" i="2" s="1"/>
  <c r="F85" i="12"/>
  <c r="I85" i="12" s="1"/>
  <c r="G389" i="12" s="1"/>
  <c r="F55" i="11"/>
  <c r="F37" i="11"/>
  <c r="F36" i="11"/>
  <c r="F57" i="16"/>
  <c r="F45" i="16"/>
  <c r="F92" i="12"/>
  <c r="F52" i="11"/>
  <c r="I52" i="11" s="1"/>
  <c r="F37" i="12"/>
  <c r="F84" i="11"/>
  <c r="F32" i="11"/>
  <c r="F16" i="16" s="1"/>
  <c r="F96" i="12"/>
  <c r="I96" i="12" s="1"/>
  <c r="F49" i="11"/>
  <c r="F24" i="11"/>
  <c r="F25" i="11" s="1"/>
  <c r="F101" i="11"/>
  <c r="F14" i="11"/>
  <c r="F15" i="11" s="1"/>
  <c r="F66" i="11"/>
  <c r="P202" i="2"/>
  <c r="Q202" i="2" s="1"/>
  <c r="B32" i="11"/>
  <c r="B16" i="16" s="1"/>
  <c r="I50" i="11"/>
  <c r="F86" i="12"/>
  <c r="I86" i="12" s="1"/>
  <c r="F75" i="11"/>
  <c r="F43" i="16" s="1"/>
  <c r="E69" i="2"/>
  <c r="F39" i="11"/>
  <c r="F44" i="12"/>
  <c r="F52" i="12"/>
  <c r="F47" i="11"/>
  <c r="G27" i="15"/>
  <c r="G7" i="16"/>
  <c r="G11" i="16" s="1"/>
  <c r="E77" i="2"/>
  <c r="M34" i="2"/>
  <c r="F77" i="2"/>
  <c r="P106" i="2"/>
  <c r="Q106" i="2" s="1"/>
  <c r="P129" i="2"/>
  <c r="Q129" i="2" s="1"/>
  <c r="P110" i="2"/>
  <c r="Q110" i="2" s="1"/>
  <c r="B69" i="2"/>
  <c r="P62" i="2"/>
  <c r="Q62" i="2" s="1"/>
  <c r="B49" i="2"/>
  <c r="B34" i="2"/>
  <c r="B11" i="2"/>
  <c r="G34" i="2"/>
  <c r="E34" i="2"/>
  <c r="F59" i="2"/>
  <c r="E95" i="2"/>
  <c r="L95" i="2"/>
  <c r="I69" i="2"/>
  <c r="P118" i="2"/>
  <c r="Q118" i="2" s="1"/>
  <c r="P140" i="2"/>
  <c r="Q140" i="2" s="1"/>
  <c r="E87" i="2"/>
  <c r="E59" i="2"/>
  <c r="P114" i="2"/>
  <c r="Q114" i="2" s="1"/>
  <c r="I12" i="11"/>
  <c r="I16" i="12"/>
  <c r="I13" i="11"/>
  <c r="I17" i="12"/>
  <c r="P170" i="2"/>
  <c r="Q170" i="2" s="1"/>
  <c r="P242" i="2"/>
  <c r="Q242" i="2" s="1"/>
  <c r="C59" i="2"/>
  <c r="D11" i="2"/>
  <c r="E49" i="2"/>
  <c r="P212" i="2"/>
  <c r="Q212" i="2" s="1"/>
  <c r="B45" i="12"/>
  <c r="J77" i="2"/>
  <c r="P218" i="2"/>
  <c r="Q218" i="2" s="1"/>
  <c r="D57" i="10"/>
  <c r="D73" i="10" s="1"/>
  <c r="C111" i="12"/>
  <c r="C100" i="11"/>
  <c r="E67" i="12"/>
  <c r="E72" i="12" s="1"/>
  <c r="E31" i="15" s="1"/>
  <c r="E7" i="16"/>
  <c r="E11" i="16" s="1"/>
  <c r="E27" i="15"/>
  <c r="E332" i="12"/>
  <c r="E30" i="15"/>
  <c r="I74" i="11"/>
  <c r="F56" i="11"/>
  <c r="F38" i="11"/>
  <c r="F43" i="12"/>
  <c r="M73" i="10"/>
  <c r="E370" i="12"/>
  <c r="E391" i="12"/>
  <c r="P20" i="15"/>
  <c r="P21" i="15" s="1"/>
  <c r="P27" i="15" s="1"/>
  <c r="F212" i="12"/>
  <c r="F53" i="12"/>
  <c r="I53" i="12" s="1"/>
  <c r="F48" i="11"/>
  <c r="F81" i="12"/>
  <c r="F70" i="11"/>
  <c r="F88" i="12"/>
  <c r="F77" i="11"/>
  <c r="F44" i="16" s="1"/>
  <c r="E363" i="12"/>
  <c r="B109" i="12"/>
  <c r="B98" i="11" s="1"/>
  <c r="F36" i="6"/>
  <c r="F38" i="6" s="1"/>
  <c r="C18" i="11"/>
  <c r="F112" i="12"/>
  <c r="H7" i="16"/>
  <c r="H11" i="16" s="1"/>
  <c r="H27" i="15"/>
  <c r="O20" i="15"/>
  <c r="O21" i="15" s="1"/>
  <c r="O27" i="15" s="1"/>
  <c r="E212" i="12"/>
  <c r="I199" i="12"/>
  <c r="E379" i="12"/>
  <c r="O35" i="15"/>
  <c r="D80" i="11"/>
  <c r="D91" i="12"/>
  <c r="H61" i="11"/>
  <c r="H67" i="11" s="1"/>
  <c r="H65" i="12"/>
  <c r="N12" i="17"/>
  <c r="F46" i="11"/>
  <c r="F87" i="12"/>
  <c r="F95" i="11"/>
  <c r="H32" i="12"/>
  <c r="E32" i="12"/>
  <c r="C20" i="11"/>
  <c r="C24" i="12"/>
  <c r="G212" i="12"/>
  <c r="H28" i="16"/>
  <c r="M36" i="5"/>
  <c r="M73" i="5" s="1"/>
  <c r="D41" i="11"/>
  <c r="E73" i="5"/>
  <c r="B88" i="12"/>
  <c r="B77" i="11" s="1"/>
  <c r="G111" i="12"/>
  <c r="G282" i="12"/>
  <c r="Q30" i="15"/>
  <c r="Q33" i="15" s="1"/>
  <c r="F257" i="12"/>
  <c r="F282" i="12" s="1"/>
  <c r="I242" i="12"/>
  <c r="P35" i="15"/>
  <c r="I296" i="12"/>
  <c r="E420" i="12" s="1"/>
  <c r="C109" i="12"/>
  <c r="C77" i="11"/>
  <c r="P238" i="2" l="1"/>
  <c r="Q238" i="2" s="1"/>
  <c r="B120" i="12"/>
  <c r="B101" i="12"/>
  <c r="B87" i="2"/>
  <c r="B78" i="11"/>
  <c r="B44" i="16" s="1"/>
  <c r="E405" i="12"/>
  <c r="J262" i="12"/>
  <c r="J224" i="12"/>
  <c r="J218" i="12"/>
  <c r="C306" i="12"/>
  <c r="S25" i="15"/>
  <c r="Y25" i="15" s="1"/>
  <c r="B30" i="12"/>
  <c r="P199" i="2"/>
  <c r="Q199" i="2" s="1"/>
  <c r="I333" i="12"/>
  <c r="K333" i="12" s="1"/>
  <c r="G333" i="12"/>
  <c r="C333" i="12"/>
  <c r="N59" i="2"/>
  <c r="N70" i="2" s="1"/>
  <c r="C425" i="12"/>
  <c r="G425" i="12"/>
  <c r="J202" i="12"/>
  <c r="J208" i="12"/>
  <c r="E80" i="6"/>
  <c r="N49" i="2"/>
  <c r="P49" i="2" s="1"/>
  <c r="Q49" i="2" s="1"/>
  <c r="E35" i="2"/>
  <c r="E50" i="2" s="1"/>
  <c r="B25" i="11"/>
  <c r="N77" i="2"/>
  <c r="P77" i="2" s="1"/>
  <c r="Q77" i="2" s="1"/>
  <c r="N11" i="2"/>
  <c r="I82" i="12"/>
  <c r="I386" i="12" s="1"/>
  <c r="K386" i="12" s="1"/>
  <c r="B71" i="11"/>
  <c r="I71" i="11" s="1"/>
  <c r="H108" i="11"/>
  <c r="G44" i="16"/>
  <c r="G52" i="16" s="1"/>
  <c r="G54" i="16" s="1"/>
  <c r="C80" i="5"/>
  <c r="C83" i="5" s="1"/>
  <c r="F57" i="11"/>
  <c r="I57" i="11" s="1"/>
  <c r="H62" i="16"/>
  <c r="N19" i="17"/>
  <c r="N29" i="17" s="1"/>
  <c r="P7" i="2"/>
  <c r="Q7" i="2" s="1"/>
  <c r="P73" i="2"/>
  <c r="Q73" i="2" s="1"/>
  <c r="H120" i="12"/>
  <c r="H35" i="15" s="1"/>
  <c r="F83" i="10"/>
  <c r="F86" i="10" s="1"/>
  <c r="I69" i="12"/>
  <c r="I379" i="12" s="1"/>
  <c r="K379" i="12" s="1"/>
  <c r="C402" i="12"/>
  <c r="D69" i="2"/>
  <c r="P94" i="2"/>
  <c r="Q94" i="2" s="1"/>
  <c r="I90" i="12"/>
  <c r="G394" i="12" s="1"/>
  <c r="I60" i="12"/>
  <c r="C370" i="12" s="1"/>
  <c r="P91" i="2"/>
  <c r="Q91" i="2" s="1"/>
  <c r="P14" i="2"/>
  <c r="Q14" i="2" s="1"/>
  <c r="N34" i="2"/>
  <c r="P34" i="2" s="1"/>
  <c r="Q34" i="2" s="1"/>
  <c r="K87" i="2"/>
  <c r="P86" i="2"/>
  <c r="Q86" i="2" s="1"/>
  <c r="I68" i="12"/>
  <c r="C378" i="12" s="1"/>
  <c r="I40" i="12"/>
  <c r="C345" i="12" s="1"/>
  <c r="N29" i="14"/>
  <c r="E44" i="16"/>
  <c r="C108" i="11"/>
  <c r="N78" i="6"/>
  <c r="C61" i="16"/>
  <c r="I61" i="16" s="1"/>
  <c r="I46" i="12"/>
  <c r="G351" i="12" s="1"/>
  <c r="I41" i="12"/>
  <c r="G346" i="12" s="1"/>
  <c r="I14" i="12"/>
  <c r="G319" i="12" s="1"/>
  <c r="C72" i="12"/>
  <c r="C31" i="15" s="1"/>
  <c r="I57" i="12"/>
  <c r="C367" i="12" s="1"/>
  <c r="I13" i="12"/>
  <c r="G318" i="12" s="1"/>
  <c r="I54" i="11"/>
  <c r="I78" i="11"/>
  <c r="F73" i="5"/>
  <c r="F80" i="5" s="1"/>
  <c r="F83" i="5" s="1"/>
  <c r="N73" i="5"/>
  <c r="D62" i="16"/>
  <c r="D35" i="16"/>
  <c r="I89" i="12"/>
  <c r="C393" i="12" s="1"/>
  <c r="B64" i="11"/>
  <c r="B34" i="16" s="1"/>
  <c r="I34" i="16" s="1"/>
  <c r="B63" i="11"/>
  <c r="I63" i="11" s="1"/>
  <c r="B55" i="11"/>
  <c r="B27" i="16" s="1"/>
  <c r="H306" i="12"/>
  <c r="H308" i="12" s="1"/>
  <c r="Q37" i="15"/>
  <c r="G422" i="12"/>
  <c r="I108" i="12"/>
  <c r="C416" i="12" s="1"/>
  <c r="D306" i="12"/>
  <c r="D308" i="12" s="1"/>
  <c r="I37" i="11"/>
  <c r="C418" i="12"/>
  <c r="I116" i="12"/>
  <c r="G424" i="12" s="1"/>
  <c r="B105" i="11"/>
  <c r="I105" i="11" s="1"/>
  <c r="I39" i="12"/>
  <c r="I344" i="12" s="1"/>
  <c r="K344" i="12" s="1"/>
  <c r="B34" i="11"/>
  <c r="I34" i="11" s="1"/>
  <c r="I97" i="12"/>
  <c r="C401" i="12" s="1"/>
  <c r="B86" i="11"/>
  <c r="B50" i="16" s="1"/>
  <c r="I50" i="16" s="1"/>
  <c r="I99" i="12"/>
  <c r="G403" i="12" s="1"/>
  <c r="B88" i="11"/>
  <c r="I88" i="11" s="1"/>
  <c r="I100" i="12"/>
  <c r="G404" i="12" s="1"/>
  <c r="B89" i="11"/>
  <c r="I89" i="11" s="1"/>
  <c r="I45" i="12"/>
  <c r="C350" i="12" s="1"/>
  <c r="B40" i="11"/>
  <c r="I40" i="11" s="1"/>
  <c r="I113" i="12"/>
  <c r="C421" i="12" s="1"/>
  <c r="B102" i="11"/>
  <c r="I102" i="11" s="1"/>
  <c r="I94" i="12"/>
  <c r="G398" i="12" s="1"/>
  <c r="B83" i="11"/>
  <c r="I70" i="12"/>
  <c r="C380" i="12" s="1"/>
  <c r="B41" i="11"/>
  <c r="I41" i="11" s="1"/>
  <c r="I107" i="12"/>
  <c r="B96" i="11"/>
  <c r="C19" i="12"/>
  <c r="I92" i="12"/>
  <c r="I396" i="12" s="1"/>
  <c r="K396" i="12" s="1"/>
  <c r="E101" i="12"/>
  <c r="E32" i="15" s="1"/>
  <c r="E33" i="15" s="1"/>
  <c r="E37" i="15" s="1"/>
  <c r="N37" i="15"/>
  <c r="I84" i="12"/>
  <c r="C388" i="12" s="1"/>
  <c r="G31" i="15"/>
  <c r="G33" i="15" s="1"/>
  <c r="G103" i="12"/>
  <c r="M83" i="10"/>
  <c r="M86" i="10" s="1"/>
  <c r="F27" i="11"/>
  <c r="C101" i="12"/>
  <c r="C32" i="15" s="1"/>
  <c r="I15" i="12"/>
  <c r="C320" i="12" s="1"/>
  <c r="D24" i="16"/>
  <c r="D108" i="11"/>
  <c r="G364" i="12"/>
  <c r="I93" i="12"/>
  <c r="C397" i="12" s="1"/>
  <c r="C80" i="6"/>
  <c r="G80" i="6"/>
  <c r="I87" i="12"/>
  <c r="G391" i="12" s="1"/>
  <c r="H90" i="11"/>
  <c r="H92" i="11" s="1"/>
  <c r="P72" i="2"/>
  <c r="Q72" i="2" s="1"/>
  <c r="F35" i="2"/>
  <c r="F50" i="2" s="1"/>
  <c r="I82" i="11"/>
  <c r="G35" i="2"/>
  <c r="G36" i="2" s="1"/>
  <c r="B96" i="2"/>
  <c r="K95" i="2"/>
  <c r="G96" i="2"/>
  <c r="C374" i="12"/>
  <c r="D35" i="2"/>
  <c r="D36" i="2" s="1"/>
  <c r="I85" i="11"/>
  <c r="D96" i="2"/>
  <c r="E96" i="2"/>
  <c r="L96" i="2"/>
  <c r="I45" i="16"/>
  <c r="B26" i="16"/>
  <c r="I26" i="16" s="1"/>
  <c r="I76" i="11"/>
  <c r="I81" i="11"/>
  <c r="P145" i="2"/>
  <c r="Q145" i="2" s="1"/>
  <c r="E306" i="12"/>
  <c r="E308" i="12" s="1"/>
  <c r="I112" i="12"/>
  <c r="G420" i="12" s="1"/>
  <c r="I43" i="12"/>
  <c r="C348" i="12" s="1"/>
  <c r="I389" i="12"/>
  <c r="K389" i="12" s="1"/>
  <c r="G399" i="12"/>
  <c r="I19" i="11"/>
  <c r="I66" i="11"/>
  <c r="C120" i="12"/>
  <c r="C35" i="15" s="1"/>
  <c r="G67" i="11"/>
  <c r="G92" i="11" s="1"/>
  <c r="F108" i="11"/>
  <c r="I48" i="11"/>
  <c r="I374" i="12"/>
  <c r="K374" i="12" s="1"/>
  <c r="I8" i="11"/>
  <c r="C15" i="11"/>
  <c r="M37" i="15"/>
  <c r="J203" i="12"/>
  <c r="J209" i="12"/>
  <c r="S35" i="15"/>
  <c r="Y35" i="15" s="1"/>
  <c r="R37" i="15"/>
  <c r="I71" i="12"/>
  <c r="C381" i="12" s="1"/>
  <c r="I53" i="11"/>
  <c r="I42" i="12"/>
  <c r="G347" i="12" s="1"/>
  <c r="I23" i="12"/>
  <c r="C328" i="12" s="1"/>
  <c r="I106" i="12"/>
  <c r="G414" i="12" s="1"/>
  <c r="G108" i="11"/>
  <c r="G120" i="12"/>
  <c r="I73" i="11"/>
  <c r="C364" i="12"/>
  <c r="F120" i="12"/>
  <c r="F35" i="15" s="1"/>
  <c r="D83" i="10"/>
  <c r="D86" i="10" s="1"/>
  <c r="I17" i="16"/>
  <c r="N21" i="7"/>
  <c r="E59" i="16"/>
  <c r="E62" i="16" s="1"/>
  <c r="E108" i="11"/>
  <c r="C67" i="11"/>
  <c r="C24" i="16"/>
  <c r="C36" i="16" s="1"/>
  <c r="I46" i="16"/>
  <c r="D120" i="12"/>
  <c r="D35" i="15" s="1"/>
  <c r="E80" i="5"/>
  <c r="E83" i="5" s="1"/>
  <c r="I36" i="11"/>
  <c r="J207" i="12"/>
  <c r="J205" i="12"/>
  <c r="J206" i="12"/>
  <c r="J204" i="12"/>
  <c r="E335" i="12"/>
  <c r="J217" i="12"/>
  <c r="J266" i="12"/>
  <c r="J277" i="12"/>
  <c r="J270" i="12"/>
  <c r="J274" i="12"/>
  <c r="J271" i="12"/>
  <c r="J268" i="12"/>
  <c r="J272" i="12"/>
  <c r="J278" i="12"/>
  <c r="J264" i="12"/>
  <c r="J269" i="12"/>
  <c r="J263" i="12"/>
  <c r="J276" i="12"/>
  <c r="J273" i="12"/>
  <c r="J275" i="12"/>
  <c r="J260" i="12"/>
  <c r="J267" i="12"/>
  <c r="J279" i="12"/>
  <c r="J265" i="12"/>
  <c r="J261" i="12"/>
  <c r="I282" i="12"/>
  <c r="E407" i="12" s="1"/>
  <c r="J222" i="12"/>
  <c r="B306" i="12"/>
  <c r="E352" i="12"/>
  <c r="J226" i="12"/>
  <c r="J225" i="12"/>
  <c r="J219" i="12"/>
  <c r="J223" i="12"/>
  <c r="J220" i="12"/>
  <c r="J221" i="12"/>
  <c r="S24" i="15"/>
  <c r="Y24" i="15" s="1"/>
  <c r="P285" i="2"/>
  <c r="Q285" i="2" s="1"/>
  <c r="I115" i="12"/>
  <c r="G423" i="12" s="1"/>
  <c r="I41" i="16"/>
  <c r="I21" i="11"/>
  <c r="I111" i="12"/>
  <c r="C419" i="12" s="1"/>
  <c r="I25" i="16"/>
  <c r="J35" i="2"/>
  <c r="J36" i="2" s="1"/>
  <c r="I25" i="12"/>
  <c r="C330" i="12" s="1"/>
  <c r="P214" i="2"/>
  <c r="Q214" i="2" s="1"/>
  <c r="C35" i="2"/>
  <c r="C50" i="2" s="1"/>
  <c r="I26" i="12"/>
  <c r="G331" i="12" s="1"/>
  <c r="I27" i="12"/>
  <c r="I58" i="12"/>
  <c r="G368" i="12" s="1"/>
  <c r="I30" i="16"/>
  <c r="C365" i="12"/>
  <c r="I49" i="11"/>
  <c r="I35" i="11"/>
  <c r="M80" i="5"/>
  <c r="M83" i="5" s="1"/>
  <c r="D50" i="12"/>
  <c r="D72" i="12" s="1"/>
  <c r="D31" i="15" s="1"/>
  <c r="D45" i="11"/>
  <c r="G365" i="12"/>
  <c r="C373" i="12"/>
  <c r="I369" i="12"/>
  <c r="K369" i="12" s="1"/>
  <c r="D24" i="11"/>
  <c r="D25" i="11" s="1"/>
  <c r="D30" i="12"/>
  <c r="D24" i="15" s="1"/>
  <c r="D25" i="15" s="1"/>
  <c r="D9" i="16" s="1"/>
  <c r="I373" i="12"/>
  <c r="K373" i="12" s="1"/>
  <c r="C369" i="12"/>
  <c r="I10" i="11"/>
  <c r="N36" i="6"/>
  <c r="N38" i="6" s="1"/>
  <c r="C22" i="12"/>
  <c r="C30" i="12" s="1"/>
  <c r="C24" i="15" s="1"/>
  <c r="C25" i="15" s="1"/>
  <c r="B33" i="16"/>
  <c r="I33" i="16" s="1"/>
  <c r="I62" i="11"/>
  <c r="I47" i="11"/>
  <c r="I59" i="11"/>
  <c r="I52" i="12"/>
  <c r="C362" i="12" s="1"/>
  <c r="M96" i="2"/>
  <c r="L35" i="2"/>
  <c r="K35" i="2"/>
  <c r="I78" i="2"/>
  <c r="C389" i="12"/>
  <c r="I77" i="11"/>
  <c r="F27" i="16"/>
  <c r="F35" i="16"/>
  <c r="F18" i="12"/>
  <c r="F19" i="12" s="1"/>
  <c r="F20" i="15" s="1"/>
  <c r="F21" i="15" s="1"/>
  <c r="C400" i="12"/>
  <c r="G400" i="12"/>
  <c r="I400" i="12"/>
  <c r="F23" i="16"/>
  <c r="F47" i="12"/>
  <c r="F30" i="15" s="1"/>
  <c r="F60" i="16"/>
  <c r="I101" i="11"/>
  <c r="I84" i="11"/>
  <c r="F48" i="16"/>
  <c r="I48" i="16" s="1"/>
  <c r="I80" i="11"/>
  <c r="D90" i="11"/>
  <c r="D44" i="16"/>
  <c r="D52" i="16" s="1"/>
  <c r="F101" i="12"/>
  <c r="F32" i="15" s="1"/>
  <c r="I81" i="12"/>
  <c r="G371" i="12"/>
  <c r="C371" i="12"/>
  <c r="I371" i="12"/>
  <c r="K371" i="12" s="1"/>
  <c r="B23" i="16"/>
  <c r="I46" i="11"/>
  <c r="I11" i="11"/>
  <c r="B15" i="11"/>
  <c r="M35" i="2"/>
  <c r="H31" i="16"/>
  <c r="I61" i="11"/>
  <c r="I304" i="12"/>
  <c r="E324" i="12"/>
  <c r="J196" i="12"/>
  <c r="J198" i="12"/>
  <c r="J193" i="12"/>
  <c r="J195" i="12"/>
  <c r="J197" i="12"/>
  <c r="J194" i="12"/>
  <c r="J192" i="12"/>
  <c r="I109" i="12"/>
  <c r="E43" i="16"/>
  <c r="I75" i="11"/>
  <c r="F51" i="11"/>
  <c r="F24" i="16" s="1"/>
  <c r="F56" i="12"/>
  <c r="I56" i="12" s="1"/>
  <c r="I51" i="12"/>
  <c r="B72" i="12"/>
  <c r="C87" i="2"/>
  <c r="G322" i="12"/>
  <c r="C322" i="12"/>
  <c r="I12" i="12"/>
  <c r="B20" i="15"/>
  <c r="C390" i="12"/>
  <c r="I390" i="12"/>
  <c r="K390" i="12" s="1"/>
  <c r="G390" i="12"/>
  <c r="B47" i="12"/>
  <c r="I37" i="12"/>
  <c r="E367" i="12"/>
  <c r="H72" i="12"/>
  <c r="H103" i="12" s="1"/>
  <c r="I65" i="12"/>
  <c r="I98" i="11"/>
  <c r="B24" i="16"/>
  <c r="I32" i="11"/>
  <c r="I88" i="12"/>
  <c r="C44" i="16"/>
  <c r="C52" i="16" s="1"/>
  <c r="C90" i="11"/>
  <c r="G62" i="16"/>
  <c r="I57" i="16"/>
  <c r="C25" i="11"/>
  <c r="C363" i="12"/>
  <c r="I363" i="12"/>
  <c r="K363" i="12" s="1"/>
  <c r="G363" i="12"/>
  <c r="F18" i="16"/>
  <c r="F19" i="16" s="1"/>
  <c r="I38" i="11"/>
  <c r="S20" i="15"/>
  <c r="Y20" i="15" s="1"/>
  <c r="F42" i="11"/>
  <c r="I58" i="11"/>
  <c r="B29" i="16"/>
  <c r="P5" i="2"/>
  <c r="Q5" i="2" s="1"/>
  <c r="P61" i="2"/>
  <c r="Q61" i="2" s="1"/>
  <c r="B39" i="16"/>
  <c r="I70" i="11"/>
  <c r="I24" i="12"/>
  <c r="F69" i="2"/>
  <c r="P31" i="15"/>
  <c r="I257" i="12"/>
  <c r="D18" i="12"/>
  <c r="D14" i="11"/>
  <c r="N25" i="5"/>
  <c r="G306" i="12"/>
  <c r="G308" i="12" s="1"/>
  <c r="I95" i="11"/>
  <c r="I91" i="12"/>
  <c r="D101" i="12"/>
  <c r="D32" i="15" s="1"/>
  <c r="O37" i="15"/>
  <c r="F80" i="6"/>
  <c r="S30" i="15"/>
  <c r="F39" i="16"/>
  <c r="F90" i="11"/>
  <c r="F306" i="12"/>
  <c r="F308" i="12" s="1"/>
  <c r="F28" i="16"/>
  <c r="I28" i="16" s="1"/>
  <c r="I56" i="11"/>
  <c r="L27" i="15"/>
  <c r="S21" i="15"/>
  <c r="Y21" i="15" s="1"/>
  <c r="E90" i="11"/>
  <c r="E92" i="11" s="1"/>
  <c r="I100" i="11"/>
  <c r="C59" i="16"/>
  <c r="I212" i="12"/>
  <c r="I67" i="12"/>
  <c r="I372" i="12"/>
  <c r="K372" i="12" s="1"/>
  <c r="G372" i="12"/>
  <c r="C372" i="12"/>
  <c r="J87" i="2"/>
  <c r="J96" i="2" s="1"/>
  <c r="C95" i="2"/>
  <c r="I18" i="11"/>
  <c r="C321" i="12"/>
  <c r="G321" i="12"/>
  <c r="I321" i="12"/>
  <c r="K321" i="12" s="1"/>
  <c r="E78" i="2"/>
  <c r="I20" i="11"/>
  <c r="E36" i="2"/>
  <c r="B35" i="2"/>
  <c r="B103" i="12" l="1"/>
  <c r="H173" i="12"/>
  <c r="H110" i="11"/>
  <c r="H65" i="16"/>
  <c r="H113" i="11"/>
  <c r="G173" i="12"/>
  <c r="G176" i="12" s="1"/>
  <c r="G65" i="16"/>
  <c r="G113" i="11"/>
  <c r="E40" i="15"/>
  <c r="E65" i="16"/>
  <c r="E113" i="11"/>
  <c r="C33" i="15"/>
  <c r="C308" i="12"/>
  <c r="B308" i="12"/>
  <c r="M40" i="15"/>
  <c r="M41" i="15" s="1"/>
  <c r="N40" i="15"/>
  <c r="N41" i="15" s="1"/>
  <c r="L40" i="15"/>
  <c r="R40" i="15"/>
  <c r="R41" i="15" s="1"/>
  <c r="Q40" i="15"/>
  <c r="Q41" i="15" s="1"/>
  <c r="P40" i="15"/>
  <c r="O40" i="15"/>
  <c r="O41" i="15" s="1"/>
  <c r="F29" i="16"/>
  <c r="I55" i="11"/>
  <c r="B24" i="15"/>
  <c r="B25" i="15" s="1"/>
  <c r="I25" i="15" s="1"/>
  <c r="C379" i="12"/>
  <c r="G379" i="12"/>
  <c r="C386" i="12"/>
  <c r="F36" i="2"/>
  <c r="F78" i="2"/>
  <c r="G386" i="12"/>
  <c r="P63" i="2"/>
  <c r="Q63" i="2" s="1"/>
  <c r="N95" i="2"/>
  <c r="P95" i="2" s="1"/>
  <c r="Q95" i="2" s="1"/>
  <c r="I96" i="11"/>
  <c r="I108" i="11" s="1"/>
  <c r="B58" i="16"/>
  <c r="B62" i="16" s="1"/>
  <c r="B43" i="16"/>
  <c r="I43" i="16" s="1"/>
  <c r="B90" i="11"/>
  <c r="I90" i="11" s="1"/>
  <c r="K96" i="2"/>
  <c r="G370" i="12"/>
  <c r="I370" i="12"/>
  <c r="K370" i="12" s="1"/>
  <c r="G378" i="12"/>
  <c r="B67" i="11"/>
  <c r="C394" i="12"/>
  <c r="B35" i="16"/>
  <c r="I35" i="16" s="1"/>
  <c r="I64" i="11"/>
  <c r="G345" i="12"/>
  <c r="I345" i="12"/>
  <c r="K345" i="12" s="1"/>
  <c r="C346" i="12"/>
  <c r="N80" i="6"/>
  <c r="I378" i="12"/>
  <c r="K378" i="12" s="1"/>
  <c r="I319" i="12"/>
  <c r="K319" i="12" s="1"/>
  <c r="C319" i="12"/>
  <c r="I346" i="12"/>
  <c r="K346" i="12" s="1"/>
  <c r="I367" i="12"/>
  <c r="K367" i="12" s="1"/>
  <c r="G367" i="12"/>
  <c r="G110" i="11"/>
  <c r="I318" i="12"/>
  <c r="K318" i="12" s="1"/>
  <c r="C318" i="12"/>
  <c r="G393" i="12"/>
  <c r="I27" i="16"/>
  <c r="G416" i="12"/>
  <c r="I351" i="12"/>
  <c r="K351" i="12" s="1"/>
  <c r="I86" i="11"/>
  <c r="G421" i="12"/>
  <c r="G401" i="12"/>
  <c r="G380" i="12"/>
  <c r="C398" i="12"/>
  <c r="E103" i="12"/>
  <c r="C404" i="12"/>
  <c r="K350" i="12"/>
  <c r="B18" i="16"/>
  <c r="B19" i="16" s="1"/>
  <c r="C403" i="12"/>
  <c r="G350" i="12"/>
  <c r="B42" i="11"/>
  <c r="C344" i="12"/>
  <c r="B108" i="11"/>
  <c r="C351" i="12"/>
  <c r="G344" i="12"/>
  <c r="C396" i="12"/>
  <c r="G415" i="12"/>
  <c r="C415" i="12"/>
  <c r="B47" i="16"/>
  <c r="I47" i="16" s="1"/>
  <c r="I83" i="11"/>
  <c r="B51" i="16"/>
  <c r="I51" i="16" s="1"/>
  <c r="G396" i="12"/>
  <c r="G388" i="12"/>
  <c r="I388" i="12"/>
  <c r="K388" i="12" s="1"/>
  <c r="C92" i="11"/>
  <c r="G122" i="12"/>
  <c r="G124" i="12" s="1"/>
  <c r="I397" i="12"/>
  <c r="K397" i="12" s="1"/>
  <c r="C391" i="12"/>
  <c r="E110" i="11"/>
  <c r="C103" i="12"/>
  <c r="G320" i="12"/>
  <c r="I320" i="12"/>
  <c r="K320" i="12" s="1"/>
  <c r="G397" i="12"/>
  <c r="C20" i="15"/>
  <c r="C21" i="15" s="1"/>
  <c r="C7" i="16" s="1"/>
  <c r="I21" i="12"/>
  <c r="I391" i="12"/>
  <c r="K391" i="12" s="1"/>
  <c r="C27" i="11"/>
  <c r="E52" i="16"/>
  <c r="E54" i="16" s="1"/>
  <c r="E64" i="16" s="1"/>
  <c r="G50" i="2"/>
  <c r="D50" i="2"/>
  <c r="G78" i="2"/>
  <c r="G289" i="2" s="1"/>
  <c r="C420" i="12"/>
  <c r="G381" i="12"/>
  <c r="J78" i="2"/>
  <c r="J82" i="2" s="1"/>
  <c r="D78" i="2"/>
  <c r="D289" i="2" s="1"/>
  <c r="I348" i="12"/>
  <c r="K348" i="12" s="1"/>
  <c r="C78" i="2"/>
  <c r="C82" i="2" s="1"/>
  <c r="G348" i="12"/>
  <c r="C414" i="12"/>
  <c r="J50" i="2"/>
  <c r="J210" i="12"/>
  <c r="C347" i="12"/>
  <c r="I347" i="12"/>
  <c r="K347" i="12" s="1"/>
  <c r="B113" i="11"/>
  <c r="G328" i="12"/>
  <c r="I328" i="12"/>
  <c r="K328" i="12" s="1"/>
  <c r="G64" i="16"/>
  <c r="G35" i="15"/>
  <c r="G37" i="15" s="1"/>
  <c r="G40" i="15" s="1"/>
  <c r="G419" i="12"/>
  <c r="I362" i="12"/>
  <c r="K362" i="12" s="1"/>
  <c r="G362" i="12"/>
  <c r="N86" i="10"/>
  <c r="C54" i="16"/>
  <c r="I24" i="16"/>
  <c r="I330" i="12"/>
  <c r="K330" i="12" s="1"/>
  <c r="I120" i="12"/>
  <c r="J120" i="12" s="1"/>
  <c r="J280" i="12"/>
  <c r="J282" i="12"/>
  <c r="J227" i="12"/>
  <c r="F52" i="16"/>
  <c r="G330" i="12"/>
  <c r="C32" i="12"/>
  <c r="I29" i="12"/>
  <c r="G334" i="12" s="1"/>
  <c r="I22" i="12"/>
  <c r="I327" i="12" s="1"/>
  <c r="K327" i="12" s="1"/>
  <c r="I50" i="12"/>
  <c r="C360" i="12" s="1"/>
  <c r="C36" i="2"/>
  <c r="I331" i="12"/>
  <c r="K331" i="12" s="1"/>
  <c r="C331" i="12"/>
  <c r="G332" i="12"/>
  <c r="C332" i="12"/>
  <c r="C368" i="12"/>
  <c r="I368" i="12"/>
  <c r="K368" i="12" s="1"/>
  <c r="N80" i="5"/>
  <c r="I24" i="11"/>
  <c r="D22" i="16"/>
  <c r="D67" i="11"/>
  <c r="I45" i="11"/>
  <c r="I25" i="11"/>
  <c r="I30" i="12"/>
  <c r="P200" i="2"/>
  <c r="Q200" i="2" s="1"/>
  <c r="I82" i="2"/>
  <c r="I289" i="2"/>
  <c r="K78" i="2"/>
  <c r="K50" i="2"/>
  <c r="K36" i="2"/>
  <c r="L78" i="2"/>
  <c r="L289" i="2" s="1"/>
  <c r="L36" i="2"/>
  <c r="L50" i="2"/>
  <c r="I36" i="2"/>
  <c r="I50" i="2"/>
  <c r="F72" i="12"/>
  <c r="F31" i="15" s="1"/>
  <c r="F33" i="15" s="1"/>
  <c r="F32" i="12"/>
  <c r="I51" i="11"/>
  <c r="F36" i="16"/>
  <c r="I29" i="16"/>
  <c r="I60" i="16"/>
  <c r="F62" i="16"/>
  <c r="E289" i="2"/>
  <c r="E82" i="2"/>
  <c r="L37" i="15"/>
  <c r="S27" i="15"/>
  <c r="Y27" i="15" s="1"/>
  <c r="C395" i="12"/>
  <c r="G395" i="12"/>
  <c r="C9" i="16"/>
  <c r="B30" i="15"/>
  <c r="G317" i="12"/>
  <c r="C317" i="12"/>
  <c r="I317" i="12"/>
  <c r="K317" i="12" s="1"/>
  <c r="E337" i="12"/>
  <c r="I14" i="11"/>
  <c r="D15" i="11"/>
  <c r="D27" i="11" s="1"/>
  <c r="J252" i="12"/>
  <c r="J248" i="12"/>
  <c r="J246" i="12"/>
  <c r="J249" i="12"/>
  <c r="J241" i="12"/>
  <c r="J250" i="12"/>
  <c r="J253" i="12"/>
  <c r="J255" i="12"/>
  <c r="J243" i="12"/>
  <c r="J256" i="12"/>
  <c r="J251" i="12"/>
  <c r="J236" i="12"/>
  <c r="J235" i="12"/>
  <c r="J240" i="12"/>
  <c r="J237" i="12"/>
  <c r="J239" i="12"/>
  <c r="E382" i="12"/>
  <c r="J244" i="12"/>
  <c r="J247" i="12"/>
  <c r="J254" i="12"/>
  <c r="J238" i="12"/>
  <c r="J245" i="12"/>
  <c r="I329" i="12"/>
  <c r="K329" i="12" s="1"/>
  <c r="C329" i="12"/>
  <c r="G329" i="12"/>
  <c r="F27" i="15"/>
  <c r="F7" i="16"/>
  <c r="F11" i="16" s="1"/>
  <c r="J242" i="12"/>
  <c r="C96" i="2"/>
  <c r="B35" i="15"/>
  <c r="J199" i="12"/>
  <c r="E428" i="12"/>
  <c r="J304" i="12"/>
  <c r="M36" i="2"/>
  <c r="M78" i="2"/>
  <c r="M50" i="2"/>
  <c r="I23" i="16"/>
  <c r="I44" i="16"/>
  <c r="D47" i="12"/>
  <c r="I47" i="12" s="1"/>
  <c r="J38" i="12" s="1"/>
  <c r="I44" i="12"/>
  <c r="I39" i="16"/>
  <c r="F82" i="2"/>
  <c r="F289" i="2"/>
  <c r="C62" i="16"/>
  <c r="I59" i="16"/>
  <c r="D19" i="12"/>
  <c r="I19" i="12" s="1"/>
  <c r="I18" i="12"/>
  <c r="S31" i="15"/>
  <c r="Y31" i="15" s="1"/>
  <c r="P33" i="15"/>
  <c r="P37" i="15" s="1"/>
  <c r="P41" i="15" s="1"/>
  <c r="I39" i="11"/>
  <c r="D42" i="11"/>
  <c r="D18" i="16"/>
  <c r="D19" i="16" s="1"/>
  <c r="P69" i="2"/>
  <c r="Q69" i="2" s="1"/>
  <c r="B32" i="15"/>
  <c r="I101" i="12"/>
  <c r="B31" i="15"/>
  <c r="C417" i="12"/>
  <c r="G417" i="12"/>
  <c r="P59" i="2"/>
  <c r="Q59" i="2" s="1"/>
  <c r="B27" i="11"/>
  <c r="G377" i="12"/>
  <c r="C377" i="12"/>
  <c r="I377" i="12"/>
  <c r="K377" i="12" s="1"/>
  <c r="P11" i="2"/>
  <c r="Q11" i="2" s="1"/>
  <c r="N35" i="2"/>
  <c r="H31" i="15"/>
  <c r="H33" i="15" s="1"/>
  <c r="H37" i="15" s="1"/>
  <c r="H40" i="15" s="1"/>
  <c r="H122" i="12"/>
  <c r="H124" i="12" s="1"/>
  <c r="N87" i="2"/>
  <c r="P85" i="2"/>
  <c r="Q85" i="2" s="1"/>
  <c r="I366" i="12"/>
  <c r="K366" i="12" s="1"/>
  <c r="G366" i="12"/>
  <c r="C366" i="12"/>
  <c r="B50" i="2"/>
  <c r="B36" i="2"/>
  <c r="B78" i="2"/>
  <c r="P90" i="2"/>
  <c r="Q90" i="2" s="1"/>
  <c r="Y30" i="15"/>
  <c r="I306" i="12"/>
  <c r="C392" i="12"/>
  <c r="I392" i="12"/>
  <c r="K392" i="12" s="1"/>
  <c r="G392" i="12"/>
  <c r="I16" i="16"/>
  <c r="C375" i="12"/>
  <c r="G375" i="12"/>
  <c r="I375" i="12"/>
  <c r="K375" i="12" s="1"/>
  <c r="I342" i="12"/>
  <c r="K342" i="12" s="1"/>
  <c r="C342" i="12"/>
  <c r="G342" i="12"/>
  <c r="B32" i="12"/>
  <c r="I361" i="12"/>
  <c r="K361" i="12" s="1"/>
  <c r="G361" i="12"/>
  <c r="C361" i="12"/>
  <c r="F67" i="11"/>
  <c r="F92" i="11" s="1"/>
  <c r="F110" i="11" s="1"/>
  <c r="F114" i="11" s="1"/>
  <c r="H36" i="16"/>
  <c r="H54" i="16" s="1"/>
  <c r="H64" i="16" s="1"/>
  <c r="I31" i="16"/>
  <c r="G385" i="12"/>
  <c r="C385" i="12"/>
  <c r="I385" i="12"/>
  <c r="K385" i="12" s="1"/>
  <c r="N96" i="2" l="1"/>
  <c r="P96" i="2" s="1"/>
  <c r="Q96" i="2" s="1"/>
  <c r="H176" i="12"/>
  <c r="H174" i="12"/>
  <c r="G114" i="11"/>
  <c r="H114" i="11"/>
  <c r="C173" i="12"/>
  <c r="C65" i="16"/>
  <c r="C113" i="11"/>
  <c r="E122" i="12"/>
  <c r="E124" i="12" s="1"/>
  <c r="E173" i="12"/>
  <c r="J91" i="12"/>
  <c r="J83" i="12"/>
  <c r="E114" i="11"/>
  <c r="L41" i="15"/>
  <c r="S40" i="15"/>
  <c r="I308" i="12"/>
  <c r="J26" i="12"/>
  <c r="J28" i="12"/>
  <c r="B36" i="16"/>
  <c r="N83" i="5"/>
  <c r="D65" i="16"/>
  <c r="B92" i="11"/>
  <c r="B110" i="11" s="1"/>
  <c r="B114" i="11" s="1"/>
  <c r="P287" i="2"/>
  <c r="Q287" i="2" s="1"/>
  <c r="B65" i="16"/>
  <c r="C110" i="11"/>
  <c r="I58" i="16"/>
  <c r="B52" i="16"/>
  <c r="C122" i="12"/>
  <c r="C124" i="12" s="1"/>
  <c r="G82" i="2"/>
  <c r="C289" i="2"/>
  <c r="J289" i="2"/>
  <c r="C27" i="15"/>
  <c r="C37" i="15" s="1"/>
  <c r="C11" i="16"/>
  <c r="C64" i="16" s="1"/>
  <c r="D82" i="2"/>
  <c r="I35" i="15"/>
  <c r="W35" i="15" s="1"/>
  <c r="F54" i="16"/>
  <c r="F64" i="16" s="1"/>
  <c r="G360" i="12"/>
  <c r="I360" i="12"/>
  <c r="K360" i="12" s="1"/>
  <c r="F103" i="12"/>
  <c r="F122" i="12" s="1"/>
  <c r="J23" i="12"/>
  <c r="I334" i="12"/>
  <c r="K334" i="12" s="1"/>
  <c r="B122" i="12"/>
  <c r="I15" i="11"/>
  <c r="B9" i="16"/>
  <c r="I9" i="16" s="1"/>
  <c r="G327" i="12"/>
  <c r="G335" i="12" s="1"/>
  <c r="C327" i="12"/>
  <c r="C334" i="12"/>
  <c r="I22" i="16"/>
  <c r="D36" i="16"/>
  <c r="D54" i="16" s="1"/>
  <c r="D92" i="11"/>
  <c r="I24" i="15"/>
  <c r="AC24" i="15" s="1"/>
  <c r="AE24" i="15" s="1"/>
  <c r="J25" i="12"/>
  <c r="J24" i="12"/>
  <c r="C335" i="12"/>
  <c r="J29" i="12"/>
  <c r="J27" i="12"/>
  <c r="J22" i="12"/>
  <c r="I335" i="12"/>
  <c r="K335" i="12" s="1"/>
  <c r="K289" i="2"/>
  <c r="K82" i="2"/>
  <c r="P70" i="2"/>
  <c r="Q70" i="2" s="1"/>
  <c r="I72" i="12"/>
  <c r="J67" i="12" s="1"/>
  <c r="J88" i="12"/>
  <c r="I31" i="15"/>
  <c r="AA31" i="15" s="1"/>
  <c r="J81" i="12"/>
  <c r="I67" i="11"/>
  <c r="J13" i="12"/>
  <c r="I324" i="12"/>
  <c r="K324" i="12" s="1"/>
  <c r="G324" i="12"/>
  <c r="C324" i="12"/>
  <c r="J14" i="12"/>
  <c r="J15" i="12"/>
  <c r="J16" i="12"/>
  <c r="J17" i="12"/>
  <c r="I323" i="12"/>
  <c r="K323" i="12" s="1"/>
  <c r="J18" i="12"/>
  <c r="G323" i="12"/>
  <c r="C323" i="12"/>
  <c r="I349" i="12"/>
  <c r="K349" i="12" s="1"/>
  <c r="J44" i="12"/>
  <c r="C349" i="12"/>
  <c r="G349" i="12"/>
  <c r="C428" i="12"/>
  <c r="G428" i="12"/>
  <c r="B33" i="15"/>
  <c r="S37" i="15"/>
  <c r="P35" i="2"/>
  <c r="Q35" i="2" s="1"/>
  <c r="N36" i="2"/>
  <c r="P36" i="2" s="1"/>
  <c r="Q36" i="2" s="1"/>
  <c r="N50" i="2"/>
  <c r="P50" i="2" s="1"/>
  <c r="Q50" i="2" s="1"/>
  <c r="M289" i="2"/>
  <c r="G352" i="12"/>
  <c r="J41" i="12"/>
  <c r="C352" i="12"/>
  <c r="I352" i="12"/>
  <c r="K352" i="12" s="1"/>
  <c r="J40" i="12"/>
  <c r="J42" i="12"/>
  <c r="J46" i="12"/>
  <c r="J39" i="12"/>
  <c r="J43" i="12"/>
  <c r="J45" i="12"/>
  <c r="I27" i="11"/>
  <c r="D20" i="15"/>
  <c r="D21" i="15" s="1"/>
  <c r="D32" i="12"/>
  <c r="D30" i="15"/>
  <c r="D33" i="15" s="1"/>
  <c r="D103" i="12"/>
  <c r="I62" i="16"/>
  <c r="F37" i="15"/>
  <c r="B82" i="2"/>
  <c r="B289" i="2"/>
  <c r="P87" i="2"/>
  <c r="Q87" i="2" s="1"/>
  <c r="W25" i="15"/>
  <c r="AC25" i="15"/>
  <c r="AE25" i="15" s="1"/>
  <c r="J257" i="12"/>
  <c r="J37" i="12"/>
  <c r="I19" i="16"/>
  <c r="B21" i="15"/>
  <c r="E430" i="12"/>
  <c r="S33" i="15"/>
  <c r="Y33" i="15" s="1"/>
  <c r="I18" i="16"/>
  <c r="J90" i="12"/>
  <c r="J82" i="12"/>
  <c r="J96" i="12"/>
  <c r="J89" i="12"/>
  <c r="I405" i="12"/>
  <c r="K405" i="12" s="1"/>
  <c r="I32" i="15"/>
  <c r="C405" i="12"/>
  <c r="J94" i="12"/>
  <c r="J99" i="12"/>
  <c r="J84" i="12"/>
  <c r="J92" i="12"/>
  <c r="G405" i="12"/>
  <c r="J93" i="12"/>
  <c r="J85" i="12"/>
  <c r="J100" i="12"/>
  <c r="J97" i="12"/>
  <c r="J98" i="12"/>
  <c r="J95" i="12"/>
  <c r="J86" i="12"/>
  <c r="J87" i="12"/>
  <c r="I42" i="11"/>
  <c r="J12" i="12"/>
  <c r="E176" i="12" l="1"/>
  <c r="E174" i="12"/>
  <c r="C40" i="15"/>
  <c r="C176" i="12"/>
  <c r="C114" i="11"/>
  <c r="B176" i="12"/>
  <c r="F173" i="12"/>
  <c r="I32" i="12"/>
  <c r="I337" i="12" s="1"/>
  <c r="K337" i="12" s="1"/>
  <c r="D173" i="12"/>
  <c r="D174" i="12" s="1"/>
  <c r="F124" i="12"/>
  <c r="I113" i="11"/>
  <c r="S41" i="15"/>
  <c r="B124" i="12"/>
  <c r="B54" i="16"/>
  <c r="I65" i="16"/>
  <c r="I92" i="11"/>
  <c r="I52" i="16"/>
  <c r="AA35" i="15"/>
  <c r="AC35" i="15"/>
  <c r="AE35" i="15" s="1"/>
  <c r="I103" i="12"/>
  <c r="G407" i="12" s="1"/>
  <c r="W24" i="15"/>
  <c r="D110" i="11"/>
  <c r="D114" i="11" s="1"/>
  <c r="J56" i="12"/>
  <c r="I36" i="16"/>
  <c r="I20" i="15"/>
  <c r="AC20" i="15" s="1"/>
  <c r="AE20" i="15" s="1"/>
  <c r="AA24" i="15"/>
  <c r="AA25" i="15" s="1"/>
  <c r="J30" i="12"/>
  <c r="AC31" i="15"/>
  <c r="AE31" i="15" s="1"/>
  <c r="J61" i="12"/>
  <c r="J58" i="12"/>
  <c r="J54" i="12"/>
  <c r="W31" i="15"/>
  <c r="N78" i="2"/>
  <c r="J59" i="12"/>
  <c r="J55" i="12"/>
  <c r="J52" i="12"/>
  <c r="J71" i="12"/>
  <c r="J70" i="12"/>
  <c r="J66" i="12"/>
  <c r="J63" i="12"/>
  <c r="J68" i="12"/>
  <c r="J53" i="12"/>
  <c r="J50" i="12"/>
  <c r="I382" i="12"/>
  <c r="K382" i="12" s="1"/>
  <c r="J60" i="12"/>
  <c r="J64" i="12"/>
  <c r="J65" i="12"/>
  <c r="J62" i="12"/>
  <c r="C382" i="12"/>
  <c r="G382" i="12"/>
  <c r="J69" i="12"/>
  <c r="J57" i="12"/>
  <c r="J51" i="12"/>
  <c r="J19" i="12"/>
  <c r="J101" i="12"/>
  <c r="I21" i="15"/>
  <c r="B7" i="16"/>
  <c r="B27" i="15"/>
  <c r="J47" i="12"/>
  <c r="D122" i="12"/>
  <c r="D124" i="12" s="1"/>
  <c r="Y37" i="15"/>
  <c r="Y41" i="15" s="1"/>
  <c r="I30" i="15"/>
  <c r="D7" i="16"/>
  <c r="D11" i="16" s="1"/>
  <c r="D64" i="16" s="1"/>
  <c r="D27" i="15"/>
  <c r="D37" i="15" s="1"/>
  <c r="W32" i="15"/>
  <c r="AC32" i="15"/>
  <c r="AE32" i="15" s="1"/>
  <c r="AA32" i="15"/>
  <c r="F176" i="12" l="1"/>
  <c r="F174" i="12"/>
  <c r="D40" i="15"/>
  <c r="F40" i="15"/>
  <c r="D176" i="12"/>
  <c r="I173" i="12"/>
  <c r="I176" i="12" s="1"/>
  <c r="G337" i="12"/>
  <c r="C337" i="12"/>
  <c r="I54" i="16"/>
  <c r="J103" i="12"/>
  <c r="I407" i="12"/>
  <c r="C407" i="12"/>
  <c r="I110" i="11"/>
  <c r="I114" i="11" s="1"/>
  <c r="W20" i="15"/>
  <c r="AA20" i="15"/>
  <c r="I122" i="12"/>
  <c r="I124" i="12" s="1"/>
  <c r="P81" i="2"/>
  <c r="Q81" i="2" s="1"/>
  <c r="N289" i="2"/>
  <c r="P289" i="2" s="1"/>
  <c r="Q289" i="2" s="1"/>
  <c r="J72" i="12"/>
  <c r="P78" i="2"/>
  <c r="Q78" i="2" s="1"/>
  <c r="B37" i="15"/>
  <c r="I27" i="15"/>
  <c r="I7" i="16"/>
  <c r="B11" i="16"/>
  <c r="B64" i="16" s="1"/>
  <c r="AA30" i="15"/>
  <c r="W30" i="15"/>
  <c r="AC30" i="15"/>
  <c r="AE30" i="15" s="1"/>
  <c r="I33" i="15"/>
  <c r="AC21" i="15"/>
  <c r="AE21" i="15" s="1"/>
  <c r="AA21" i="15"/>
  <c r="W21" i="15"/>
  <c r="B40" i="15" l="1"/>
  <c r="I40" i="15" s="1"/>
  <c r="C430" i="12"/>
  <c r="G430" i="12"/>
  <c r="W33" i="15"/>
  <c r="AC33" i="15"/>
  <c r="AE33" i="15" s="1"/>
  <c r="AA33" i="15"/>
  <c r="I11" i="16"/>
  <c r="AA27" i="15"/>
  <c r="AC27" i="15"/>
  <c r="AE27" i="15" s="1"/>
  <c r="I37" i="15"/>
  <c r="W27" i="15"/>
  <c r="W37" i="15" l="1"/>
  <c r="W41" i="15" s="1"/>
  <c r="AC37" i="15"/>
  <c r="AE37" i="15" s="1"/>
  <c r="AA37" i="15"/>
  <c r="AA41" i="15" s="1"/>
  <c r="I64" i="16"/>
  <c r="B46" i="18" l="1"/>
  <c r="L46" i="18" s="1"/>
  <c r="B45" i="18"/>
  <c r="L45" i="18" s="1"/>
  <c r="B44" i="18"/>
  <c r="L44" i="18" s="1"/>
  <c r="B43" i="18"/>
  <c r="L43" i="18" s="1"/>
  <c r="B42" i="18"/>
  <c r="L42" i="18" s="1"/>
  <c r="B41" i="18"/>
  <c r="AA45" i="18" l="1"/>
  <c r="AE45" i="18"/>
  <c r="AG45" i="18"/>
  <c r="AI45" i="18" s="1"/>
  <c r="AA42" i="18"/>
  <c r="AE42" i="18"/>
  <c r="AG42" i="18"/>
  <c r="AI42" i="18" s="1"/>
  <c r="AG43" i="18"/>
  <c r="AI43" i="18" s="1"/>
  <c r="AE43" i="18"/>
  <c r="AA43" i="18"/>
  <c r="AE46" i="18"/>
  <c r="AG46" i="18"/>
  <c r="AI46" i="18" s="1"/>
  <c r="AA46" i="18"/>
  <c r="L41" i="18"/>
  <c r="AA44" i="18"/>
  <c r="AE44" i="18"/>
  <c r="AG44" i="18"/>
  <c r="AI44" i="18" s="1"/>
  <c r="B47" i="18"/>
  <c r="L47" i="18" s="1"/>
  <c r="B49" i="18" l="1"/>
  <c r="B98" i="18" s="1"/>
  <c r="AA47" i="18"/>
  <c r="AG47" i="18"/>
  <c r="AI47" i="18" s="1"/>
  <c r="AE47" i="18"/>
  <c r="AA41" i="18"/>
  <c r="AE41" i="18"/>
  <c r="AG41" i="18"/>
  <c r="AI41" i="18" s="1"/>
  <c r="L49" i="18" l="1"/>
  <c r="M40" i="18" s="1"/>
  <c r="AE49" i="18"/>
  <c r="M42" i="18"/>
  <c r="L98" i="18"/>
  <c r="B116" i="18"/>
  <c r="M45" i="18" l="1"/>
  <c r="AA49" i="18"/>
  <c r="M46" i="18"/>
  <c r="M44" i="18"/>
  <c r="M48" i="18"/>
  <c r="M43" i="18"/>
  <c r="AG49" i="18"/>
  <c r="AI49" i="18" s="1"/>
  <c r="M41" i="18"/>
  <c r="M49" i="18" s="1"/>
  <c r="M47" i="18"/>
  <c r="B120" i="18"/>
  <c r="B141" i="18"/>
  <c r="B145" i="18" s="1"/>
  <c r="L116" i="18"/>
  <c r="AG98" i="18"/>
  <c r="M98" i="18"/>
  <c r="AA98" i="18"/>
  <c r="AE98" i="18"/>
  <c r="L121" i="18" l="1"/>
  <c r="AE116" i="18"/>
  <c r="L120" i="18"/>
  <c r="AA116" i="18"/>
  <c r="L141" i="18"/>
  <c r="L145" i="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Tessa Neil</author>
  </authors>
  <commentList>
    <comment ref="H222" authorId="0" shapeId="0" xr:uid="{D5F53011-3585-43A2-AF65-58A04AD0782B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Landscape Creations Spring Cleanup 0n 4/18 and 5/22</t>
        </r>
      </text>
    </comment>
    <comment ref="H223" authorId="0" shapeId="0" xr:uid="{C0C6FE04-AE45-4301-876E-D2E471420DC6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$3.6k Bevis Electric and AC work at 350, $1k FM Generator for Panel for Generator, $4.3k Dewhurst lumber</t>
        </r>
      </text>
    </comment>
    <comment ref="H249" authorId="0" shapeId="0" xr:uid="{4C625C68-D33D-4A21-931C-C537E7528B55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$6k CME Group, $4k for Gala accrual</t>
        </r>
      </text>
    </comment>
  </commentList>
</comments>
</file>

<file path=xl/sharedStrings.xml><?xml version="1.0" encoding="utf-8"?>
<sst xmlns="http://schemas.openxmlformats.org/spreadsheetml/2006/main" count="1625" uniqueCount="564">
  <si>
    <t>Comparison of Year-End Profit and Loss Statements to Hedge Reports 2018</t>
  </si>
  <si>
    <t>Year to Date 2018</t>
  </si>
  <si>
    <t xml:space="preserve">Average </t>
  </si>
  <si>
    <t>Dec Variance</t>
  </si>
  <si>
    <t>Revenue:</t>
  </si>
  <si>
    <t>Jan - Nov</t>
  </si>
  <si>
    <t>from 11 mnth avg</t>
  </si>
  <si>
    <t xml:space="preserve">  Gold (revenue - returns)</t>
  </si>
  <si>
    <t xml:space="preserve">  Silver (revenue - returns)</t>
  </si>
  <si>
    <t xml:space="preserve">  Platinum (revenue - returns)</t>
  </si>
  <si>
    <t xml:space="preserve">  Palladium (revenue - returns)</t>
  </si>
  <si>
    <t xml:space="preserve">  Rhodium (revenue - returns)</t>
  </si>
  <si>
    <t xml:space="preserve">  Minting</t>
  </si>
  <si>
    <t>Cost of Sales:</t>
  </si>
  <si>
    <t xml:space="preserve">  Gold  (COGS +- inv adj +- PO Variance)</t>
  </si>
  <si>
    <t xml:space="preserve">  Silver (COGS +- inv adj +- PO Variance)</t>
  </si>
  <si>
    <t xml:space="preserve">  Palladium (COGS +- inv adj +- PO Variance)</t>
  </si>
  <si>
    <t xml:space="preserve">  Rhodium (COGS +- inv adj +- PO Variance)</t>
  </si>
  <si>
    <t xml:space="preserve">  Gold Pool (Net)</t>
  </si>
  <si>
    <t xml:space="preserve">  Silver Pool (Net)</t>
  </si>
  <si>
    <t xml:space="preserve">  Platinum Pool (Net)</t>
  </si>
  <si>
    <t xml:space="preserve">  Palladium Pool (Net)</t>
  </si>
  <si>
    <t xml:space="preserve">  COMEX Gold (Net Broker)</t>
  </si>
  <si>
    <t xml:space="preserve">  COMEX Silver (Net Broker)</t>
  </si>
  <si>
    <t xml:space="preserve">  COMEX Platinum (Net Broker)</t>
  </si>
  <si>
    <t xml:space="preserve">  COMEX Palladium (Net Broker)</t>
  </si>
  <si>
    <t xml:space="preserve">Market Price Variance/Bad Debt Expense                                                         </t>
  </si>
  <si>
    <t xml:space="preserve">Refining and Fabrication Variance </t>
  </si>
  <si>
    <t>Subtotal - Cost of Goods Sold</t>
  </si>
  <si>
    <t>Gross Profit (Loss)</t>
  </si>
  <si>
    <t>Profit/(Loss) per Hedge Sheets</t>
  </si>
  <si>
    <t>Profit/(Loss) per Tracing Hedge Sheets</t>
  </si>
  <si>
    <t>Melt Profits (some months are estimates)</t>
  </si>
  <si>
    <t>Offline Trading Profits/(Losses)    TOM/NEXT</t>
  </si>
  <si>
    <t>Futures Contracts EFT Profits/(Losses)</t>
  </si>
  <si>
    <t xml:space="preserve">Audit Adjustments </t>
  </si>
  <si>
    <t>KITCO COGS Au Ag</t>
  </si>
  <si>
    <t>Difference</t>
  </si>
  <si>
    <t>ADDITIONAL REVENUE AND EXPENSE CATEGORIES NOT CONSIDERED IN HEDGE PROFIT AND LOSS</t>
  </si>
  <si>
    <t xml:space="preserve">  CDICS2</t>
  </si>
  <si>
    <t xml:space="preserve">  Numismatics</t>
  </si>
  <si>
    <t xml:space="preserve">  Other/Unhedged Jewelry</t>
  </si>
  <si>
    <t xml:space="preserve">  Sales Rebate Fee/Shipping/Handling Fees/Storage Fees</t>
  </si>
  <si>
    <t xml:space="preserve">    Other Revenue</t>
  </si>
  <si>
    <t>Cost:</t>
  </si>
  <si>
    <t xml:space="preserve">  COG Numi/ Unhedged Jewel/Operation Supplies/Market Services/</t>
  </si>
  <si>
    <t xml:space="preserve">  Shipping and Transportation Costs/Shipping Losses</t>
  </si>
  <si>
    <t xml:space="preserve">  Storage Fees</t>
  </si>
  <si>
    <t xml:space="preserve">  Commission (Net COMEX 06 and Sovereign Fees)</t>
  </si>
  <si>
    <t xml:space="preserve">  Insurance</t>
  </si>
  <si>
    <t xml:space="preserve">  LIFO Adjustment</t>
  </si>
  <si>
    <t xml:space="preserve">  Grading</t>
  </si>
  <si>
    <t xml:space="preserve">  Operating expenses</t>
  </si>
  <si>
    <t>Gross Profit (Loss) from Non Trading  Revenue</t>
  </si>
  <si>
    <t>Personnel Expenses</t>
  </si>
  <si>
    <t>Facility Expenses</t>
  </si>
  <si>
    <t>Other Expenses</t>
  </si>
  <si>
    <t>Other (Income)/ Expense</t>
  </si>
  <si>
    <t>Foreign Currency (Gain)/Loss</t>
  </si>
  <si>
    <t>Subtotal - Expenses</t>
  </si>
  <si>
    <t>Net Income</t>
  </si>
  <si>
    <t xml:space="preserve"> </t>
  </si>
  <si>
    <t>Revenue</t>
  </si>
  <si>
    <t xml:space="preserve">  Numismatics (Less returns)</t>
  </si>
  <si>
    <t>Subtotal</t>
  </si>
  <si>
    <t>Cost of Sales</t>
  </si>
  <si>
    <t>CDICS2</t>
  </si>
  <si>
    <t>Numismatics</t>
  </si>
  <si>
    <t>PO Variance - Numismatics</t>
  </si>
  <si>
    <t>Inventory Adjustment - Numismatics</t>
  </si>
  <si>
    <t>Grading Fees</t>
  </si>
  <si>
    <t>Profit/(Loss) Unhedged</t>
  </si>
  <si>
    <t>REVENUE - CDICS2</t>
  </si>
  <si>
    <t>REVENUE - GOLD</t>
  </si>
  <si>
    <t>REVENUE - SILVER</t>
  </si>
  <si>
    <t>REVENUE - PLATINUM</t>
  </si>
  <si>
    <t>REVENUE - PALLADIUM</t>
  </si>
  <si>
    <t>REVENUE - GENERAL</t>
  </si>
  <si>
    <t>REVENUE - NUMISMATICS</t>
  </si>
  <si>
    <t>SALES REBATE FEES</t>
  </si>
  <si>
    <t>REVENUE - RHODIUM</t>
  </si>
  <si>
    <t>SHIPPING FEES</t>
  </si>
  <si>
    <t>HANDLING FEES</t>
  </si>
  <si>
    <t>STORAGE FEES</t>
  </si>
  <si>
    <t>SALES RETURNS-GOLD</t>
  </si>
  <si>
    <t>SALES RETURNS - SILVER</t>
  </si>
  <si>
    <t>SALES RETURNS - PLATINUM</t>
  </si>
  <si>
    <t>SALES RETURNS - PALLADIUM</t>
  </si>
  <si>
    <t>SALES RETURNS - GENERAL</t>
  </si>
  <si>
    <t>SALES RETURNS - NUMISMATICS</t>
  </si>
  <si>
    <t>SALES RETURNS - RHODIUM</t>
  </si>
  <si>
    <t>Minting - Sales - Copper</t>
  </si>
  <si>
    <t>Minting - Sales - Silver</t>
  </si>
  <si>
    <t>TOTAL REVENUE</t>
  </si>
  <si>
    <t>FOREIGN CURRENCY GAIN OR LOSS</t>
  </si>
  <si>
    <t>COST OF SALES - CDICS2</t>
  </si>
  <si>
    <t>COST OF GOODS SOLD -  GOLD</t>
  </si>
  <si>
    <t>COST OF GOODS SOLD - SILVER</t>
  </si>
  <si>
    <t>COST OF GOODS SOLD - PLATINUM</t>
  </si>
  <si>
    <t>COST OF GOODS SOLD - PALLADIUM</t>
  </si>
  <si>
    <t>COST OF GOODS SOLD - GENERAL</t>
  </si>
  <si>
    <t>COST OF GOODS SOLD-NUMISMATICS</t>
  </si>
  <si>
    <t>COST OF GOOD SOLD-RHODIUM</t>
  </si>
  <si>
    <t>SHIPPING COSTS</t>
  </si>
  <si>
    <t>TRANSPORTATION COSTS</t>
  </si>
  <si>
    <t>SHIPMENT LOSSES</t>
  </si>
  <si>
    <t>OPERATION SUPPLIES</t>
  </si>
  <si>
    <t>MARKET SERVICES</t>
  </si>
  <si>
    <t>BROKER MARGIN EXP-GOLD-PURCH</t>
  </si>
  <si>
    <t>BROKERS MARGIN EXP-SILVR-PURCH</t>
  </si>
  <si>
    <t>BROKERS MARGIN EXP-PLAT-PURCH</t>
  </si>
  <si>
    <t>BROKERS MARGIN EXP-PALD-PURCH</t>
  </si>
  <si>
    <t>GOLD POOL SALES FOR HEDGING</t>
  </si>
  <si>
    <t>BROKERS MARGIN GOLD SALES</t>
  </si>
  <si>
    <t>BROKERS MARGIN SILVER SALES</t>
  </si>
  <si>
    <t>BROKERS MARGIN PLAT-SALES</t>
  </si>
  <si>
    <t>BROKERS MARGIN PALD-SALES</t>
  </si>
  <si>
    <t>GOLD POOL PURCHASE</t>
  </si>
  <si>
    <t>SILVER POOL PURCHASE</t>
  </si>
  <si>
    <t>PLATINUM POOL PURCHASE</t>
  </si>
  <si>
    <t>PALLADIUM POOL PURCHASE</t>
  </si>
  <si>
    <t>INVENTORY ADJ - GOLD-PURCH</t>
  </si>
  <si>
    <t>INVENTORY ADJ - SILVER-PURCH</t>
  </si>
  <si>
    <t>INVENTORY ADJ - PLATINUM-PURCH</t>
  </si>
  <si>
    <t>INVENTORY ADJ - PALLADIUM-PURC</t>
  </si>
  <si>
    <t>SILVER POOL SALES FOR HEDGING PURPOSES</t>
  </si>
  <si>
    <t>PLATINUM POOL SALES FOR HEDGING</t>
  </si>
  <si>
    <t>P.O. VARIANCE ADJUST- GOLD</t>
  </si>
  <si>
    <t>P.O. VARIANCE ADJUST-SILVER</t>
  </si>
  <si>
    <t>P.O. VARIANCE ADJUST-PLATINUM</t>
  </si>
  <si>
    <t>P.O. VARIANCE-PALLADIUM</t>
  </si>
  <si>
    <t>PALLADIUM  SALES POOL FOR HEDGING</t>
  </si>
  <si>
    <t>P.O. VARIANCE-NUMISMATICS</t>
  </si>
  <si>
    <t>REFINING &amp; FABRICATION VAR ADJ</t>
  </si>
  <si>
    <t>STORAGE FEE EXPENSE</t>
  </si>
  <si>
    <t>P.O. VARIANCE-GENERAL</t>
  </si>
  <si>
    <t>P.O. VARIANCE-RHODIUM</t>
  </si>
  <si>
    <t>MARKET PRICE RESERVE VARIANCE</t>
  </si>
  <si>
    <t>INSURANCE-ALL RISK POLICY</t>
  </si>
  <si>
    <t>GRADING FEES</t>
  </si>
  <si>
    <t>COMMISSION FEE EXPENSE</t>
  </si>
  <si>
    <t>COMMISSIONS &amp; FEES - COMEX SALES</t>
  </si>
  <si>
    <t>IBA FEES</t>
  </si>
  <si>
    <t>INV ADJUST-GENERAL</t>
  </si>
  <si>
    <t>INV ADJUST-NUMISMATICS-SALES</t>
  </si>
  <si>
    <t>COMMISSION - SOVEREIGN</t>
  </si>
  <si>
    <t>COMMISSION - ANGM</t>
  </si>
  <si>
    <t>Minting - COGS - Copper</t>
  </si>
  <si>
    <t>Minting - COGS - Silver</t>
  </si>
  <si>
    <t>TOTAL COST OF SALES</t>
  </si>
  <si>
    <t>GROSS PROFIT</t>
  </si>
  <si>
    <t>SALARY AND WAGES</t>
  </si>
  <si>
    <t>CUR YR BONUS EXPENSE</t>
  </si>
  <si>
    <t>WORKERS COMPENSATION INS</t>
  </si>
  <si>
    <t>EMPLOYER RELATED TAXES</t>
  </si>
  <si>
    <t>HEALTHCARE EXPENSE</t>
  </si>
  <si>
    <t>DENTAL./STD/LTD/LIFE PREMIUMS</t>
  </si>
  <si>
    <t>401K EMPLOYER CONTRIBUTION</t>
  </si>
  <si>
    <t>OTHER</t>
  </si>
  <si>
    <t>EMPLOYEE BENEFIT</t>
  </si>
  <si>
    <t>EMPLOYEE EDUCATION &amp; TRAINING</t>
  </si>
  <si>
    <t>Minting - Employee Training Expense</t>
  </si>
  <si>
    <t>TOTAL PERSONNEL</t>
  </si>
  <si>
    <t>RENT</t>
  </si>
  <si>
    <t>UTILITIES - ELECTRIC</t>
  </si>
  <si>
    <t>UTIILTIES - GAS</t>
  </si>
  <si>
    <t>UTILITIES - WATER &amp; SEWER</t>
  </si>
  <si>
    <t>MAINTENANCE &amp; REPAIRS</t>
  </si>
  <si>
    <t>REAL ESTATE TAXES</t>
  </si>
  <si>
    <t>TELEPHONE</t>
  </si>
  <si>
    <t>INSURANCE</t>
  </si>
  <si>
    <t>OFFICE SUPPLIES</t>
  </si>
  <si>
    <t>EQUIPMENT RENTAL</t>
  </si>
  <si>
    <t>AMORTIZATION EXPENSE</t>
  </si>
  <si>
    <t>DEPRECIATION  EXPENSE</t>
  </si>
  <si>
    <t>MINITING - REPAIRS &amp; MAINTENANCE</t>
  </si>
  <si>
    <t>MINTING - SECURITY EXPENSE</t>
  </si>
  <si>
    <t>TOTAL FACILITY</t>
  </si>
  <si>
    <t>401K ADMINISTRATION</t>
  </si>
  <si>
    <t>EMPLOYEE LUNCH PROGRAM</t>
  </si>
  <si>
    <t>PAYROLL PROCESSING FEES</t>
  </si>
  <si>
    <t>BANK SERVICE CHARGES</t>
  </si>
  <si>
    <t>CONTRIBUTIONS</t>
  </si>
  <si>
    <t>MISCELLANEOUS</t>
  </si>
  <si>
    <t>PROFESSIONAL FEES at CNT</t>
  </si>
  <si>
    <t>TRAVEL</t>
  </si>
  <si>
    <t>ENTERTAINMENT</t>
  </si>
  <si>
    <t>ADVERTISING &amp; PROMOTION</t>
  </si>
  <si>
    <t>GIFTS FOR CUSTOMERS</t>
  </si>
  <si>
    <t>INTERNET SERVICES</t>
  </si>
  <si>
    <t>EXCISE &amp; PERSONAL PROP TAXES</t>
  </si>
  <si>
    <t>SUBSCRIPTIONS</t>
  </si>
  <si>
    <t>AUTO</t>
  </si>
  <si>
    <t>SECURITY</t>
  </si>
  <si>
    <t>TRAVEL - CONFERENCES</t>
  </si>
  <si>
    <t>TRAVEL - OTHER</t>
  </si>
  <si>
    <t>M &amp; E - CONFERENCES</t>
  </si>
  <si>
    <t>M &amp; E - OTHER</t>
  </si>
  <si>
    <t>COMPUTER EXPENSE</t>
  </si>
  <si>
    <t>TOTAL OTHER</t>
  </si>
  <si>
    <t>RENTAL INCOME</t>
  </si>
  <si>
    <t>MGMT FEE INCOME</t>
  </si>
  <si>
    <t>SOLARE CREDITS - SREC</t>
  </si>
  <si>
    <t>INTEREST INCOME</t>
  </si>
  <si>
    <t>INTEREST EXPENSE</t>
  </si>
  <si>
    <t>TOTAL OTHER INCOME/EXPENSE</t>
  </si>
  <si>
    <t>NET INCOME</t>
  </si>
  <si>
    <t>Total</t>
  </si>
  <si>
    <t>COGS</t>
  </si>
  <si>
    <t>Expenses</t>
  </si>
  <si>
    <t>Total Expenses</t>
  </si>
  <si>
    <t>Gross Profit</t>
  </si>
  <si>
    <t>CNT</t>
  </si>
  <si>
    <t>DEP</t>
  </si>
  <si>
    <t>BPM</t>
  </si>
  <si>
    <t>Lending</t>
  </si>
  <si>
    <t>BSC</t>
  </si>
  <si>
    <t xml:space="preserve">      Gold</t>
  </si>
  <si>
    <t xml:space="preserve">      Silver</t>
  </si>
  <si>
    <t xml:space="preserve">      Platinum</t>
  </si>
  <si>
    <t xml:space="preserve">      Rhodium</t>
  </si>
  <si>
    <t xml:space="preserve">      Minting</t>
  </si>
  <si>
    <t xml:space="preserve">      Other</t>
  </si>
  <si>
    <t>Total Revenue</t>
  </si>
  <si>
    <t>Total GOGC</t>
  </si>
  <si>
    <t xml:space="preserve">  Personnel Expenses</t>
  </si>
  <si>
    <t xml:space="preserve">      Salary and Wages</t>
  </si>
  <si>
    <t xml:space="preserve">      Workers Compensation</t>
  </si>
  <si>
    <t xml:space="preserve">      Employer Related Taxes</t>
  </si>
  <si>
    <t xml:space="preserve">      Healthcare Expenses</t>
  </si>
  <si>
    <t xml:space="preserve">      Dental &amp; Other Insurances</t>
  </si>
  <si>
    <t xml:space="preserve">      3% Safe Harbor EE Contribution</t>
  </si>
  <si>
    <t xml:space="preserve">      Employee Training</t>
  </si>
  <si>
    <t xml:space="preserve">  Total Personnel Expenses</t>
  </si>
  <si>
    <t xml:space="preserve">      Rent</t>
  </si>
  <si>
    <t xml:space="preserve">      Utilities - Electric</t>
  </si>
  <si>
    <t xml:space="preserve">      Utilities - Gas</t>
  </si>
  <si>
    <t xml:space="preserve">      Maintenance &amp; Repairs</t>
  </si>
  <si>
    <t xml:space="preserve">      Insurance</t>
  </si>
  <si>
    <t xml:space="preserve">      Real Estate Taxes</t>
  </si>
  <si>
    <t xml:space="preserve">      Telephone</t>
  </si>
  <si>
    <t xml:space="preserve">      Office Supplies</t>
  </si>
  <si>
    <t xml:space="preserve">      Equipment Rental</t>
  </si>
  <si>
    <t xml:space="preserve">      Amortization</t>
  </si>
  <si>
    <t xml:space="preserve">      Depreciation</t>
  </si>
  <si>
    <t xml:space="preserve">      </t>
  </si>
  <si>
    <t xml:space="preserve">      Employee Lunch Program</t>
  </si>
  <si>
    <t xml:space="preserve">      Internet</t>
  </si>
  <si>
    <t xml:space="preserve">      Security</t>
  </si>
  <si>
    <t xml:space="preserve">  Total Facility Expense</t>
  </si>
  <si>
    <t xml:space="preserve">  Other Expenses</t>
  </si>
  <si>
    <t xml:space="preserve">      Payroll Processing Fees</t>
  </si>
  <si>
    <t xml:space="preserve">      Bank Service Charges</t>
  </si>
  <si>
    <t xml:space="preserve">      Miscellaneous</t>
  </si>
  <si>
    <t xml:space="preserve">      Excise &amp; Personal Property Taxes</t>
  </si>
  <si>
    <t xml:space="preserve">      Advertising &amp; Promotion</t>
  </si>
  <si>
    <t xml:space="preserve">      Subscriptions</t>
  </si>
  <si>
    <t xml:space="preserve">      Auto</t>
  </si>
  <si>
    <t xml:space="preserve">      Travel - Conferences</t>
  </si>
  <si>
    <t xml:space="preserve">      Travel - Other</t>
  </si>
  <si>
    <t xml:space="preserve">      M &amp; E - Conferences</t>
  </si>
  <si>
    <t xml:space="preserve">      M &amp; E - Other</t>
  </si>
  <si>
    <t xml:space="preserve">      Computer Expense</t>
  </si>
  <si>
    <t xml:space="preserve">  Total Other Expenses</t>
  </si>
  <si>
    <t>Total Expense</t>
  </si>
  <si>
    <t>Year to Date</t>
  </si>
  <si>
    <t>Net Income (loss):</t>
  </si>
  <si>
    <t xml:space="preserve">      Rental Income</t>
  </si>
  <si>
    <t xml:space="preserve">      Management Fee Income</t>
  </si>
  <si>
    <t xml:space="preserve">      Solar Credits - SREC</t>
  </si>
  <si>
    <t xml:space="preserve">      Interest Income</t>
  </si>
  <si>
    <t xml:space="preserve">      Interest Expense</t>
  </si>
  <si>
    <t xml:space="preserve">      Other Income</t>
  </si>
  <si>
    <t>Depository</t>
  </si>
  <si>
    <t>Income and loss</t>
  </si>
  <si>
    <t xml:space="preserve">      Shipping Fees</t>
  </si>
  <si>
    <t xml:space="preserve">      Handling Fees</t>
  </si>
  <si>
    <t xml:space="preserve">      Comex Storage Fees</t>
  </si>
  <si>
    <t xml:space="preserve">      ICE Storage Fees</t>
  </si>
  <si>
    <t>Cost Of Goods Sold</t>
  </si>
  <si>
    <t xml:space="preserve">      Storage Fees Expense</t>
  </si>
  <si>
    <t xml:space="preserve">      Shipping Costs</t>
  </si>
  <si>
    <t>Total COGS</t>
  </si>
  <si>
    <t xml:space="preserve">      Salary &amp; Wages</t>
  </si>
  <si>
    <t xml:space="preserve">      Employer Related Tax</t>
  </si>
  <si>
    <t xml:space="preserve">      Health Care Expense</t>
  </si>
  <si>
    <t xml:space="preserve">      Dental Expense</t>
  </si>
  <si>
    <t xml:space="preserve">      Other Employee Benefits</t>
  </si>
  <si>
    <t>Facility Expense</t>
  </si>
  <si>
    <t xml:space="preserve">      Utilities </t>
  </si>
  <si>
    <t xml:space="preserve">      Trash Removal</t>
  </si>
  <si>
    <t xml:space="preserve">      Maintenance &amp; Repair</t>
  </si>
  <si>
    <t xml:space="preserve">      Depreciation Expense</t>
  </si>
  <si>
    <t>Other Expense</t>
  </si>
  <si>
    <t xml:space="preserve">      Contributions</t>
  </si>
  <si>
    <t xml:space="preserve">      Internet Expenses</t>
  </si>
  <si>
    <t>Total Other Expenses</t>
  </si>
  <si>
    <t>Other Income And Expenses</t>
  </si>
  <si>
    <t xml:space="preserve">      Rent Income</t>
  </si>
  <si>
    <t>Total Other Income And Expenses</t>
  </si>
  <si>
    <t>Net Income (Loss)</t>
  </si>
  <si>
    <t>Jan</t>
  </si>
  <si>
    <t>Feb</t>
  </si>
  <si>
    <t>Mar</t>
  </si>
  <si>
    <t>Apr</t>
  </si>
  <si>
    <t xml:space="preserve">      Comex Withdrawal Fees</t>
  </si>
  <si>
    <t xml:space="preserve">      Marketing and Advertisement </t>
  </si>
  <si>
    <t xml:space="preserve">      Employee Benefit - Other</t>
  </si>
  <si>
    <t xml:space="preserve">      Revenue - Gold</t>
  </si>
  <si>
    <t xml:space="preserve">      COGS - Gold</t>
  </si>
  <si>
    <t xml:space="preserve">      COGS - Silver</t>
  </si>
  <si>
    <t xml:space="preserve">      COGS - Platinum</t>
  </si>
  <si>
    <t xml:space="preserve">      COGS - Other</t>
  </si>
  <si>
    <t xml:space="preserve">      Shipping Losses</t>
  </si>
  <si>
    <t xml:space="preserve">      P.O. Variance Adj - Gold</t>
  </si>
  <si>
    <t xml:space="preserve">      eBay Fees</t>
  </si>
  <si>
    <t xml:space="preserve">      Revenue - Silver</t>
  </si>
  <si>
    <t xml:space="preserve">      Revenue - Platinum</t>
  </si>
  <si>
    <t xml:space="preserve">      Revenue - Other</t>
  </si>
  <si>
    <t xml:space="preserve">      Sales Rebates</t>
  </si>
  <si>
    <t xml:space="preserve">      Sales Returns - Gold</t>
  </si>
  <si>
    <t>Other Income &amp; Expenses</t>
  </si>
  <si>
    <t xml:space="preserve">      CNT Management Fees</t>
  </si>
  <si>
    <t>Total Other Income &amp; Expenses</t>
  </si>
  <si>
    <t>OTHER INCOME/EXPENSE</t>
  </si>
  <si>
    <t xml:space="preserve">      P.O. Variance Adj - Silver</t>
  </si>
  <si>
    <t xml:space="preserve">      Management Fee Expense</t>
  </si>
  <si>
    <t>CNT Lending</t>
  </si>
  <si>
    <t xml:space="preserve">      Business Licenses &amp; Permits</t>
  </si>
  <si>
    <t>(Combined)</t>
  </si>
  <si>
    <t xml:space="preserve">Profit &amp; Loss </t>
  </si>
  <si>
    <t>Proof</t>
  </si>
  <si>
    <t xml:space="preserve">      3% Safe Harbor Contribution</t>
  </si>
  <si>
    <t xml:space="preserve">      Application Fees</t>
  </si>
  <si>
    <t>Total Facility Expenses</t>
  </si>
  <si>
    <t xml:space="preserve">      PayPal Fees</t>
  </si>
  <si>
    <t>Bay Precious Metals</t>
  </si>
  <si>
    <t xml:space="preserve">      Utilities - Water &amp; Sewer</t>
  </si>
  <si>
    <t>Amount</t>
  </si>
  <si>
    <t>%</t>
  </si>
  <si>
    <t>2017 YTD</t>
  </si>
  <si>
    <t>2018 YTD</t>
  </si>
  <si>
    <t>Increase</t>
  </si>
  <si>
    <t>to</t>
  </si>
  <si>
    <t>(Decrease)</t>
  </si>
  <si>
    <t>Overall</t>
  </si>
  <si>
    <t>YTD Total</t>
  </si>
  <si>
    <t xml:space="preserve">Comparative P &amp; L </t>
  </si>
  <si>
    <t>Bridgewater Sports Complex (Dome)</t>
  </si>
  <si>
    <t xml:space="preserve">      Gatorade Machine</t>
  </si>
  <si>
    <t xml:space="preserve">      Sticker Machine</t>
  </si>
  <si>
    <t xml:space="preserve">      Tricorp Video Games</t>
  </si>
  <si>
    <t xml:space="preserve">      Dome Sales</t>
  </si>
  <si>
    <t xml:space="preserve">      Cost of Goods</t>
  </si>
  <si>
    <t xml:space="preserve">      Referee Expense</t>
  </si>
  <si>
    <t xml:space="preserve">      Life Insurance Expense</t>
  </si>
  <si>
    <t xml:space="preserve">      Licenses &amp; Permits</t>
  </si>
  <si>
    <t xml:space="preserve">      Maintenance &amp; Repair - Building</t>
  </si>
  <si>
    <t xml:space="preserve">      Maintenance &amp; Repair - Equipment</t>
  </si>
  <si>
    <t xml:space="preserve">      Supplies</t>
  </si>
  <si>
    <t xml:space="preserve">      Professional Fees - Accounting</t>
  </si>
  <si>
    <t xml:space="preserve">      Professional Fees - IT</t>
  </si>
  <si>
    <t xml:space="preserve">      Professional Fees - Legal</t>
  </si>
  <si>
    <t xml:space="preserve">      Credit Card Fees</t>
  </si>
  <si>
    <t xml:space="preserve">      Rental Income - Concession Stand</t>
  </si>
  <si>
    <t xml:space="preserve">      Rental Income - CNT</t>
  </si>
  <si>
    <t xml:space="preserve">      Interest - Loan</t>
  </si>
  <si>
    <t xml:space="preserve">      Interest - Shareholder</t>
  </si>
  <si>
    <t xml:space="preserve">      Computer Expense - Equipment</t>
  </si>
  <si>
    <t xml:space="preserve">      Computer Expense - Software</t>
  </si>
  <si>
    <t xml:space="preserve">      Awards</t>
  </si>
  <si>
    <t xml:space="preserve">      Service Contract Expense</t>
  </si>
  <si>
    <t xml:space="preserve">      Vendi - Pepsi</t>
  </si>
  <si>
    <t xml:space="preserve">      Maintenance &amp; Repairs - Building</t>
  </si>
  <si>
    <t xml:space="preserve">      Maintenance &amp; Repairs - Equipment</t>
  </si>
  <si>
    <t xml:space="preserve">      Gifts for Customers &amp; Awards</t>
  </si>
  <si>
    <t xml:space="preserve">      Maintenance &amp; Repairs - Buildings</t>
  </si>
  <si>
    <t xml:space="preserve">      Customer gifts &amp; Awards</t>
  </si>
  <si>
    <t>May</t>
  </si>
  <si>
    <t xml:space="preserve">      Revenue - Palladium</t>
  </si>
  <si>
    <t xml:space="preserve">      COGS - Palladium</t>
  </si>
  <si>
    <t xml:space="preserve">      P.O. Variance Adj - Platinum</t>
  </si>
  <si>
    <t xml:space="preserve">      Market Services</t>
  </si>
  <si>
    <t xml:space="preserve">      Inventory Adj</t>
  </si>
  <si>
    <t xml:space="preserve">      Professional Fees - Audit Tax</t>
  </si>
  <si>
    <t xml:space="preserve">      Licensing Fees</t>
  </si>
  <si>
    <t xml:space="preserve">      Inventory Warehouse Charge</t>
  </si>
  <si>
    <t xml:space="preserve">      Computer Expense - Software &amp; Licensing</t>
  </si>
  <si>
    <t xml:space="preserve">      Professional Fees - Audit Tax Advisory</t>
  </si>
  <si>
    <t xml:space="preserve">      Professional Fees - Comex Audit</t>
  </si>
  <si>
    <t xml:space="preserve">      Licenses &amp; Fees</t>
  </si>
  <si>
    <t xml:space="preserve">      401K Administration</t>
  </si>
  <si>
    <t>MINTING - DEPRECIATION EXPENSE</t>
  </si>
  <si>
    <t>PROFESSIONAL FEES - LEGAL</t>
  </si>
  <si>
    <t>PROFESSIONAL FEES - IT</t>
  </si>
  <si>
    <t>INVENTORY WAREHOUSE CHARGE</t>
  </si>
  <si>
    <t>OTHER INCOME</t>
  </si>
  <si>
    <t>METAL LEASING INCOME - GOLD</t>
  </si>
  <si>
    <t>METAL LEASING INCOME - PALLADIUM</t>
  </si>
  <si>
    <t xml:space="preserve">  General</t>
  </si>
  <si>
    <t xml:space="preserve">      Professional Fees - Human Resources</t>
  </si>
  <si>
    <t xml:space="preserve">      Metal Leasing Income - Gold</t>
  </si>
  <si>
    <t xml:space="preserve">      Metal leasing Income - Palladium</t>
  </si>
  <si>
    <t xml:space="preserve">      Metal Leasing Income - Palladium</t>
  </si>
  <si>
    <t>Combined P &amp; L Change from 2017 to 2018</t>
  </si>
  <si>
    <t xml:space="preserve">Combined P &amp; L </t>
  </si>
  <si>
    <t>Oliari Co.</t>
  </si>
  <si>
    <t xml:space="preserve">      Rental Income - BSC</t>
  </si>
  <si>
    <t>Oliari Co</t>
  </si>
  <si>
    <t xml:space="preserve">      Revenue (all sources)</t>
  </si>
  <si>
    <t xml:space="preserve">      GOGS (all sources)</t>
  </si>
  <si>
    <t>Protected tab     Password = combined</t>
  </si>
  <si>
    <t xml:space="preserve">      Maintenance &amp; Repairs </t>
  </si>
  <si>
    <t xml:space="preserve">      Computer Expense </t>
  </si>
  <si>
    <t xml:space="preserve">      Travel </t>
  </si>
  <si>
    <t xml:space="preserve">      Other Expenses</t>
  </si>
  <si>
    <t>Oliari Co., LLC</t>
  </si>
  <si>
    <t>722 Bedford Street LLC</t>
  </si>
  <si>
    <t>722 Bedford</t>
  </si>
  <si>
    <t xml:space="preserve">722 Bedford </t>
  </si>
  <si>
    <t>June</t>
  </si>
  <si>
    <t xml:space="preserve">      Palladium</t>
  </si>
  <si>
    <t xml:space="preserve">      Professional Fees - Audit &amp; Tax</t>
  </si>
  <si>
    <t xml:space="preserve">      Storage Fees - Monthly</t>
  </si>
  <si>
    <t xml:space="preserve">      Storage Fees - Biannual</t>
  </si>
  <si>
    <t xml:space="preserve">      Storage Fees - Annual</t>
  </si>
  <si>
    <t xml:space="preserve">      Operation Supplies</t>
  </si>
  <si>
    <t>Minting - Inventory Adj - Copper</t>
  </si>
  <si>
    <t>Minting - Inventory Adj - Silver</t>
  </si>
  <si>
    <t>INVENTORY ADJ-RHODIUM</t>
  </si>
  <si>
    <t>PROFESSIONAL FEES - AUDIT TAX ADVISORY</t>
  </si>
  <si>
    <t>PROFESSIONAL FEES - HUMAN RESOURCES</t>
  </si>
  <si>
    <t>LICENSES &amp; FEES</t>
  </si>
  <si>
    <t>Mingint - Marketing Expense</t>
  </si>
  <si>
    <t>Minting - Travel Expense</t>
  </si>
  <si>
    <t>COMPUTER EXPENSE - SOFTWARE &amp; LICENSE</t>
  </si>
  <si>
    <t>METAL LEASING INCOME - PLATINUM</t>
  </si>
  <si>
    <t>METAL LEASING INCOME - SILVER</t>
  </si>
  <si>
    <t xml:space="preserve">      Metal Leasing Income - Silver</t>
  </si>
  <si>
    <t xml:space="preserve">      Metal Leasing Income - Platinum</t>
  </si>
  <si>
    <t>July</t>
  </si>
  <si>
    <t xml:space="preserve">      Bank Service Fees</t>
  </si>
  <si>
    <t xml:space="preserve">      Rental Income - DEP</t>
  </si>
  <si>
    <t>Minting - PO Variance Adj - Copper</t>
  </si>
  <si>
    <t xml:space="preserve">      COGS - Copper - Minting</t>
  </si>
  <si>
    <t xml:space="preserve">      Snow Plowing, Sanding &amp; Landscape</t>
  </si>
  <si>
    <t>SNOW PLOWING, SANDING &amp; LANDSCAPE</t>
  </si>
  <si>
    <t>Minting - Market Price Variance</t>
  </si>
  <si>
    <t>MINTING - SCRAP INCOME</t>
  </si>
  <si>
    <t xml:space="preserve">      Minting - Scrap Income</t>
  </si>
  <si>
    <t>August</t>
  </si>
  <si>
    <t>Minting - Sales - Gold</t>
  </si>
  <si>
    <t>Minting - Returns - Silver</t>
  </si>
  <si>
    <t>Minting - COGS - Gold</t>
  </si>
  <si>
    <t>Minting - Melt Loss - Silver</t>
  </si>
  <si>
    <t>Minting - Supplies</t>
  </si>
  <si>
    <t>Mystic TBA</t>
  </si>
  <si>
    <t xml:space="preserve">      Sales Returns - Silver</t>
  </si>
  <si>
    <t xml:space="preserve">      Revenue - Copper - Minting</t>
  </si>
  <si>
    <t xml:space="preserve">      Professional Fees </t>
  </si>
  <si>
    <t xml:space="preserve">      Employee Benefits </t>
  </si>
  <si>
    <t xml:space="preserve">      Meals &amp; Entertainment</t>
  </si>
  <si>
    <t>Other Income (Expense)</t>
  </si>
  <si>
    <t>Total Other Income (Expense)</t>
  </si>
  <si>
    <t>September</t>
  </si>
  <si>
    <t xml:space="preserve">      Rental Income - CNT Minting</t>
  </si>
  <si>
    <t>MARKING TO MARKET GOLD</t>
  </si>
  <si>
    <t>MARKING TO MARKET SILVER</t>
  </si>
  <si>
    <t>MARKING TO MARKET PLATINUM</t>
  </si>
  <si>
    <t>MARKING TO MARKET PALLADIUM</t>
  </si>
  <si>
    <t>MARKING TO MARKET RHODIUM</t>
  </si>
  <si>
    <t>TRASH REMOVAL</t>
  </si>
  <si>
    <t>MINTING - RENT</t>
  </si>
  <si>
    <t>RENT Expense - Berkman Texas Lease</t>
  </si>
  <si>
    <t xml:space="preserve">  Platinum (COGS +- inv adj +- PO Variance)</t>
  </si>
  <si>
    <t xml:space="preserve">      Travel</t>
  </si>
  <si>
    <t>Personnel Expense</t>
  </si>
  <si>
    <t xml:space="preserve">      Salary &amp; Wages </t>
  </si>
  <si>
    <t xml:space="preserve">      Healthcare Expense</t>
  </si>
  <si>
    <t xml:space="preserve">      401K Employer Contributions</t>
  </si>
  <si>
    <t xml:space="preserve">      Professional Fees - HR</t>
  </si>
  <si>
    <t xml:space="preserve">      Rental Income - BPM</t>
  </si>
  <si>
    <t>October</t>
  </si>
  <si>
    <t>-</t>
  </si>
  <si>
    <t xml:space="preserve">      Dental &amp; Life Insurance Expense</t>
  </si>
  <si>
    <t>November</t>
  </si>
  <si>
    <t xml:space="preserve">  Facility Expense</t>
  </si>
  <si>
    <t xml:space="preserve">      Customer Gifts &amp; Awards</t>
  </si>
  <si>
    <t xml:space="preserve">      Aquafina Machine</t>
  </si>
  <si>
    <t xml:space="preserve">      Misc. Income</t>
  </si>
  <si>
    <t xml:space="preserve">      5210  - Salary And Wages</t>
  </si>
  <si>
    <t xml:space="preserve">      5215 - Employer Taxes</t>
  </si>
  <si>
    <t xml:space="preserve">      5216 - Health Insurance</t>
  </si>
  <si>
    <t xml:space="preserve">      5217 - Dental &amp; Life Insurance</t>
  </si>
  <si>
    <t xml:space="preserve">      5219 - 3% Safe Harbor</t>
  </si>
  <si>
    <t xml:space="preserve">      5222 - Lunch Program</t>
  </si>
  <si>
    <t xml:space="preserve">      5285 - Security</t>
  </si>
  <si>
    <t xml:space="preserve">      5266 - Insurance</t>
  </si>
  <si>
    <t xml:space="preserve">      5278 - Internet (DEP) 5288 (BPM)</t>
  </si>
  <si>
    <t xml:space="preserve">      5350 - Professional Fees - Legal</t>
  </si>
  <si>
    <t xml:space="preserve">      5353 - Professional Fees - HR</t>
  </si>
  <si>
    <t xml:space="preserve">      5276 - Advertisement &amp; Promotions</t>
  </si>
  <si>
    <t xml:space="preserve">      1235 - Due DEP </t>
  </si>
  <si>
    <t xml:space="preserve">      1257 - Due from BPM</t>
  </si>
  <si>
    <t xml:space="preserve">      BPM - 2400 - Due to CNT </t>
  </si>
  <si>
    <t xml:space="preserve">      DEP - 2401 - Due to CNT</t>
  </si>
  <si>
    <t xml:space="preserve">      5210 - Payroll (accrual)</t>
  </si>
  <si>
    <t xml:space="preserve">      5215 -  Payroll Taxes (accrual) </t>
  </si>
  <si>
    <t>Suggested Allocation</t>
  </si>
  <si>
    <t>Accounting</t>
  </si>
  <si>
    <t xml:space="preserve">      Salary </t>
  </si>
  <si>
    <t>includes</t>
  </si>
  <si>
    <t xml:space="preserve">      Payroll Taxes</t>
  </si>
  <si>
    <t xml:space="preserve">      Health Insurance</t>
  </si>
  <si>
    <t>Appraisal fee</t>
  </si>
  <si>
    <t xml:space="preserve">      Dental &amp; Life Insurance</t>
  </si>
  <si>
    <t xml:space="preserve">      3% Safe Harbor</t>
  </si>
  <si>
    <t xml:space="preserve">      Lunch Program (25% DEP 10 % BPM)</t>
  </si>
  <si>
    <t xml:space="preserve">      Stanley Security (15% of CNT)</t>
  </si>
  <si>
    <t xml:space="preserve">      Insurance (10% of CNT)</t>
  </si>
  <si>
    <t xml:space="preserve">      Internet (15% of CNT)</t>
  </si>
  <si>
    <t xml:space="preserve">      Prof Fees - Legal ( 10% each of CNT)</t>
  </si>
  <si>
    <t xml:space="preserve">      Prof Fees - HR ( 25% DEP &amp; 10% BPM)</t>
  </si>
  <si>
    <t xml:space="preserve">      Event (accrued to date of $35,000)</t>
  </si>
  <si>
    <t xml:space="preserve">CNT - TB 5276 </t>
  </si>
  <si>
    <t>Total Suggested Allocations</t>
  </si>
  <si>
    <t>Accrued Payroll &amp; Payroll Taxes</t>
  </si>
  <si>
    <t xml:space="preserve">      Accrued Salary</t>
  </si>
  <si>
    <t xml:space="preserve">      Accrued Payroll Taxes</t>
  </si>
  <si>
    <t>Total Accrued Payroll &amp; Payroll Taxes</t>
  </si>
  <si>
    <t>Accrued Payroll  Entry - November 2018</t>
  </si>
  <si>
    <t>Allocation Entry - November 2018</t>
  </si>
  <si>
    <t>Minting - PO Variance Adj - Silver</t>
  </si>
  <si>
    <t>401920L-MS62 (Premium from August)</t>
  </si>
  <si>
    <t>Fabrication Charge</t>
  </si>
  <si>
    <t>Pro Aurum</t>
  </si>
  <si>
    <t>12.31.18</t>
  </si>
  <si>
    <t>12/31/2018 to 12/31/2017</t>
  </si>
  <si>
    <t>December</t>
  </si>
  <si>
    <t xml:space="preserve">      Provision for Income Taxes</t>
  </si>
  <si>
    <t xml:space="preserve">      LIFO Adjustment</t>
  </si>
  <si>
    <t>LIFO Adjustment</t>
  </si>
  <si>
    <t>Net Income (loss) without LIFO Adjustment</t>
  </si>
  <si>
    <t>Minting - Employee Benefits</t>
  </si>
  <si>
    <t xml:space="preserve">      Current Year Bonus Expense</t>
  </si>
  <si>
    <t xml:space="preserve">      Commision Expense</t>
  </si>
  <si>
    <t xml:space="preserve">      Commission Expense</t>
  </si>
  <si>
    <t xml:space="preserve">      Payroll Bonuses</t>
  </si>
  <si>
    <t>Total Personnel Expenses</t>
  </si>
  <si>
    <t>09/30/2018 to 9/30/2017</t>
  </si>
  <si>
    <t xml:space="preserve">  Facilitiy Expense</t>
  </si>
  <si>
    <t>One month</t>
  </si>
  <si>
    <t xml:space="preserve">      Employee Benefits</t>
  </si>
  <si>
    <t xml:space="preserve">      Rent - $5,000 mnthly  (BPM to Oliari Co)</t>
  </si>
  <si>
    <t xml:space="preserve">      Management Fees</t>
  </si>
  <si>
    <t xml:space="preserve">      Auto (Ford lease)</t>
  </si>
  <si>
    <t xml:space="preserve">      Travel expense for DEP (Estimated)</t>
  </si>
  <si>
    <t xml:space="preserve">      Travel expense for BPM (Estimated)</t>
  </si>
  <si>
    <t>Total suggested Allocations</t>
  </si>
  <si>
    <t>Adjusted Net Income (loss):</t>
  </si>
  <si>
    <t>Projected 4th Quarter Income (Loss):</t>
  </si>
  <si>
    <t>Projected Year End Income (Loss):</t>
  </si>
  <si>
    <t>CNT One month</t>
  </si>
  <si>
    <t>PM One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</si>
</sst>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[$$-409]* #,##0.00;[$$-409]* \-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45"/>
      <color theme="1"/>
      <name val="Calibri"/>
      <family val="2"/>
      <scheme val="minor"/>
    </font>
    <font>
      <b/>
      <sz val="4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45"/>
      <name val="Calibri"/>
      <family val="2"/>
      <scheme val="minor"/>
    </font>
    <font>
      <sz val="55"/>
      <color theme="1"/>
      <name val="Calibri"/>
      <family val="2"/>
      <scheme val="minor"/>
    </font>
    <font>
      <b/>
      <sz val="55"/>
      <color theme="1"/>
      <name val="Calibri"/>
      <family val="2"/>
      <scheme val="minor"/>
    </font>
    <font>
      <b/>
      <u/>
      <sz val="45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2">
    <xf numFmtId="0" fontId="0" fillId="0" borderId="0" xfId="0"/>
    <xf numFmtId="44" fontId="3" fillId="0" borderId="0" xfId="2" applyNumberFormat="1" applyFont="1" applyFill="1"/>
    <xf numFmtId="44" fontId="3" fillId="0" borderId="2" xfId="2" applyNumberFormat="1" applyFont="1" applyFill="1" applyBorder="1"/>
    <xf numFmtId="44" fontId="3" fillId="0" borderId="5" xfId="2" applyNumberFormat="1" applyFont="1" applyFill="1" applyBorder="1"/>
    <xf numFmtId="0" fontId="2" fillId="0" borderId="0" xfId="0" applyFont="1"/>
    <xf numFmtId="43" fontId="1" fillId="0" borderId="0" xfId="1" applyFont="1"/>
    <xf numFmtId="0" fontId="0" fillId="0" borderId="0" xfId="0" applyAlignment="1">
      <alignment horizontal="center"/>
    </xf>
    <xf numFmtId="43" fontId="1" fillId="0" borderId="2" xfId="1" applyFont="1" applyBorder="1"/>
    <xf numFmtId="43" fontId="1" fillId="0" borderId="14" xfId="1" applyFont="1" applyBorder="1"/>
    <xf numFmtId="43" fontId="1" fillId="0" borderId="3" xfId="1" applyFont="1" applyBorder="1"/>
    <xf numFmtId="43" fontId="2" fillId="0" borderId="0" xfId="1" applyFont="1" applyAlignment="1">
      <alignment horizontal="center"/>
    </xf>
    <xf numFmtId="0" fontId="4" fillId="0" borderId="0" xfId="0" applyFont="1"/>
    <xf numFmtId="0" fontId="0" fillId="0" borderId="0" xfId="0" applyFill="1"/>
    <xf numFmtId="0" fontId="4" fillId="0" borderId="0" xfId="0" applyFont="1" applyFill="1"/>
    <xf numFmtId="43" fontId="1" fillId="0" borderId="0" xfId="1" applyFont="1" applyFill="1"/>
    <xf numFmtId="43" fontId="0" fillId="0" borderId="0" xfId="0" applyNumberFormat="1" applyFill="1"/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/>
    <xf numFmtId="43" fontId="5" fillId="0" borderId="0" xfId="1" applyFont="1" applyAlignment="1">
      <alignment horizontal="center"/>
    </xf>
    <xf numFmtId="0" fontId="5" fillId="0" borderId="0" xfId="0" applyFont="1" applyFill="1" applyAlignment="1">
      <alignment vertical="center"/>
    </xf>
    <xf numFmtId="43" fontId="6" fillId="0" borderId="0" xfId="1" applyFont="1"/>
    <xf numFmtId="0" fontId="6" fillId="0" borderId="0" xfId="0" applyFont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Fill="1"/>
    <xf numFmtId="43" fontId="6" fillId="0" borderId="0" xfId="0" applyNumberFormat="1" applyFont="1" applyFill="1"/>
    <xf numFmtId="10" fontId="6" fillId="0" borderId="0" xfId="3" applyNumberFormat="1" applyFont="1" applyFill="1" applyAlignment="1">
      <alignment horizontal="center"/>
    </xf>
    <xf numFmtId="10" fontId="6" fillId="0" borderId="0" xfId="3" applyNumberFormat="1" applyFont="1" applyAlignment="1">
      <alignment horizontal="center"/>
    </xf>
    <xf numFmtId="43" fontId="6" fillId="0" borderId="0" xfId="0" applyNumberFormat="1" applyFont="1"/>
    <xf numFmtId="43" fontId="6" fillId="0" borderId="2" xfId="0" applyNumberFormat="1" applyFont="1" applyFill="1" applyBorder="1"/>
    <xf numFmtId="10" fontId="6" fillId="0" borderId="0" xfId="3" applyNumberFormat="1" applyFont="1" applyFill="1" applyBorder="1" applyAlignment="1">
      <alignment horizontal="center"/>
    </xf>
    <xf numFmtId="10" fontId="6" fillId="0" borderId="2" xfId="3" applyNumberFormat="1" applyFont="1" applyBorder="1" applyAlignment="1">
      <alignment horizontal="center"/>
    </xf>
    <xf numFmtId="10" fontId="6" fillId="0" borderId="0" xfId="3" applyNumberFormat="1" applyFont="1" applyBorder="1" applyAlignment="1">
      <alignment horizontal="center"/>
    </xf>
    <xf numFmtId="43" fontId="6" fillId="0" borderId="2" xfId="0" applyNumberFormat="1" applyFont="1" applyBorder="1"/>
    <xf numFmtId="9" fontId="6" fillId="0" borderId="0" xfId="3" applyFont="1" applyAlignment="1">
      <alignment horizontal="center"/>
    </xf>
    <xf numFmtId="43" fontId="6" fillId="0" borderId="14" xfId="0" applyNumberFormat="1" applyFont="1" applyFill="1" applyBorder="1"/>
    <xf numFmtId="43" fontId="6" fillId="0" borderId="14" xfId="0" applyNumberFormat="1" applyFont="1" applyBorder="1"/>
    <xf numFmtId="10" fontId="6" fillId="0" borderId="14" xfId="3" applyNumberFormat="1" applyFont="1" applyBorder="1" applyAlignment="1">
      <alignment horizontal="center"/>
    </xf>
    <xf numFmtId="9" fontId="6" fillId="0" borderId="14" xfId="3" applyFont="1" applyBorder="1" applyAlignment="1">
      <alignment horizontal="center"/>
    </xf>
    <xf numFmtId="43" fontId="5" fillId="0" borderId="3" xfId="0" applyNumberFormat="1" applyFont="1" applyFill="1" applyBorder="1"/>
    <xf numFmtId="43" fontId="5" fillId="0" borderId="3" xfId="0" applyNumberFormat="1" applyFont="1" applyBorder="1"/>
    <xf numFmtId="0" fontId="7" fillId="0" borderId="0" xfId="0" applyFont="1"/>
    <xf numFmtId="0" fontId="8" fillId="0" borderId="6" xfId="0" applyFont="1" applyFill="1" applyBorder="1" applyAlignment="1">
      <alignment horizontal="center"/>
    </xf>
    <xf numFmtId="43" fontId="7" fillId="0" borderId="0" xfId="1" applyFont="1"/>
    <xf numFmtId="0" fontId="8" fillId="0" borderId="0" xfId="0" applyFont="1"/>
    <xf numFmtId="43" fontId="7" fillId="0" borderId="0" xfId="0" applyNumberFormat="1" applyFont="1" applyFill="1"/>
    <xf numFmtId="43" fontId="7" fillId="0" borderId="2" xfId="0" applyNumberFormat="1" applyFont="1" applyFill="1" applyBorder="1"/>
    <xf numFmtId="43" fontId="7" fillId="0" borderId="14" xfId="0" applyNumberFormat="1" applyFont="1" applyFill="1" applyBorder="1"/>
    <xf numFmtId="43" fontId="8" fillId="0" borderId="3" xfId="0" applyNumberFormat="1" applyFont="1" applyFill="1" applyBorder="1"/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3" fontId="6" fillId="0" borderId="0" xfId="0" applyNumberFormat="1" applyFont="1" applyFill="1" applyBorder="1"/>
    <xf numFmtId="43" fontId="5" fillId="0" borderId="0" xfId="0" applyNumberFormat="1" applyFont="1" applyFill="1" applyBorder="1"/>
    <xf numFmtId="0" fontId="6" fillId="0" borderId="0" xfId="0" applyFont="1" applyBorder="1"/>
    <xf numFmtId="43" fontId="6" fillId="0" borderId="0" xfId="0" applyNumberFormat="1" applyFont="1" applyBorder="1"/>
    <xf numFmtId="43" fontId="6" fillId="0" borderId="0" xfId="1" applyFont="1" applyBorder="1"/>
    <xf numFmtId="43" fontId="5" fillId="0" borderId="0" xfId="0" applyNumberFormat="1" applyFont="1" applyBorder="1"/>
    <xf numFmtId="43" fontId="1" fillId="0" borderId="0" xfId="1" applyFont="1" applyBorder="1"/>
    <xf numFmtId="43" fontId="7" fillId="0" borderId="6" xfId="0" applyNumberFormat="1" applyFont="1" applyFill="1" applyBorder="1"/>
    <xf numFmtId="43" fontId="7" fillId="0" borderId="0" xfId="0" applyNumberFormat="1" applyFont="1" applyFill="1" applyBorder="1"/>
    <xf numFmtId="164" fontId="1" fillId="0" borderId="0" xfId="1" applyNumberFormat="1" applyFont="1"/>
    <xf numFmtId="43" fontId="0" fillId="0" borderId="0" xfId="0" applyNumberFormat="1"/>
    <xf numFmtId="0" fontId="10" fillId="0" borderId="0" xfId="0" applyFont="1" applyFill="1" applyAlignment="1"/>
    <xf numFmtId="0" fontId="3" fillId="0" borderId="0" xfId="0" applyFont="1" applyFill="1"/>
    <xf numFmtId="0" fontId="11" fillId="0" borderId="0" xfId="0" applyFont="1" applyFill="1"/>
    <xf numFmtId="0" fontId="3" fillId="0" borderId="0" xfId="0" applyFont="1" applyFill="1" applyBorder="1"/>
    <xf numFmtId="0" fontId="12" fillId="0" borderId="0" xfId="0" applyFont="1" applyFill="1" applyAlignment="1">
      <alignment wrapText="1"/>
    </xf>
    <xf numFmtId="0" fontId="3" fillId="0" borderId="15" xfId="0" applyFont="1" applyFill="1" applyBorder="1"/>
    <xf numFmtId="0" fontId="3" fillId="0" borderId="16" xfId="0" applyFont="1" applyFill="1" applyBorder="1"/>
    <xf numFmtId="0" fontId="3" fillId="0" borderId="17" xfId="0" applyFont="1" applyFill="1" applyBorder="1"/>
    <xf numFmtId="0" fontId="3" fillId="0" borderId="12" xfId="0" applyFont="1" applyFill="1" applyBorder="1"/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/>
    <xf numFmtId="43" fontId="13" fillId="0" borderId="0" xfId="0" applyNumberFormat="1" applyFont="1" applyFill="1"/>
    <xf numFmtId="10" fontId="13" fillId="0" borderId="0" xfId="3" applyNumberFormat="1" applyFont="1" applyFill="1" applyAlignment="1">
      <alignment horizontal="center"/>
    </xf>
    <xf numFmtId="43" fontId="13" fillId="0" borderId="2" xfId="0" applyNumberFormat="1" applyFont="1" applyFill="1" applyBorder="1"/>
    <xf numFmtId="10" fontId="13" fillId="0" borderId="2" xfId="3" applyNumberFormat="1" applyFont="1" applyFill="1" applyBorder="1" applyAlignment="1">
      <alignment horizontal="center"/>
    </xf>
    <xf numFmtId="10" fontId="13" fillId="0" borderId="0" xfId="3" applyNumberFormat="1" applyFont="1" applyFill="1" applyBorder="1" applyAlignment="1">
      <alignment horizontal="center"/>
    </xf>
    <xf numFmtId="43" fontId="13" fillId="0" borderId="14" xfId="0" applyNumberFormat="1" applyFont="1" applyFill="1" applyBorder="1"/>
    <xf numFmtId="43" fontId="13" fillId="0" borderId="0" xfId="3" applyNumberFormat="1" applyFont="1" applyFill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Fill="1"/>
    <xf numFmtId="43" fontId="22" fillId="0" borderId="3" xfId="0" applyNumberFormat="1" applyFont="1" applyFill="1" applyBorder="1"/>
    <xf numFmtId="0" fontId="22" fillId="0" borderId="0" xfId="0" applyFont="1" applyFill="1"/>
    <xf numFmtId="43" fontId="0" fillId="0" borderId="0" xfId="1" applyFont="1"/>
    <xf numFmtId="0" fontId="3" fillId="0" borderId="0" xfId="0" applyFont="1" applyFill="1" applyAlignment="1">
      <alignment vertical="top"/>
    </xf>
    <xf numFmtId="43" fontId="13" fillId="0" borderId="0" xfId="1" applyFont="1" applyFill="1" applyAlignment="1">
      <alignment horizontal="center"/>
    </xf>
    <xf numFmtId="43" fontId="13" fillId="0" borderId="0" xfId="1" applyFont="1" applyFill="1" applyAlignment="1">
      <alignment horizontal="left"/>
    </xf>
    <xf numFmtId="0" fontId="23" fillId="0" borderId="0" xfId="0" applyFont="1" applyFill="1"/>
    <xf numFmtId="43" fontId="13" fillId="0" borderId="0" xfId="1" applyFont="1" applyFill="1"/>
    <xf numFmtId="43" fontId="13" fillId="0" borderId="3" xfId="1" applyFont="1" applyFill="1" applyBorder="1"/>
    <xf numFmtId="0" fontId="13" fillId="0" borderId="0" xfId="0" applyFont="1" applyFill="1" applyAlignment="1">
      <alignment horizontal="center"/>
    </xf>
    <xf numFmtId="9" fontId="13" fillId="0" borderId="0" xfId="3" applyFont="1" applyFill="1" applyAlignment="1">
      <alignment horizontal="center"/>
    </xf>
    <xf numFmtId="10" fontId="13" fillId="0" borderId="14" xfId="3" applyNumberFormat="1" applyFont="1" applyFill="1" applyBorder="1" applyAlignment="1">
      <alignment horizontal="center"/>
    </xf>
    <xf numFmtId="43" fontId="20" fillId="0" borderId="0" xfId="0" applyNumberFormat="1" applyFont="1" applyFill="1"/>
    <xf numFmtId="10" fontId="13" fillId="0" borderId="0" xfId="1" applyNumberFormat="1" applyFont="1" applyFill="1" applyAlignment="1">
      <alignment horizontal="center"/>
    </xf>
    <xf numFmtId="9" fontId="13" fillId="0" borderId="2" xfId="3" applyFont="1" applyFill="1" applyBorder="1" applyAlignment="1">
      <alignment horizontal="center"/>
    </xf>
    <xf numFmtId="9" fontId="13" fillId="0" borderId="14" xfId="3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3" fillId="2" borderId="0" xfId="0" applyFont="1" applyFill="1"/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vertical="center"/>
    </xf>
    <xf numFmtId="0" fontId="14" fillId="2" borderId="6" xfId="0" applyFont="1" applyFill="1" applyBorder="1" applyAlignment="1">
      <alignment horizontal="center"/>
    </xf>
    <xf numFmtId="43" fontId="13" fillId="2" borderId="0" xfId="0" applyNumberFormat="1" applyFont="1" applyFill="1"/>
    <xf numFmtId="43" fontId="13" fillId="2" borderId="2" xfId="0" applyNumberFormat="1" applyFont="1" applyFill="1" applyBorder="1"/>
    <xf numFmtId="43" fontId="13" fillId="2" borderId="14" xfId="0" applyNumberFormat="1" applyFont="1" applyFill="1" applyBorder="1"/>
    <xf numFmtId="43" fontId="22" fillId="2" borderId="3" xfId="0" applyNumberFormat="1" applyFont="1" applyFill="1" applyBorder="1"/>
    <xf numFmtId="43" fontId="13" fillId="2" borderId="0" xfId="1" applyFont="1" applyFill="1"/>
    <xf numFmtId="43" fontId="0" fillId="2" borderId="0" xfId="1" applyFont="1" applyFill="1"/>
    <xf numFmtId="43" fontId="13" fillId="2" borderId="3" xfId="1" applyFont="1" applyFill="1" applyBorder="1"/>
    <xf numFmtId="0" fontId="14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3" fillId="3" borderId="0" xfId="0" applyFont="1" applyFill="1"/>
    <xf numFmtId="43" fontId="13" fillId="3" borderId="0" xfId="1" applyFont="1" applyFill="1"/>
    <xf numFmtId="0" fontId="13" fillId="3" borderId="0" xfId="0" applyFont="1" applyFill="1" applyAlignment="1">
      <alignment horizontal="center"/>
    </xf>
    <xf numFmtId="0" fontId="0" fillId="3" borderId="0" xfId="0" applyFill="1"/>
    <xf numFmtId="43" fontId="13" fillId="0" borderId="0" xfId="0" applyNumberFormat="1" applyFont="1" applyFill="1" applyBorder="1"/>
    <xf numFmtId="43" fontId="22" fillId="0" borderId="0" xfId="0" applyNumberFormat="1" applyFont="1" applyFill="1" applyBorder="1"/>
    <xf numFmtId="43" fontId="13" fillId="0" borderId="0" xfId="1" applyFont="1" applyFill="1" applyBorder="1"/>
    <xf numFmtId="44" fontId="3" fillId="0" borderId="0" xfId="2" applyFont="1" applyFill="1"/>
    <xf numFmtId="17" fontId="12" fillId="0" borderId="1" xfId="2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44" fontId="3" fillId="0" borderId="0" xfId="2" applyFont="1" applyFill="1" applyBorder="1"/>
    <xf numFmtId="44" fontId="3" fillId="0" borderId="2" xfId="2" applyFont="1" applyFill="1" applyBorder="1"/>
    <xf numFmtId="8" fontId="3" fillId="0" borderId="0" xfId="2" applyNumberFormat="1" applyFont="1" applyFill="1"/>
    <xf numFmtId="44" fontId="3" fillId="0" borderId="0" xfId="3" applyNumberFormat="1" applyFont="1" applyFill="1"/>
    <xf numFmtId="44" fontId="3" fillId="0" borderId="3" xfId="2" applyFont="1" applyFill="1" applyBorder="1"/>
    <xf numFmtId="10" fontId="3" fillId="0" borderId="0" xfId="3" applyNumberFormat="1" applyFont="1" applyFill="1" applyBorder="1"/>
    <xf numFmtId="8" fontId="3" fillId="0" borderId="0" xfId="2" applyNumberFormat="1" applyFont="1" applyFill="1" applyBorder="1"/>
    <xf numFmtId="44" fontId="3" fillId="0" borderId="0" xfId="0" applyNumberFormat="1" applyFont="1" applyFill="1" applyBorder="1"/>
    <xf numFmtId="44" fontId="3" fillId="0" borderId="4" xfId="2" applyFont="1" applyFill="1" applyBorder="1"/>
    <xf numFmtId="44" fontId="3" fillId="0" borderId="5" xfId="2" applyFont="1" applyFill="1" applyBorder="1"/>
    <xf numFmtId="44" fontId="3" fillId="0" borderId="7" xfId="2" applyFont="1" applyFill="1" applyBorder="1"/>
    <xf numFmtId="0" fontId="3" fillId="0" borderId="8" xfId="0" applyFont="1" applyFill="1" applyBorder="1"/>
    <xf numFmtId="44" fontId="3" fillId="0" borderId="9" xfId="0" applyNumberFormat="1" applyFont="1" applyFill="1" applyBorder="1"/>
    <xf numFmtId="44" fontId="3" fillId="0" borderId="10" xfId="2" applyFont="1" applyFill="1" applyBorder="1"/>
    <xf numFmtId="0" fontId="3" fillId="0" borderId="9" xfId="0" applyFont="1" applyFill="1" applyBorder="1"/>
    <xf numFmtId="44" fontId="3" fillId="0" borderId="11" xfId="2" applyFont="1" applyFill="1" applyBorder="1"/>
    <xf numFmtId="44" fontId="3" fillId="0" borderId="12" xfId="2" applyFont="1" applyFill="1" applyBorder="1"/>
    <xf numFmtId="0" fontId="3" fillId="0" borderId="13" xfId="0" applyFont="1" applyFill="1" applyBorder="1"/>
    <xf numFmtId="44" fontId="12" fillId="0" borderId="3" xfId="2" applyFont="1" applyFill="1" applyBorder="1"/>
    <xf numFmtId="43" fontId="3" fillId="0" borderId="0" xfId="1" applyFont="1" applyFill="1"/>
    <xf numFmtId="165" fontId="3" fillId="0" borderId="0" xfId="0" applyNumberFormat="1" applyFont="1" applyFill="1"/>
    <xf numFmtId="44" fontId="12" fillId="0" borderId="5" xfId="2" applyFont="1" applyFill="1" applyBorder="1"/>
    <xf numFmtId="44" fontId="12" fillId="0" borderId="3" xfId="0" applyNumberFormat="1" applyFont="1" applyFill="1" applyBorder="1"/>
    <xf numFmtId="44" fontId="3" fillId="0" borderId="0" xfId="0" applyNumberFormat="1" applyFont="1" applyFill="1"/>
    <xf numFmtId="44" fontId="12" fillId="4" borderId="3" xfId="2" applyFont="1" applyFill="1" applyBorder="1"/>
    <xf numFmtId="44" fontId="3" fillId="5" borderId="0" xfId="2" applyFont="1" applyFill="1"/>
    <xf numFmtId="44" fontId="12" fillId="5" borderId="3" xfId="2" applyFont="1" applyFill="1" applyBorder="1"/>
    <xf numFmtId="44" fontId="3" fillId="6" borderId="0" xfId="2" applyFont="1" applyFill="1"/>
    <xf numFmtId="44" fontId="3" fillId="7" borderId="0" xfId="2" applyFont="1" applyFill="1"/>
    <xf numFmtId="43" fontId="22" fillId="4" borderId="3" xfId="0" applyNumberFormat="1" applyFont="1" applyFill="1" applyBorder="1"/>
    <xf numFmtId="0" fontId="13" fillId="0" borderId="0" xfId="0" applyFont="1"/>
    <xf numFmtId="43" fontId="13" fillId="0" borderId="0" xfId="1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3" fontId="14" fillId="0" borderId="0" xfId="1" applyFont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0" xfId="0" applyFont="1"/>
    <xf numFmtId="10" fontId="13" fillId="0" borderId="0" xfId="3" applyNumberFormat="1" applyFont="1" applyAlignment="1">
      <alignment horizontal="center"/>
    </xf>
    <xf numFmtId="43" fontId="13" fillId="0" borderId="0" xfId="0" applyNumberFormat="1" applyFont="1"/>
    <xf numFmtId="43" fontId="13" fillId="0" borderId="0" xfId="1" applyFont="1" applyAlignment="1">
      <alignment horizontal="center"/>
    </xf>
    <xf numFmtId="10" fontId="13" fillId="0" borderId="2" xfId="3" applyNumberFormat="1" applyFont="1" applyBorder="1" applyAlignment="1">
      <alignment horizontal="center"/>
    </xf>
    <xf numFmtId="10" fontId="13" fillId="0" borderId="0" xfId="3" applyNumberFormat="1" applyFont="1" applyBorder="1" applyAlignment="1">
      <alignment horizontal="center"/>
    </xf>
    <xf numFmtId="43" fontId="13" fillId="0" borderId="2" xfId="0" applyNumberFormat="1" applyFont="1" applyBorder="1"/>
    <xf numFmtId="9" fontId="13" fillId="0" borderId="0" xfId="3" applyFont="1" applyAlignment="1">
      <alignment horizontal="center"/>
    </xf>
    <xf numFmtId="43" fontId="13" fillId="0" borderId="14" xfId="0" applyNumberFormat="1" applyFont="1" applyBorder="1"/>
    <xf numFmtId="10" fontId="13" fillId="0" borderId="14" xfId="3" applyNumberFormat="1" applyFont="1" applyBorder="1" applyAlignment="1">
      <alignment horizontal="center"/>
    </xf>
    <xf numFmtId="43" fontId="13" fillId="0" borderId="0" xfId="3" applyNumberFormat="1" applyFont="1" applyAlignment="1">
      <alignment horizontal="center"/>
    </xf>
    <xf numFmtId="10" fontId="13" fillId="0" borderId="0" xfId="1" applyNumberFormat="1" applyFont="1" applyAlignment="1">
      <alignment horizontal="center"/>
    </xf>
    <xf numFmtId="9" fontId="13" fillId="0" borderId="2" xfId="3" applyFont="1" applyBorder="1" applyAlignment="1">
      <alignment horizontal="center"/>
    </xf>
    <xf numFmtId="9" fontId="13" fillId="0" borderId="14" xfId="3" applyFont="1" applyBorder="1" applyAlignment="1">
      <alignment horizontal="center"/>
    </xf>
    <xf numFmtId="0" fontId="22" fillId="0" borderId="0" xfId="0" applyFont="1"/>
    <xf numFmtId="43" fontId="22" fillId="0" borderId="3" xfId="0" applyNumberFormat="1" applyFont="1" applyBorder="1"/>
    <xf numFmtId="43" fontId="22" fillId="0" borderId="5" xfId="0" applyNumberFormat="1" applyFont="1" applyBorder="1"/>
    <xf numFmtId="43" fontId="13" fillId="4" borderId="0" xfId="0" applyNumberFormat="1" applyFont="1" applyFill="1"/>
    <xf numFmtId="43" fontId="21" fillId="0" borderId="0" xfId="0" applyNumberFormat="1" applyFont="1" applyFill="1"/>
    <xf numFmtId="43" fontId="22" fillId="4" borderId="0" xfId="0" applyNumberFormat="1" applyFont="1" applyFill="1"/>
    <xf numFmtId="10" fontId="21" fillId="0" borderId="0" xfId="3" applyNumberFormat="1" applyFont="1" applyFill="1" applyAlignment="1">
      <alignment horizontal="center"/>
    </xf>
    <xf numFmtId="10" fontId="21" fillId="0" borderId="0" xfId="3" applyNumberFormat="1" applyFont="1" applyAlignment="1">
      <alignment horizontal="center"/>
    </xf>
    <xf numFmtId="43" fontId="21" fillId="0" borderId="0" xfId="0" applyNumberFormat="1" applyFont="1"/>
    <xf numFmtId="43" fontId="21" fillId="4" borderId="0" xfId="0" applyNumberFormat="1" applyFont="1" applyFill="1"/>
    <xf numFmtId="43" fontId="21" fillId="0" borderId="2" xfId="0" applyNumberFormat="1" applyFont="1" applyFill="1" applyBorder="1"/>
    <xf numFmtId="43" fontId="21" fillId="4" borderId="2" xfId="0" applyNumberFormat="1" applyFont="1" applyFill="1" applyBorder="1"/>
    <xf numFmtId="43" fontId="21" fillId="0" borderId="3" xfId="0" applyNumberFormat="1" applyFont="1" applyFill="1" applyBorder="1"/>
    <xf numFmtId="43" fontId="13" fillId="0" borderId="3" xfId="0" applyNumberFormat="1" applyFont="1" applyFill="1" applyBorder="1"/>
    <xf numFmtId="0" fontId="15" fillId="0" borderId="0" xfId="0" applyFont="1" applyAlignment="1">
      <alignment horizontal="center" wrapText="1"/>
    </xf>
    <xf numFmtId="1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14" fontId="5" fillId="0" borderId="18" xfId="0" applyNumberFormat="1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14" fontId="5" fillId="0" borderId="19" xfId="0" applyNumberFormat="1" applyFont="1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43" fontId="9" fillId="0" borderId="15" xfId="1" applyFont="1" applyBorder="1" applyAlignment="1">
      <alignment horizontal="center" vertical="center" wrapText="1"/>
    </xf>
    <xf numFmtId="43" fontId="9" fillId="0" borderId="7" xfId="1" applyFont="1" applyBorder="1" applyAlignment="1">
      <alignment horizontal="center" vertical="center" wrapText="1"/>
    </xf>
    <xf numFmtId="43" fontId="9" fillId="0" borderId="8" xfId="1" applyFont="1" applyBorder="1" applyAlignment="1">
      <alignment horizontal="center" vertical="center" wrapText="1"/>
    </xf>
    <xf numFmtId="43" fontId="9" fillId="0" borderId="16" xfId="1" applyFont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 wrapText="1"/>
    </xf>
    <xf numFmtId="43" fontId="9" fillId="0" borderId="9" xfId="1" applyFont="1" applyBorder="1" applyAlignment="1">
      <alignment horizontal="center" vertical="center" wrapText="1"/>
    </xf>
    <xf numFmtId="43" fontId="9" fillId="0" borderId="17" xfId="1" applyFont="1" applyBorder="1" applyAlignment="1">
      <alignment horizontal="center" vertical="center" wrapText="1"/>
    </xf>
    <xf numFmtId="43" fontId="9" fillId="0" borderId="12" xfId="1" applyFont="1" applyBorder="1" applyAlignment="1">
      <alignment horizontal="center" vertical="center" wrapText="1"/>
    </xf>
    <xf numFmtId="43" fontId="9" fillId="0" borderId="13" xfId="1" applyFont="1" applyBorder="1" applyAlignment="1">
      <alignment horizontal="center" vertical="center" wrapText="1"/>
    </xf>
    <xf numFmtId="14" fontId="14" fillId="0" borderId="18" xfId="0" applyNumberFormat="1" applyFont="1" applyBorder="1" applyAlignment="1">
      <alignment horizontal="center"/>
    </xf>
    <xf numFmtId="14" fontId="14" fillId="0" borderId="6" xfId="0" applyNumberFormat="1" applyFont="1" applyBorder="1" applyAlignment="1">
      <alignment horizontal="center"/>
    </xf>
    <xf numFmtId="14" fontId="14" fillId="0" borderId="19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43" fontId="14" fillId="0" borderId="15" xfId="1" applyFont="1" applyBorder="1" applyAlignment="1">
      <alignment horizontal="center" vertical="center" wrapText="1"/>
    </xf>
    <xf numFmtId="43" fontId="14" fillId="0" borderId="7" xfId="1" applyFont="1" applyBorder="1" applyAlignment="1">
      <alignment horizontal="center" vertical="center" wrapText="1"/>
    </xf>
    <xf numFmtId="43" fontId="14" fillId="0" borderId="8" xfId="1" applyFont="1" applyBorder="1" applyAlignment="1">
      <alignment horizontal="center" vertical="center" wrapText="1"/>
    </xf>
    <xf numFmtId="43" fontId="14" fillId="0" borderId="16" xfId="1" applyFont="1" applyBorder="1" applyAlignment="1">
      <alignment horizontal="center" vertical="center" wrapText="1"/>
    </xf>
    <xf numFmtId="43" fontId="14" fillId="0" borderId="0" xfId="1" applyFont="1" applyBorder="1" applyAlignment="1">
      <alignment horizontal="center" vertical="center" wrapText="1"/>
    </xf>
    <xf numFmtId="43" fontId="14" fillId="0" borderId="9" xfId="1" applyFont="1" applyBorder="1" applyAlignment="1">
      <alignment horizontal="center" vertical="center" wrapText="1"/>
    </xf>
    <xf numFmtId="43" fontId="14" fillId="0" borderId="17" xfId="1" applyFont="1" applyBorder="1" applyAlignment="1">
      <alignment horizontal="center" vertical="center" wrapText="1"/>
    </xf>
    <xf numFmtId="43" fontId="14" fillId="0" borderId="12" xfId="1" applyFont="1" applyBorder="1" applyAlignment="1">
      <alignment horizontal="center" vertical="center" wrapText="1"/>
    </xf>
    <xf numFmtId="43" fontId="14" fillId="0" borderId="13" xfId="1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14" fontId="14" fillId="0" borderId="18" xfId="0" applyNumberFormat="1" applyFont="1" applyFill="1" applyBorder="1" applyAlignment="1">
      <alignment horizontal="center"/>
    </xf>
    <xf numFmtId="14" fontId="14" fillId="0" borderId="6" xfId="0" applyNumberFormat="1" applyFont="1" applyFill="1" applyBorder="1" applyAlignment="1">
      <alignment horizontal="center"/>
    </xf>
    <xf numFmtId="14" fontId="14" fillId="0" borderId="19" xfId="0" applyNumberFormat="1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21" xfId="0" applyFont="1" applyFill="1" applyBorder="1" applyAlignment="1">
      <alignment horizontal="center"/>
    </xf>
    <xf numFmtId="0" fontId="14" fillId="0" borderId="22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Published%20Financial%20Reports/Combined%202018/2018%20Combined%20Profit%20&amp;%20Loss%20%20-%20For%20Jan%202018%20-%20Mar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Published%20Financial%20Reports/Combined%202018/2018%20Combined%20Profit%20&amp;%20Loss%20%20-%20October%20(before%20allocations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2016-2018%20Hedge%20Tren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Melt%20Profit%20Summary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tfile.cntofma.local\cntshared\Accting\Rose%20Work\Melt%20Profit%20Summary%20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neil\AppData\Local\Temp\GL_FinancialReport2_624a54c5-0393-4c95-929d-1001582d9a6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YTD 09.30.18 (condensd)"/>
      <sheetName val="Summary YTD 08.31.18"/>
      <sheetName val="Comp Summary YTD 2018-2017 Sept"/>
      <sheetName val="Comp YTD 2018-2017 10.18.18"/>
      <sheetName val="Comp YTD 2018-2017 10.28.18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/>
      <sheetData sheetId="4"/>
      <sheetData sheetId="5">
        <row r="17">
          <cell r="K17">
            <v>2454254.9000000004</v>
          </cell>
        </row>
        <row r="23">
          <cell r="K23">
            <v>278193.64</v>
          </cell>
        </row>
        <row r="29">
          <cell r="K29">
            <v>78047.460000000006</v>
          </cell>
        </row>
        <row r="30">
          <cell r="K30">
            <v>8076.880000000001</v>
          </cell>
        </row>
        <row r="31">
          <cell r="K31">
            <v>28097.99</v>
          </cell>
        </row>
        <row r="32">
          <cell r="K32">
            <v>1952.82</v>
          </cell>
        </row>
        <row r="33">
          <cell r="K33">
            <v>2800</v>
          </cell>
        </row>
        <row r="34">
          <cell r="K34">
            <v>1481.01</v>
          </cell>
        </row>
        <row r="38">
          <cell r="K38">
            <v>337500</v>
          </cell>
        </row>
        <row r="39">
          <cell r="K39">
            <v>62173.06</v>
          </cell>
        </row>
        <row r="40">
          <cell r="K40">
            <v>1350</v>
          </cell>
        </row>
        <row r="41">
          <cell r="K41">
            <v>19724.2</v>
          </cell>
        </row>
        <row r="42">
          <cell r="K42">
            <v>26534.739999999998</v>
          </cell>
        </row>
        <row r="43">
          <cell r="K43">
            <v>47875.950000000012</v>
          </cell>
        </row>
        <row r="44">
          <cell r="K44">
            <v>11805.94</v>
          </cell>
        </row>
        <row r="45">
          <cell r="K45">
            <v>149035.41</v>
          </cell>
        </row>
        <row r="46">
          <cell r="K46">
            <v>187.99</v>
          </cell>
        </row>
        <row r="47">
          <cell r="K47">
            <v>64648.75</v>
          </cell>
        </row>
        <row r="48">
          <cell r="K48">
            <v>3305.3999999999996</v>
          </cell>
        </row>
        <row r="49">
          <cell r="K49">
            <v>94198.39</v>
          </cell>
        </row>
        <row r="50">
          <cell r="K50">
            <v>15061.969999999998</v>
          </cell>
        </row>
        <row r="51">
          <cell r="K51">
            <v>7476.93</v>
          </cell>
        </row>
        <row r="52">
          <cell r="K52">
            <v>6949.9699999999993</v>
          </cell>
        </row>
        <row r="56">
          <cell r="K56">
            <v>1409.28</v>
          </cell>
        </row>
        <row r="57">
          <cell r="K57">
            <v>6558.06</v>
          </cell>
        </row>
        <row r="58">
          <cell r="K58">
            <v>300</v>
          </cell>
        </row>
        <row r="59">
          <cell r="K59">
            <v>5250</v>
          </cell>
        </row>
        <row r="60">
          <cell r="K60">
            <v>-5776.56</v>
          </cell>
        </row>
        <row r="61">
          <cell r="K61">
            <v>41000</v>
          </cell>
        </row>
        <row r="62">
          <cell r="K62">
            <v>20250</v>
          </cell>
        </row>
        <row r="63">
          <cell r="K63">
            <v>6625.0199999999995</v>
          </cell>
        </row>
        <row r="64">
          <cell r="K64">
            <v>449</v>
          </cell>
        </row>
        <row r="65">
          <cell r="K65">
            <v>2477.5</v>
          </cell>
        </row>
        <row r="71">
          <cell r="K71">
            <v>112500</v>
          </cell>
        </row>
        <row r="72">
          <cell r="K72">
            <v>24546.61</v>
          </cell>
        </row>
      </sheetData>
      <sheetData sheetId="6">
        <row r="8">
          <cell r="K8">
            <v>57942545.32</v>
          </cell>
        </row>
        <row r="9">
          <cell r="K9">
            <v>2764026.57</v>
          </cell>
        </row>
        <row r="10">
          <cell r="K10">
            <v>275361.21000000002</v>
          </cell>
        </row>
        <row r="11">
          <cell r="K11">
            <v>21067.5</v>
          </cell>
        </row>
        <row r="12">
          <cell r="K12">
            <v>2039.82</v>
          </cell>
        </row>
        <row r="13">
          <cell r="K13">
            <v>6762</v>
          </cell>
        </row>
        <row r="14">
          <cell r="K14">
            <v>2604868.5</v>
          </cell>
        </row>
        <row r="15">
          <cell r="K15">
            <v>-75072.97</v>
          </cell>
        </row>
        <row r="16">
          <cell r="K16">
            <v>-22111.39</v>
          </cell>
        </row>
        <row r="20">
          <cell r="K20">
            <v>57702041.619999997</v>
          </cell>
        </row>
        <row r="21">
          <cell r="K21">
            <v>2518864.37</v>
          </cell>
        </row>
        <row r="22">
          <cell r="K22">
            <v>256347.83000000002</v>
          </cell>
        </row>
        <row r="23">
          <cell r="K23">
            <v>13142</v>
          </cell>
        </row>
        <row r="24">
          <cell r="K24">
            <v>6762</v>
          </cell>
        </row>
        <row r="25">
          <cell r="K25">
            <v>916.55</v>
          </cell>
        </row>
        <row r="26">
          <cell r="K26">
            <v>329932.41000000003</v>
          </cell>
        </row>
        <row r="27">
          <cell r="K27">
            <v>4338.9400000000005</v>
          </cell>
        </row>
        <row r="28">
          <cell r="K28">
            <v>985</v>
          </cell>
        </row>
        <row r="29">
          <cell r="K29">
            <v>820.8</v>
          </cell>
        </row>
        <row r="30">
          <cell r="K30">
            <v>1.92</v>
          </cell>
        </row>
        <row r="31">
          <cell r="K31">
            <v>3359.51</v>
          </cell>
        </row>
        <row r="32">
          <cell r="K32">
            <v>24.53</v>
          </cell>
        </row>
        <row r="33">
          <cell r="K33">
            <v>-79.010000000000005</v>
          </cell>
        </row>
        <row r="34">
          <cell r="K34">
            <v>1129099.76</v>
          </cell>
        </row>
        <row r="35">
          <cell r="K35">
            <v>728752.58000000007</v>
          </cell>
        </row>
        <row r="42">
          <cell r="K42">
            <v>2719.73</v>
          </cell>
        </row>
        <row r="43">
          <cell r="K43">
            <v>3488.74</v>
          </cell>
        </row>
        <row r="47">
          <cell r="K47">
            <v>7737.42</v>
          </cell>
        </row>
        <row r="48">
          <cell r="K48">
            <v>912.49</v>
          </cell>
        </row>
        <row r="49">
          <cell r="K49">
            <v>5419.07</v>
          </cell>
        </row>
        <row r="50">
          <cell r="K50">
            <v>10103</v>
          </cell>
        </row>
        <row r="51">
          <cell r="K51">
            <v>33750</v>
          </cell>
        </row>
        <row r="52">
          <cell r="K52">
            <v>349.02000000000004</v>
          </cell>
        </row>
        <row r="56">
          <cell r="K56">
            <v>311113.75</v>
          </cell>
        </row>
        <row r="57">
          <cell r="K57">
            <v>49196.87</v>
          </cell>
        </row>
        <row r="58">
          <cell r="K58">
            <v>-9639.16</v>
          </cell>
        </row>
      </sheetData>
      <sheetData sheetId="7">
        <row r="9">
          <cell r="K9">
            <v>1833.2100000000003</v>
          </cell>
        </row>
        <row r="10">
          <cell r="K10">
            <v>109</v>
          </cell>
        </row>
        <row r="11">
          <cell r="K11">
            <v>11250</v>
          </cell>
        </row>
        <row r="12">
          <cell r="K12">
            <v>1422.5100000000002</v>
          </cell>
        </row>
        <row r="16">
          <cell r="K16">
            <v>39725.869999999995</v>
          </cell>
        </row>
        <row r="17">
          <cell r="K17">
            <v>-4702.0200000000004</v>
          </cell>
        </row>
      </sheetData>
      <sheetData sheetId="8">
        <row r="14">
          <cell r="K14">
            <v>547363.97000000009</v>
          </cell>
        </row>
        <row r="18">
          <cell r="K18">
            <v>1648.2199999999998</v>
          </cell>
        </row>
        <row r="24">
          <cell r="K24">
            <v>178573.00999999998</v>
          </cell>
        </row>
        <row r="25">
          <cell r="K25">
            <v>15186.350000000002</v>
          </cell>
        </row>
        <row r="26">
          <cell r="K26">
            <v>44795.31</v>
          </cell>
        </row>
        <row r="27">
          <cell r="K27">
            <v>2753.04</v>
          </cell>
        </row>
        <row r="28">
          <cell r="K28">
            <v>1071.02</v>
          </cell>
        </row>
        <row r="29">
          <cell r="K29">
            <v>4250</v>
          </cell>
        </row>
        <row r="30">
          <cell r="K30">
            <v>1575.55</v>
          </cell>
        </row>
        <row r="31">
          <cell r="K31">
            <v>49730.5</v>
          </cell>
        </row>
        <row r="35">
          <cell r="K35">
            <v>9000</v>
          </cell>
        </row>
        <row r="36">
          <cell r="K36">
            <v>60025.37</v>
          </cell>
        </row>
        <row r="37">
          <cell r="K37">
            <v>5384.5</v>
          </cell>
        </row>
        <row r="38">
          <cell r="K38">
            <v>2032.02</v>
          </cell>
        </row>
        <row r="39">
          <cell r="K39">
            <v>5749.14</v>
          </cell>
        </row>
        <row r="41">
          <cell r="K41">
            <v>2914.58</v>
          </cell>
        </row>
        <row r="42">
          <cell r="K42">
            <v>7078.85</v>
          </cell>
        </row>
        <row r="43">
          <cell r="K43">
            <v>13379.36</v>
          </cell>
        </row>
        <row r="44">
          <cell r="K44">
            <v>486.66999999999996</v>
          </cell>
        </row>
        <row r="46">
          <cell r="K46">
            <v>21818</v>
          </cell>
        </row>
        <row r="47">
          <cell r="K47">
            <v>865</v>
          </cell>
        </row>
        <row r="48">
          <cell r="K48">
            <v>4056.51</v>
          </cell>
        </row>
        <row r="49">
          <cell r="K49">
            <v>1417.5100000000002</v>
          </cell>
        </row>
        <row r="52">
          <cell r="K52">
            <v>84595.9</v>
          </cell>
        </row>
        <row r="54">
          <cell r="K54">
            <v>2372.79</v>
          </cell>
        </row>
        <row r="55">
          <cell r="K55">
            <v>5094.4799999999996</v>
          </cell>
        </row>
        <row r="59">
          <cell r="K59">
            <v>2926.56</v>
          </cell>
        </row>
        <row r="60">
          <cell r="K60">
            <v>2328.1199999999994</v>
          </cell>
        </row>
        <row r="61">
          <cell r="K61">
            <v>3495.7000000000003</v>
          </cell>
        </row>
        <row r="62">
          <cell r="K62">
            <v>2600</v>
          </cell>
        </row>
        <row r="63">
          <cell r="K63">
            <v>1328.0999999999997</v>
          </cell>
        </row>
        <row r="64">
          <cell r="K64">
            <v>10329.9</v>
          </cell>
        </row>
        <row r="65">
          <cell r="K65">
            <v>1068.2</v>
          </cell>
        </row>
        <row r="66">
          <cell r="K66">
            <v>4250</v>
          </cell>
        </row>
        <row r="67">
          <cell r="K67">
            <v>13500</v>
          </cell>
        </row>
        <row r="69">
          <cell r="K69">
            <v>642</v>
          </cell>
        </row>
        <row r="75">
          <cell r="K75">
            <v>45000</v>
          </cell>
        </row>
        <row r="76">
          <cell r="K76">
            <v>4000</v>
          </cell>
        </row>
        <row r="77">
          <cell r="K77">
            <v>1912.98</v>
          </cell>
        </row>
        <row r="78">
          <cell r="K78">
            <v>-32578.850000000002</v>
          </cell>
        </row>
        <row r="79">
          <cell r="K79">
            <v>-54528.39</v>
          </cell>
        </row>
      </sheetData>
      <sheetData sheetId="9">
        <row r="10">
          <cell r="K10">
            <v>520</v>
          </cell>
        </row>
        <row r="11">
          <cell r="K11">
            <v>83261.430000000022</v>
          </cell>
        </row>
        <row r="15">
          <cell r="K15">
            <v>2650</v>
          </cell>
        </row>
        <row r="21">
          <cell r="K21">
            <v>150300</v>
          </cell>
        </row>
        <row r="22">
          <cell r="K22">
            <v>9000</v>
          </cell>
        </row>
        <row r="23">
          <cell r="K23">
            <v>1.01</v>
          </cell>
        </row>
        <row r="24">
          <cell r="K24">
            <v>32578.850000000002</v>
          </cell>
        </row>
        <row r="25">
          <cell r="K25">
            <v>-7748.3700000000008</v>
          </cell>
        </row>
      </sheetData>
      <sheetData sheetId="10">
        <row r="10">
          <cell r="K10">
            <v>520</v>
          </cell>
        </row>
        <row r="11">
          <cell r="K11">
            <v>132232.72</v>
          </cell>
        </row>
        <row r="16">
          <cell r="K16">
            <v>714.47000000000014</v>
          </cell>
        </row>
        <row r="22">
          <cell r="K22">
            <v>75000</v>
          </cell>
        </row>
        <row r="23">
          <cell r="K23">
            <v>67500</v>
          </cell>
        </row>
      </sheetData>
      <sheetData sheetId="11">
        <row r="105">
          <cell r="N105">
            <v>1013208817.6700001</v>
          </cell>
        </row>
        <row r="106">
          <cell r="N106">
            <v>3218361868.5000005</v>
          </cell>
        </row>
        <row r="107">
          <cell r="N107">
            <v>13317101.700000001</v>
          </cell>
        </row>
        <row r="108">
          <cell r="N108">
            <v>11866684.91</v>
          </cell>
        </row>
        <row r="109">
          <cell r="N109">
            <v>1255</v>
          </cell>
        </row>
        <row r="110">
          <cell r="N110">
            <v>193110.94999999998</v>
          </cell>
        </row>
        <row r="111">
          <cell r="N111">
            <v>50000</v>
          </cell>
        </row>
        <row r="112">
          <cell r="N112">
            <v>5236425.9700000007</v>
          </cell>
        </row>
        <row r="113">
          <cell r="N113">
            <v>211305.13</v>
          </cell>
        </row>
        <row r="114">
          <cell r="N114">
            <v>36444.22</v>
          </cell>
        </row>
        <row r="115">
          <cell r="N115">
            <v>259749.38999999998</v>
          </cell>
        </row>
        <row r="116">
          <cell r="N116">
            <v>-25568683.460000001</v>
          </cell>
        </row>
        <row r="117">
          <cell r="N117">
            <v>-122381262.78999999</v>
          </cell>
        </row>
        <row r="118">
          <cell r="N118">
            <v>-35265</v>
          </cell>
        </row>
        <row r="119">
          <cell r="N119">
            <v>-59280</v>
          </cell>
        </row>
        <row r="121">
          <cell r="N121">
            <v>-85</v>
          </cell>
        </row>
        <row r="122">
          <cell r="N122">
            <v>-213695</v>
          </cell>
        </row>
        <row r="123">
          <cell r="N123">
            <v>285400.83</v>
          </cell>
        </row>
        <row r="124">
          <cell r="N124">
            <v>7440</v>
          </cell>
        </row>
        <row r="125">
          <cell r="N125">
            <v>2426505.09</v>
          </cell>
        </row>
        <row r="126">
          <cell r="N126">
            <v>-96720</v>
          </cell>
        </row>
        <row r="129">
          <cell r="N129">
            <v>-28911.440000000002</v>
          </cell>
        </row>
        <row r="131">
          <cell r="N131">
            <v>15588272.5</v>
          </cell>
        </row>
        <row r="132">
          <cell r="N132">
            <v>-6396769.0099999998</v>
          </cell>
        </row>
        <row r="133">
          <cell r="N133">
            <v>-689871.66</v>
          </cell>
        </row>
        <row r="134">
          <cell r="N134">
            <v>-374194.7</v>
          </cell>
        </row>
        <row r="135">
          <cell r="N135">
            <v>-38467.15</v>
          </cell>
        </row>
        <row r="136">
          <cell r="N136">
            <v>990320115.31000006</v>
          </cell>
        </row>
        <row r="137">
          <cell r="N137">
            <v>3112924855.0699997</v>
          </cell>
        </row>
        <row r="138">
          <cell r="N138">
            <v>13204375.640000001</v>
          </cell>
        </row>
        <row r="139">
          <cell r="N139">
            <v>11613521.630000001</v>
          </cell>
        </row>
        <row r="140">
          <cell r="N140">
            <v>738</v>
          </cell>
        </row>
        <row r="141">
          <cell r="N141">
            <v>175151.23</v>
          </cell>
        </row>
        <row r="142">
          <cell r="N142">
            <v>4728939.8099999996</v>
          </cell>
        </row>
        <row r="143">
          <cell r="N143">
            <v>1338975.45</v>
          </cell>
        </row>
        <row r="146">
          <cell r="N146">
            <v>41081.75</v>
          </cell>
        </row>
        <row r="147">
          <cell r="N147">
            <v>1250</v>
          </cell>
        </row>
        <row r="148">
          <cell r="N148">
            <v>357818068.30000001</v>
          </cell>
        </row>
        <row r="149">
          <cell r="N149">
            <v>616117759.00999999</v>
          </cell>
        </row>
        <row r="150">
          <cell r="N150">
            <v>726380</v>
          </cell>
        </row>
        <row r="151">
          <cell r="N151">
            <v>187220</v>
          </cell>
        </row>
        <row r="152">
          <cell r="N152">
            <v>-1799378473.75</v>
          </cell>
        </row>
        <row r="153">
          <cell r="N153">
            <v>-357978055.87</v>
          </cell>
        </row>
        <row r="154">
          <cell r="N154">
            <v>-638035270.60000002</v>
          </cell>
        </row>
        <row r="155">
          <cell r="N155">
            <v>-724515</v>
          </cell>
        </row>
        <row r="156">
          <cell r="N156">
            <v>-188100</v>
          </cell>
        </row>
        <row r="157">
          <cell r="N157">
            <v>1796180895.4899998</v>
          </cell>
        </row>
        <row r="158">
          <cell r="N158">
            <v>2769728099.0300002</v>
          </cell>
        </row>
        <row r="159">
          <cell r="N159">
            <v>6919423.6499999994</v>
          </cell>
        </row>
        <row r="160">
          <cell r="N160">
            <v>2480342.0700000003</v>
          </cell>
        </row>
        <row r="161">
          <cell r="N161">
            <v>328351.67</v>
          </cell>
        </row>
        <row r="162">
          <cell r="N162">
            <v>-705090.34999999986</v>
          </cell>
        </row>
        <row r="163">
          <cell r="N163">
            <v>43549.91</v>
          </cell>
        </row>
        <row r="164">
          <cell r="N164">
            <v>-333866.57999999996</v>
          </cell>
        </row>
        <row r="165">
          <cell r="N165">
            <v>-2762198964.8900003</v>
          </cell>
        </row>
        <row r="166">
          <cell r="N166">
            <v>-3806.86</v>
          </cell>
        </row>
        <row r="167">
          <cell r="N167">
            <v>-7032886.8099999996</v>
          </cell>
        </row>
        <row r="168">
          <cell r="N168">
            <v>1521128.2399999998</v>
          </cell>
        </row>
        <row r="169">
          <cell r="N169">
            <v>-355812.5499999997</v>
          </cell>
        </row>
        <row r="170">
          <cell r="N170">
            <v>141205.01</v>
          </cell>
        </row>
        <row r="171">
          <cell r="N171">
            <v>1236000.5699999998</v>
          </cell>
        </row>
        <row r="172">
          <cell r="N172">
            <v>-2562856.11</v>
          </cell>
        </row>
        <row r="173">
          <cell r="N173">
            <v>800</v>
          </cell>
        </row>
        <row r="174">
          <cell r="N174">
            <v>51203.719999999994</v>
          </cell>
        </row>
        <row r="175">
          <cell r="N175">
            <v>45000</v>
          </cell>
        </row>
        <row r="176">
          <cell r="N176">
            <v>160</v>
          </cell>
        </row>
        <row r="177">
          <cell r="N177">
            <v>190442.64999999997</v>
          </cell>
        </row>
        <row r="178">
          <cell r="N178">
            <v>-16962323.600000001</v>
          </cell>
        </row>
        <row r="179">
          <cell r="N179">
            <v>233857.05000000005</v>
          </cell>
        </row>
        <row r="180">
          <cell r="N180">
            <v>1510</v>
          </cell>
        </row>
        <row r="181">
          <cell r="N181">
            <v>14721.27</v>
          </cell>
        </row>
        <row r="182">
          <cell r="N182">
            <v>135398.03999999998</v>
          </cell>
        </row>
        <row r="183">
          <cell r="N183">
            <v>21475.920000000002</v>
          </cell>
        </row>
        <row r="184">
          <cell r="N184">
            <v>-651.96</v>
          </cell>
        </row>
        <row r="185">
          <cell r="N185">
            <v>794.81</v>
          </cell>
        </row>
        <row r="186">
          <cell r="N186">
            <v>-23985.39</v>
          </cell>
        </row>
        <row r="187">
          <cell r="N187">
            <v>-357.5</v>
          </cell>
        </row>
        <row r="188">
          <cell r="N188">
            <v>173279.05000000002</v>
          </cell>
        </row>
        <row r="189">
          <cell r="N189">
            <v>7364.64</v>
          </cell>
        </row>
        <row r="190">
          <cell r="N190">
            <v>2544359.5</v>
          </cell>
        </row>
        <row r="191">
          <cell r="N191">
            <v>-225192.62000000002</v>
          </cell>
        </row>
        <row r="192">
          <cell r="N192">
            <v>-2577.02</v>
          </cell>
        </row>
        <row r="193">
          <cell r="N193">
            <v>91.300000000000011</v>
          </cell>
        </row>
        <row r="194">
          <cell r="N194">
            <v>-1395.38</v>
          </cell>
        </row>
        <row r="195">
          <cell r="N195">
            <v>168</v>
          </cell>
        </row>
        <row r="199">
          <cell r="N199">
            <v>2797645.5</v>
          </cell>
        </row>
        <row r="201">
          <cell r="N201">
            <v>26017</v>
          </cell>
        </row>
        <row r="202">
          <cell r="N202">
            <v>234558.68999999997</v>
          </cell>
        </row>
        <row r="203">
          <cell r="N203">
            <v>241692.67</v>
          </cell>
        </row>
        <row r="204">
          <cell r="N204">
            <v>36031.53</v>
          </cell>
        </row>
        <row r="205">
          <cell r="N205">
            <v>80235</v>
          </cell>
        </row>
        <row r="206">
          <cell r="N206">
            <v>2216</v>
          </cell>
        </row>
        <row r="207">
          <cell r="N207">
            <v>10361.039999999999</v>
          </cell>
        </row>
        <row r="208">
          <cell r="N208">
            <v>3680</v>
          </cell>
        </row>
        <row r="209">
          <cell r="N209">
            <v>3061.74</v>
          </cell>
        </row>
        <row r="212">
          <cell r="N212">
            <v>12500</v>
          </cell>
        </row>
        <row r="213">
          <cell r="N213">
            <v>307800</v>
          </cell>
        </row>
        <row r="214">
          <cell r="N214">
            <v>893.98000000000138</v>
          </cell>
        </row>
        <row r="215">
          <cell r="N215">
            <v>8811.7099999999991</v>
          </cell>
        </row>
        <row r="216">
          <cell r="N216">
            <v>579.03</v>
          </cell>
        </row>
        <row r="217">
          <cell r="N217">
            <v>178.45</v>
          </cell>
        </row>
        <row r="218">
          <cell r="N218">
            <v>19715</v>
          </cell>
        </row>
        <row r="219">
          <cell r="N219">
            <v>88634.18</v>
          </cell>
        </row>
        <row r="220">
          <cell r="N220">
            <v>79598.200000000012</v>
          </cell>
        </row>
        <row r="221">
          <cell r="N221">
            <v>33500</v>
          </cell>
        </row>
        <row r="222">
          <cell r="N222">
            <v>45578.289999999994</v>
          </cell>
        </row>
        <row r="223">
          <cell r="N223">
            <v>9093.4</v>
          </cell>
        </row>
        <row r="224">
          <cell r="N224">
            <v>7006.41</v>
          </cell>
        </row>
        <row r="225">
          <cell r="N225">
            <v>2999.97</v>
          </cell>
        </row>
        <row r="226">
          <cell r="N226">
            <v>773518.97</v>
          </cell>
        </row>
        <row r="227">
          <cell r="N227">
            <v>13428.419999999998</v>
          </cell>
        </row>
        <row r="228">
          <cell r="N228">
            <v>2340</v>
          </cell>
        </row>
        <row r="229">
          <cell r="N229">
            <v>356742.88</v>
          </cell>
        </row>
        <row r="230">
          <cell r="N230">
            <v>67500</v>
          </cell>
        </row>
        <row r="233">
          <cell r="N233">
            <v>4500</v>
          </cell>
        </row>
        <row r="234">
          <cell r="N234">
            <v>45648.72</v>
          </cell>
        </row>
        <row r="235">
          <cell r="N235">
            <v>8050.6</v>
          </cell>
        </row>
        <row r="236">
          <cell r="N236">
            <v>91089.459999999992</v>
          </cell>
        </row>
        <row r="237">
          <cell r="N237">
            <v>543.67999999999995</v>
          </cell>
        </row>
        <row r="238">
          <cell r="N238">
            <v>3820.81</v>
          </cell>
        </row>
        <row r="242">
          <cell r="N242">
            <v>39146.030000000006</v>
          </cell>
        </row>
        <row r="243">
          <cell r="N243">
            <v>397.63</v>
          </cell>
        </row>
        <row r="244">
          <cell r="N244">
            <v>15330.22</v>
          </cell>
        </row>
        <row r="245">
          <cell r="N245">
            <v>1268.68</v>
          </cell>
        </row>
        <row r="246">
          <cell r="N246">
            <v>27536.76</v>
          </cell>
        </row>
        <row r="247">
          <cell r="N247">
            <v>25516.5</v>
          </cell>
        </row>
        <row r="248">
          <cell r="N248">
            <v>118039.79999999999</v>
          </cell>
        </row>
        <row r="249">
          <cell r="N249">
            <v>24026.59</v>
          </cell>
        </row>
        <row r="250">
          <cell r="N250">
            <v>17435.02</v>
          </cell>
        </row>
        <row r="251">
          <cell r="N251">
            <v>4592.21</v>
          </cell>
        </row>
        <row r="252">
          <cell r="N252">
            <v>17950.280000000002</v>
          </cell>
        </row>
        <row r="253">
          <cell r="N253">
            <v>26546.309999999998</v>
          </cell>
        </row>
        <row r="254">
          <cell r="N254">
            <v>13105.57</v>
          </cell>
        </row>
        <row r="255">
          <cell r="N255">
            <v>53753.43</v>
          </cell>
        </row>
        <row r="256">
          <cell r="N256">
            <v>261714.28000000003</v>
          </cell>
        </row>
        <row r="257">
          <cell r="N257">
            <v>68000</v>
          </cell>
        </row>
        <row r="258">
          <cell r="N258">
            <v>39352.5</v>
          </cell>
        </row>
        <row r="259">
          <cell r="N259">
            <v>1663</v>
          </cell>
        </row>
        <row r="260">
          <cell r="N260">
            <v>386.71</v>
          </cell>
        </row>
        <row r="261">
          <cell r="G261">
            <v>573.52</v>
          </cell>
        </row>
        <row r="262">
          <cell r="N262">
            <v>7699.87</v>
          </cell>
        </row>
        <row r="266">
          <cell r="N266">
            <v>112500</v>
          </cell>
        </row>
        <row r="267">
          <cell r="N267">
            <v>311113.75</v>
          </cell>
        </row>
        <row r="268">
          <cell r="N268">
            <v>49196.87</v>
          </cell>
        </row>
        <row r="269">
          <cell r="N269">
            <v>154224.38999999998</v>
          </cell>
        </row>
        <row r="270">
          <cell r="N270">
            <v>183407.18</v>
          </cell>
        </row>
        <row r="271">
          <cell r="N271">
            <v>-137770.54999999999</v>
          </cell>
        </row>
        <row r="272">
          <cell r="N272">
            <v>49.6</v>
          </cell>
        </row>
        <row r="273">
          <cell r="N273">
            <v>25869.809999999998</v>
          </cell>
        </row>
        <row r="274">
          <cell r="N274">
            <v>5035.16</v>
          </cell>
        </row>
        <row r="275">
          <cell r="N275">
            <v>22084.030000000002</v>
          </cell>
        </row>
        <row r="276">
          <cell r="N276">
            <v>25430.999999999996</v>
          </cell>
        </row>
        <row r="277">
          <cell r="N277">
            <v>3098.28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YTD 10.31.18 (condensd)"/>
      <sheetName val="Summary YTD 10.31.18"/>
      <sheetName val="Comp Summary YTD 2018-2017 Oct"/>
      <sheetName val="Comp YTD 2018-2017 Oct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24">
          <cell r="K224">
            <v>1547.72</v>
          </cell>
        </row>
        <row r="246">
          <cell r="K246">
            <v>1749.68</v>
          </cell>
        </row>
        <row r="250">
          <cell r="K250">
            <v>1991.67</v>
          </cell>
        </row>
        <row r="257">
          <cell r="K257">
            <v>7500</v>
          </cell>
        </row>
        <row r="260">
          <cell r="K260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2017-2018"/>
      <sheetName val="Dec 2018"/>
      <sheetName val="Nov 2018"/>
      <sheetName val="Oct 2018"/>
      <sheetName val="Sept 2018"/>
      <sheetName val="August 2018"/>
      <sheetName val="July 2018"/>
      <sheetName val="June 2018"/>
      <sheetName val="May 2018"/>
      <sheetName val="April 2018"/>
      <sheetName val="March 2018"/>
      <sheetName val="Feb 2018"/>
      <sheetName val="Jan 2018"/>
      <sheetName val="Comparison 2016-2017"/>
      <sheetName val="Dec 15"/>
      <sheetName val="Nov 15"/>
      <sheetName val="Oct 15"/>
      <sheetName val="Sep 15"/>
      <sheetName val="Aug 15"/>
      <sheetName val="Jul 15"/>
      <sheetName val="Jun 15"/>
      <sheetName val="May 15"/>
      <sheetName val="Apr 15"/>
      <sheetName val="Mar 15"/>
      <sheetName val="Dec 17"/>
      <sheetName val="Nov 17"/>
      <sheetName val="October 17"/>
      <sheetName val="Sept 17 "/>
      <sheetName val="August 17"/>
      <sheetName val="July 17"/>
      <sheetName val="June 17"/>
      <sheetName val="May 17"/>
      <sheetName val="April 17"/>
      <sheetName val="March 17"/>
      <sheetName val="Feb 17"/>
      <sheetName val="Jan 17"/>
      <sheetName val="Dec 16"/>
      <sheetName val="Nov 16"/>
      <sheetName val="Oct 16"/>
      <sheetName val="Sept 16"/>
      <sheetName val="Aug 16"/>
      <sheetName val="July 16"/>
      <sheetName val="June 16"/>
      <sheetName val="May 16"/>
      <sheetName val="April 16"/>
      <sheetName val="March 16"/>
      <sheetName val="Feb 16"/>
      <sheetName val="Jan 16"/>
    </sheetNames>
    <sheetDataSet>
      <sheetData sheetId="0">
        <row r="30">
          <cell r="G30">
            <v>885928.51408513961</v>
          </cell>
        </row>
        <row r="54">
          <cell r="G54">
            <v>681928.29401690571</v>
          </cell>
        </row>
        <row r="80">
          <cell r="G80">
            <v>674363.71418699983</v>
          </cell>
        </row>
        <row r="105">
          <cell r="G105">
            <v>655611.34502510389</v>
          </cell>
        </row>
        <row r="155">
          <cell r="G155">
            <v>704133.82690028625</v>
          </cell>
        </row>
        <row r="181">
          <cell r="G181">
            <v>515101.24188355304</v>
          </cell>
        </row>
        <row r="207">
          <cell r="G207">
            <v>680756.08379218809</v>
          </cell>
        </row>
        <row r="232">
          <cell r="G232">
            <v>640882.53297928849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>
        <row r="6">
          <cell r="B6">
            <v>51934.229999999996</v>
          </cell>
        </row>
      </sheetData>
      <sheetData sheetId="1"/>
      <sheetData sheetId="2"/>
      <sheetData sheetId="3">
        <row r="35">
          <cell r="B35">
            <v>90332.26999999999</v>
          </cell>
        </row>
      </sheetData>
      <sheetData sheetId="4">
        <row r="35">
          <cell r="B35">
            <v>42087.81</v>
          </cell>
        </row>
      </sheetData>
      <sheetData sheetId="5"/>
      <sheetData sheetId="6">
        <row r="35">
          <cell r="B35">
            <v>6099.46</v>
          </cell>
        </row>
      </sheetData>
      <sheetData sheetId="7">
        <row r="35">
          <cell r="B35">
            <v>91429.33</v>
          </cell>
        </row>
      </sheetData>
      <sheetData sheetId="8">
        <row r="35">
          <cell r="B35">
            <v>25335.02</v>
          </cell>
        </row>
      </sheetData>
      <sheetData sheetId="9">
        <row r="35">
          <cell r="B35">
            <v>17267.59</v>
          </cell>
        </row>
      </sheetData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 refreshError="1"/>
      <sheetData sheetId="1" refreshError="1"/>
      <sheetData sheetId="2">
        <row r="35">
          <cell r="B35">
            <v>36189.82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94">
          <cell r="R94">
            <v>332968.82</v>
          </cell>
        </row>
        <row r="95">
          <cell r="R95">
            <v>4088</v>
          </cell>
        </row>
        <row r="96">
          <cell r="R96">
            <v>24572.799999999999</v>
          </cell>
        </row>
        <row r="97">
          <cell r="R97">
            <v>26044.41</v>
          </cell>
        </row>
        <row r="98">
          <cell r="R98">
            <v>4559.01</v>
          </cell>
        </row>
        <row r="99">
          <cell r="R99">
            <v>8600</v>
          </cell>
        </row>
        <row r="100">
          <cell r="R100">
            <v>1600</v>
          </cell>
        </row>
        <row r="101">
          <cell r="R101">
            <v>1388.91</v>
          </cell>
        </row>
        <row r="102">
          <cell r="R102">
            <v>0</v>
          </cell>
        </row>
        <row r="103">
          <cell r="R103">
            <v>1732.26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2"/>
  <sheetViews>
    <sheetView zoomScaleNormal="100" workbookViewId="0">
      <pane ySplit="6" topLeftCell="A52" activePane="bottomLeft" state="frozen"/>
      <selection activeCell="D13" sqref="D13"/>
      <selection pane="bottomLeft" activeCell="D13" sqref="D13"/>
    </sheetView>
  </sheetViews>
  <sheetFormatPr defaultRowHeight="15" x14ac:dyDescent="0.25"/>
  <cols>
    <col min="1" max="1" width="47" bestFit="1" customWidth="1"/>
    <col min="2" max="2" width="23.42578125" style="12" bestFit="1" customWidth="1"/>
    <col min="3" max="3" width="19.7109375" style="12" bestFit="1" customWidth="1"/>
    <col min="4" max="8" width="18.7109375" style="12" customWidth="1"/>
    <col min="9" max="9" width="23.42578125" style="12" bestFit="1" customWidth="1"/>
    <col min="12" max="12" width="16.85546875" style="5" bestFit="1" customWidth="1"/>
  </cols>
  <sheetData>
    <row r="1" spans="1:12" ht="26.25" x14ac:dyDescent="0.4">
      <c r="A1" s="197" t="s">
        <v>330</v>
      </c>
      <c r="B1" s="197"/>
      <c r="C1" s="197"/>
      <c r="D1" s="197"/>
      <c r="E1" s="197"/>
      <c r="F1" s="197"/>
      <c r="G1" s="197"/>
      <c r="H1" s="197"/>
      <c r="I1" s="197"/>
    </row>
    <row r="2" spans="1:12" ht="26.25" x14ac:dyDescent="0.4">
      <c r="A2" s="197" t="s">
        <v>329</v>
      </c>
      <c r="B2" s="197"/>
      <c r="C2" s="197"/>
      <c r="D2" s="197"/>
      <c r="E2" s="197"/>
      <c r="F2" s="197"/>
      <c r="G2" s="197"/>
      <c r="H2" s="197"/>
      <c r="I2" s="197"/>
    </row>
    <row r="3" spans="1:12" ht="26.25" x14ac:dyDescent="0.4">
      <c r="A3" s="197" t="s">
        <v>265</v>
      </c>
      <c r="B3" s="197"/>
      <c r="C3" s="197"/>
      <c r="D3" s="197"/>
      <c r="E3" s="197"/>
      <c r="F3" s="197"/>
      <c r="G3" s="197"/>
      <c r="H3" s="197"/>
      <c r="I3" s="197"/>
    </row>
    <row r="4" spans="1:12" ht="26.25" x14ac:dyDescent="0.4">
      <c r="A4" s="198">
        <v>43465</v>
      </c>
      <c r="B4" s="199"/>
      <c r="C4" s="199"/>
      <c r="D4" s="199"/>
      <c r="E4" s="199"/>
      <c r="F4" s="199"/>
      <c r="G4" s="199"/>
      <c r="H4" s="199"/>
      <c r="I4" s="199"/>
    </row>
    <row r="6" spans="1:12" s="44" customFormat="1" ht="30" customHeight="1" x14ac:dyDescent="0.3">
      <c r="B6" s="45" t="s">
        <v>212</v>
      </c>
      <c r="C6" s="45" t="s">
        <v>214</v>
      </c>
      <c r="D6" s="45" t="s">
        <v>213</v>
      </c>
      <c r="E6" s="45" t="s">
        <v>215</v>
      </c>
      <c r="F6" s="45" t="s">
        <v>216</v>
      </c>
      <c r="G6" s="45" t="s">
        <v>408</v>
      </c>
      <c r="H6" s="45" t="s">
        <v>419</v>
      </c>
      <c r="I6" s="45" t="s">
        <v>207</v>
      </c>
      <c r="L6" s="46"/>
    </row>
    <row r="7" spans="1:12" s="44" customFormat="1" ht="39.950000000000003" customHeight="1" x14ac:dyDescent="0.3">
      <c r="A7" s="47" t="s">
        <v>62</v>
      </c>
      <c r="B7" s="49">
        <f>'Comp Summary YTD 2018-2017 Dec'!B21</f>
        <v>2678192192.04</v>
      </c>
      <c r="C7" s="49">
        <f>'Comp Summary YTD 2018-2017 Dec'!C21</f>
        <v>30848650.639999997</v>
      </c>
      <c r="D7" s="49">
        <f>'Comp Summary YTD 2018-2017 Dec'!D21</f>
        <v>910323.34</v>
      </c>
      <c r="E7" s="49">
        <f>'Comp Summary YTD 2018-2017 Dec'!E21</f>
        <v>0</v>
      </c>
      <c r="F7" s="49">
        <f>'Comp Summary YTD 2018-2017 Dec'!F21</f>
        <v>505677.55000000005</v>
      </c>
      <c r="G7" s="49">
        <f>'Comp Summary YTD 2018-2017 Dec'!G21</f>
        <v>0</v>
      </c>
      <c r="H7" s="49">
        <f>'Comp Summary YTD 2018-2017 Dec'!H21</f>
        <v>0</v>
      </c>
      <c r="I7" s="49">
        <f>SUM(B7:H7)</f>
        <v>2710456843.5700002</v>
      </c>
      <c r="L7" s="46"/>
    </row>
    <row r="8" spans="1:12" s="44" customFormat="1" ht="39.950000000000003" customHeight="1" x14ac:dyDescent="0.3">
      <c r="B8" s="62"/>
      <c r="C8" s="62"/>
      <c r="D8" s="62"/>
      <c r="E8" s="62"/>
      <c r="F8" s="62"/>
      <c r="G8" s="62"/>
      <c r="H8" s="62"/>
      <c r="I8" s="62"/>
      <c r="L8" s="46"/>
    </row>
    <row r="9" spans="1:12" s="44" customFormat="1" ht="39.950000000000003" customHeight="1" x14ac:dyDescent="0.3">
      <c r="A9" s="47" t="s">
        <v>224</v>
      </c>
      <c r="B9" s="61">
        <f>'Comp Summary YTD 2018-2017 Dec'!B25</f>
        <v>2675236028.5000005</v>
      </c>
      <c r="C9" s="61">
        <f>'Comp Summary YTD 2018-2017 Dec'!C25</f>
        <v>30437032.460000001</v>
      </c>
      <c r="D9" s="61">
        <f>'Comp Summary YTD 2018-2017 Dec'!D25</f>
        <v>105681.95</v>
      </c>
      <c r="E9" s="61">
        <f>'Comp Summary YTD 2018-2017 Dec'!E25</f>
        <v>0</v>
      </c>
      <c r="F9" s="61">
        <f>'Comp Summary YTD 2018-2017 Dec'!F25</f>
        <v>1068.5899999999999</v>
      </c>
      <c r="G9" s="61">
        <f>'Comp Summary YTD 2018-2017 Dec'!G25</f>
        <v>0</v>
      </c>
      <c r="H9" s="61">
        <f>'Comp Summary YTD 2018-2017 Dec'!H25</f>
        <v>0</v>
      </c>
      <c r="I9" s="61">
        <f>SUM(B9:H9)</f>
        <v>2705779811.5000005</v>
      </c>
      <c r="L9" s="46"/>
    </row>
    <row r="10" spans="1:12" s="44" customFormat="1" ht="39.950000000000003" customHeight="1" x14ac:dyDescent="0.3">
      <c r="B10" s="48"/>
      <c r="C10" s="48"/>
      <c r="D10" s="48"/>
      <c r="E10" s="48"/>
      <c r="F10" s="48"/>
      <c r="G10" s="48"/>
      <c r="H10" s="48"/>
      <c r="I10" s="48"/>
      <c r="L10" s="46"/>
    </row>
    <row r="11" spans="1:12" s="44" customFormat="1" ht="39.950000000000003" customHeight="1" thickBot="1" x14ac:dyDescent="0.35">
      <c r="A11" s="47" t="s">
        <v>211</v>
      </c>
      <c r="B11" s="50">
        <f t="shared" ref="B11:H11" si="0">B7-B9</f>
        <v>2956163.539999485</v>
      </c>
      <c r="C11" s="50">
        <f t="shared" si="0"/>
        <v>411618.17999999598</v>
      </c>
      <c r="D11" s="50">
        <f t="shared" si="0"/>
        <v>804641.39</v>
      </c>
      <c r="E11" s="50">
        <f t="shared" si="0"/>
        <v>0</v>
      </c>
      <c r="F11" s="50">
        <f t="shared" si="0"/>
        <v>504608.96</v>
      </c>
      <c r="G11" s="50">
        <f>G7-G9</f>
        <v>0</v>
      </c>
      <c r="H11" s="50">
        <f t="shared" si="0"/>
        <v>0</v>
      </c>
      <c r="I11" s="50">
        <f>SUM(B11:H11)</f>
        <v>4677032.0699994816</v>
      </c>
      <c r="L11" s="46"/>
    </row>
    <row r="12" spans="1:12" s="44" customFormat="1" ht="30" customHeight="1" x14ac:dyDescent="0.3">
      <c r="B12" s="48"/>
      <c r="C12" s="48"/>
      <c r="D12" s="48"/>
      <c r="E12" s="48"/>
      <c r="F12" s="48"/>
      <c r="G12" s="48"/>
      <c r="H12" s="48"/>
      <c r="I12" s="48"/>
      <c r="L12" s="46"/>
    </row>
    <row r="13" spans="1:12" s="44" customFormat="1" ht="30" customHeight="1" x14ac:dyDescent="0.3">
      <c r="A13" s="47" t="s">
        <v>209</v>
      </c>
      <c r="B13" s="48"/>
      <c r="C13" s="48"/>
      <c r="D13" s="48"/>
      <c r="E13" s="48"/>
      <c r="F13" s="48"/>
      <c r="G13" s="48"/>
      <c r="H13" s="48"/>
      <c r="I13" s="48"/>
      <c r="L13" s="46"/>
    </row>
    <row r="14" spans="1:12" s="44" customFormat="1" ht="30" customHeight="1" x14ac:dyDescent="0.3">
      <c r="B14" s="48"/>
      <c r="C14" s="48"/>
      <c r="D14" s="48"/>
      <c r="E14" s="48"/>
      <c r="F14" s="48"/>
      <c r="G14" s="48"/>
      <c r="H14" s="48"/>
      <c r="I14" s="48"/>
      <c r="L14" s="46"/>
    </row>
    <row r="15" spans="1:12" s="44" customFormat="1" ht="30" customHeight="1" x14ac:dyDescent="0.3">
      <c r="A15" s="47" t="s">
        <v>225</v>
      </c>
      <c r="B15" s="48"/>
      <c r="C15" s="48"/>
      <c r="D15" s="48"/>
      <c r="E15" s="48"/>
      <c r="F15" s="48"/>
      <c r="G15" s="48"/>
      <c r="H15" s="48"/>
      <c r="I15" s="48"/>
      <c r="L15" s="46"/>
    </row>
    <row r="16" spans="1:12" s="44" customFormat="1" ht="30" customHeight="1" x14ac:dyDescent="0.3">
      <c r="A16" s="44" t="s">
        <v>226</v>
      </c>
      <c r="B16" s="48">
        <f>'Summary YTD 12.31.18'!B32+'Comp YTD 2018-2017 Dec'!B38</f>
        <v>971318.65000000014</v>
      </c>
      <c r="C16" s="48">
        <f>'Summary YTD 12.31.18'!C32</f>
        <v>0</v>
      </c>
      <c r="D16" s="48">
        <f>'Summary YTD 12.31.18'!D32</f>
        <v>42790.85</v>
      </c>
      <c r="E16" s="48">
        <f>'Summary YTD 12.31.18'!E32</f>
        <v>0</v>
      </c>
      <c r="F16" s="48">
        <f>'Summary YTD 12.31.18'!F32+'Comp YTD 2018-2017 Dec'!F38</f>
        <v>158138.38999999998</v>
      </c>
      <c r="G16" s="48">
        <f>'Summary YTD 12.31.18'!G32</f>
        <v>0</v>
      </c>
      <c r="H16" s="48">
        <f>'Summary YTD 12.31.18'!H32</f>
        <v>0</v>
      </c>
      <c r="I16" s="48">
        <f>SUM(B16:H16)</f>
        <v>1172247.8900000001</v>
      </c>
      <c r="L16" s="46"/>
    </row>
    <row r="17" spans="1:12" s="44" customFormat="1" ht="30" customHeight="1" x14ac:dyDescent="0.3">
      <c r="A17" s="44" t="s">
        <v>228</v>
      </c>
      <c r="B17" s="48">
        <f>'Summary YTD 12.31.18'!B35</f>
        <v>95404.549999999988</v>
      </c>
      <c r="C17" s="48">
        <f>'Summary YTD 12.31.18'!C35</f>
        <v>0</v>
      </c>
      <c r="D17" s="48">
        <f>'Summary YTD 12.31.18'!D35</f>
        <v>5394.6100000000006</v>
      </c>
      <c r="E17" s="48">
        <f>'Summary YTD 12.31.18'!E35</f>
        <v>0</v>
      </c>
      <c r="F17" s="48">
        <f>'Summary YTD 12.31.18'!F35</f>
        <v>10395.460000000001</v>
      </c>
      <c r="G17" s="48">
        <f>'Summary YTD 12.31.18'!G35</f>
        <v>0</v>
      </c>
      <c r="H17" s="48">
        <f>'Summary YTD 12.31.18'!H35</f>
        <v>0</v>
      </c>
      <c r="I17" s="48">
        <f>SUM(B17:H17)</f>
        <v>111194.62</v>
      </c>
      <c r="L17" s="46"/>
    </row>
    <row r="18" spans="1:12" s="44" customFormat="1" ht="30" customHeight="1" x14ac:dyDescent="0.3">
      <c r="A18" s="44" t="s">
        <v>460</v>
      </c>
      <c r="B18" s="48">
        <f>'Summary YTD 12.31.18'!B34+'Summary YTD 12.31.18'!B36+'Summary YTD 12.31.18'!B37+'Summary YTD 12.31.18'!B38+'Summary YTD 12.31.18'!B39+'Summary YTD 12.31.18'!B40+'Summary YTD 12.31.18'!B41</f>
        <v>183432.04000000004</v>
      </c>
      <c r="C18" s="48">
        <f>'Summary YTD 12.31.18'!C34+'Summary YTD 12.31.18'!C36+'Summary YTD 12.31.18'!C37+'Summary YTD 12.31.18'!C38+'Summary YTD 12.31.18'!C39+'Summary YTD 12.31.18'!C40+'Summary YTD 12.31.18'!C41</f>
        <v>0</v>
      </c>
      <c r="D18" s="48">
        <f>'Summary YTD 12.31.18'!D34+'Summary YTD 12.31.18'!D36+'Summary YTD 12.31.18'!D37+'Summary YTD 12.31.18'!D38+'Summary YTD 12.31.18'!D39+'Summary YTD 12.31.18'!D40+'Summary YTD 12.31.18'!D41</f>
        <v>19604.18</v>
      </c>
      <c r="E18" s="48">
        <f>'Summary YTD 12.31.18'!E34+'Summary YTD 12.31.18'!E36+'Summary YTD 12.31.18'!E37+'Summary YTD 12.31.18'!E38+'Summary YTD 12.31.18'!E39+'Summary YTD 12.31.18'!E40+'Summary YTD 12.31.18'!E41</f>
        <v>0</v>
      </c>
      <c r="F18" s="48">
        <f>'Summary YTD 12.31.18'!F34+'Summary YTD 12.31.18'!F36+'Summary YTD 12.31.18'!F37+'Summary YTD 12.31.18'!F38+'Summary YTD 12.31.18'!F39+'Summary YTD 12.31.18'!F40+'Summary YTD 12.31.18'!F41</f>
        <v>30452.87</v>
      </c>
      <c r="G18" s="48">
        <v>0</v>
      </c>
      <c r="H18" s="48">
        <f>'BSC (Dome)'!O24</f>
        <v>0</v>
      </c>
      <c r="I18" s="48">
        <f>SUM(B18:H18)</f>
        <v>233489.09000000003</v>
      </c>
      <c r="L18" s="46"/>
    </row>
    <row r="19" spans="1:12" s="44" customFormat="1" ht="30" customHeight="1" x14ac:dyDescent="0.3">
      <c r="A19" s="47" t="s">
        <v>233</v>
      </c>
      <c r="B19" s="49">
        <f t="shared" ref="B19:H19" si="1">SUM(B16:B18)</f>
        <v>1250155.2400000002</v>
      </c>
      <c r="C19" s="49">
        <f t="shared" si="1"/>
        <v>0</v>
      </c>
      <c r="D19" s="49">
        <f t="shared" si="1"/>
        <v>67789.64</v>
      </c>
      <c r="E19" s="49">
        <f t="shared" si="1"/>
        <v>0</v>
      </c>
      <c r="F19" s="49">
        <f t="shared" si="1"/>
        <v>198986.71999999997</v>
      </c>
      <c r="G19" s="49">
        <f t="shared" si="1"/>
        <v>0</v>
      </c>
      <c r="H19" s="49">
        <f t="shared" si="1"/>
        <v>0</v>
      </c>
      <c r="I19" s="49">
        <f>SUM(B19:H19)</f>
        <v>1516931.6</v>
      </c>
      <c r="L19" s="46"/>
    </row>
    <row r="20" spans="1:12" s="44" customFormat="1" ht="30" customHeight="1" x14ac:dyDescent="0.3">
      <c r="B20" s="48"/>
      <c r="C20" s="48"/>
      <c r="D20" s="48"/>
      <c r="E20" s="48"/>
      <c r="F20" s="48"/>
      <c r="G20" s="48"/>
      <c r="H20" s="48"/>
      <c r="I20" s="48"/>
      <c r="L20" s="46"/>
    </row>
    <row r="21" spans="1:12" s="44" customFormat="1" ht="30" customHeight="1" x14ac:dyDescent="0.3">
      <c r="A21" s="47" t="s">
        <v>486</v>
      </c>
      <c r="B21" s="48"/>
      <c r="C21" s="48"/>
      <c r="D21" s="48"/>
      <c r="E21" s="48"/>
      <c r="F21" s="48"/>
      <c r="G21" s="48"/>
      <c r="H21" s="48"/>
      <c r="I21" s="48"/>
      <c r="L21" s="46"/>
    </row>
    <row r="22" spans="1:12" s="44" customFormat="1" ht="30" customHeight="1" x14ac:dyDescent="0.3">
      <c r="A22" s="44" t="s">
        <v>234</v>
      </c>
      <c r="B22" s="48">
        <f>'Summary YTD 12.31.18'!B45</f>
        <v>171000</v>
      </c>
      <c r="C22" s="48">
        <f>'Summary YTD 12.31.18'!C45</f>
        <v>0</v>
      </c>
      <c r="D22" s="48">
        <f>'Summary YTD 12.31.18'!D45</f>
        <v>187500</v>
      </c>
      <c r="E22" s="48">
        <f>'Summary YTD 12.31.18'!E45</f>
        <v>0</v>
      </c>
      <c r="F22" s="48">
        <f>'Summary YTD 12.31.18'!F45</f>
        <v>5000</v>
      </c>
      <c r="G22" s="48">
        <f>'Summary YTD 12.31.18'!G45</f>
        <v>0</v>
      </c>
      <c r="H22" s="48">
        <f>'Summary YTD 12.31.18'!H45</f>
        <v>0</v>
      </c>
      <c r="I22" s="48">
        <f>SUM(B22:H22)</f>
        <v>363500</v>
      </c>
      <c r="L22" s="46"/>
    </row>
    <row r="23" spans="1:12" s="44" customFormat="1" ht="30" customHeight="1" x14ac:dyDescent="0.3">
      <c r="A23" s="44" t="s">
        <v>289</v>
      </c>
      <c r="B23" s="48">
        <f>'Summary YTD 12.31.18'!B46+'Summary YTD 12.31.18'!B47+'Summary YTD 12.31.18'!B48</f>
        <v>24939.360000000001</v>
      </c>
      <c r="C23" s="48">
        <f>'Summary YTD 12.31.18'!C46+'Summary YTD 12.31.18'!C47+'Summary YTD 12.31.18'!C48</f>
        <v>0</v>
      </c>
      <c r="D23" s="48">
        <f>'Summary YTD 12.31.18'!D46+'Summary YTD 12.31.18'!D47+'Summary YTD 12.31.18'!D48</f>
        <v>33450.199999999997</v>
      </c>
      <c r="E23" s="48">
        <f>'Summary YTD 12.31.18'!E46+'Summary YTD 12.31.18'!E47+'Summary YTD 12.31.18'!E48</f>
        <v>0</v>
      </c>
      <c r="F23" s="48">
        <f>'Summary YTD 12.31.18'!F46+'Summary YTD 12.31.18'!F47+'Summary YTD 12.31.18'!F48</f>
        <v>63590.369999999995</v>
      </c>
      <c r="G23" s="48">
        <f>'Summary YTD 12.31.18'!G46+'Summary YTD 12.31.18'!G47+'Summary YTD 12.31.18'!G48</f>
        <v>0</v>
      </c>
      <c r="H23" s="48">
        <f>'Summary YTD 12.31.18'!H46+'Summary YTD 12.31.18'!H47+'Summary YTD 12.31.18'!H48</f>
        <v>0</v>
      </c>
      <c r="I23" s="48">
        <f t="shared" ref="I23:I35" si="2">SUM(B23:H23)</f>
        <v>121979.93</v>
      </c>
      <c r="L23" s="46"/>
    </row>
    <row r="24" spans="1:12" s="44" customFormat="1" ht="30" customHeight="1" x14ac:dyDescent="0.3">
      <c r="A24" s="44" t="s">
        <v>412</v>
      </c>
      <c r="B24" s="48">
        <f>'Summary YTD 12.31.18'!B49+'Summary YTD 12.31.18'!B50+'Summary YTD 12.31.18'!B51+'Summary YTD 12.31.18'!B52</f>
        <v>70346.600000000006</v>
      </c>
      <c r="C24" s="48">
        <f>'Summary YTD 12.31.18'!C49+'Summary YTD 12.31.18'!C50+'Summary YTD 12.31.18'!C51+'Summary YTD 12.31.18'!C52</f>
        <v>1511.66</v>
      </c>
      <c r="D24" s="48">
        <f>'Summary YTD 12.31.18'!D49+'Summary YTD 12.31.18'!D50+'Summary YTD 12.31.18'!D51+'Summary YTD 12.31.18'!D52</f>
        <v>14814.97</v>
      </c>
      <c r="E24" s="48">
        <f>'Summary YTD 12.31.18'!E49+'Summary YTD 12.31.18'!E50+'Summary YTD 12.31.18'!E51+'Summary YTD 12.31.18'!E52</f>
        <v>0</v>
      </c>
      <c r="F24" s="48">
        <f>'Summary YTD 12.31.18'!F49+'Summary YTD 12.31.18'!F50+'Summary YTD 12.31.18'!F51+'Summary YTD 12.31.18'!F52</f>
        <v>11422.7</v>
      </c>
      <c r="G24" s="48">
        <f>'Summary YTD 12.31.18'!G49+'Summary YTD 12.31.18'!G50+'Summary YTD 12.31.18'!G51+'Summary YTD 12.31.18'!G52</f>
        <v>0</v>
      </c>
      <c r="H24" s="48">
        <f>'Summary YTD 12.31.18'!H49+'Summary YTD 12.31.18'!H50+'Summary YTD 12.31.18'!H51+'Summary YTD 12.31.18'!H52</f>
        <v>0</v>
      </c>
      <c r="I24" s="48">
        <f>SUM(B24:H24)</f>
        <v>98095.930000000008</v>
      </c>
      <c r="L24" s="46"/>
    </row>
    <row r="25" spans="1:12" s="44" customFormat="1" ht="30" customHeight="1" x14ac:dyDescent="0.3">
      <c r="A25" s="44" t="s">
        <v>239</v>
      </c>
      <c r="B25" s="48">
        <f>'Summary YTD 12.31.18'!B53</f>
        <v>43382.590000000011</v>
      </c>
      <c r="C25" s="48">
        <f>'Summary YTD 12.31.18'!C53</f>
        <v>0</v>
      </c>
      <c r="D25" s="48">
        <f>'Summary YTD 12.31.18'!D53</f>
        <v>26970.9</v>
      </c>
      <c r="E25" s="48">
        <f>'Summary YTD 12.31.18'!E53</f>
        <v>0</v>
      </c>
      <c r="F25" s="48">
        <f>'Summary YTD 12.31.18'!F53</f>
        <v>233.66</v>
      </c>
      <c r="G25" s="48">
        <f>'Summary YTD 12.31.18'!G53</f>
        <v>0</v>
      </c>
      <c r="H25" s="48">
        <f>'Summary YTD 12.31.18'!H53</f>
        <v>0</v>
      </c>
      <c r="I25" s="48">
        <f t="shared" si="2"/>
        <v>70587.150000000023</v>
      </c>
      <c r="L25" s="46"/>
    </row>
    <row r="26" spans="1:12" s="44" customFormat="1" ht="30" customHeight="1" x14ac:dyDescent="0.3">
      <c r="A26" s="44" t="s">
        <v>240</v>
      </c>
      <c r="B26" s="48">
        <f>'Summary YTD 12.31.18'!B54</f>
        <v>15500</v>
      </c>
      <c r="C26" s="48">
        <f>'Summary YTD 12.31.18'!C54</f>
        <v>0</v>
      </c>
      <c r="D26" s="48">
        <f>'Summary YTD 12.31.18'!D54</f>
        <v>7274.04</v>
      </c>
      <c r="E26" s="48">
        <f>'Summary YTD 12.31.18'!E54</f>
        <v>0</v>
      </c>
      <c r="F26" s="48">
        <f>'Summary YTD 12.31.18'!F54</f>
        <v>0</v>
      </c>
      <c r="G26" s="48">
        <f>'Summary YTD 12.31.18'!G54</f>
        <v>0</v>
      </c>
      <c r="H26" s="48">
        <f>'Summary YTD 12.31.18'!H54</f>
        <v>0</v>
      </c>
      <c r="I26" s="48">
        <f t="shared" si="2"/>
        <v>22774.04</v>
      </c>
      <c r="L26" s="46"/>
    </row>
    <row r="27" spans="1:12" s="44" customFormat="1" ht="30" customHeight="1" x14ac:dyDescent="0.3">
      <c r="A27" s="44" t="s">
        <v>238</v>
      </c>
      <c r="B27" s="48">
        <f>'Summary YTD 12.31.18'!B55</f>
        <v>22952.46</v>
      </c>
      <c r="C27" s="48">
        <f>'Summary YTD 12.31.18'!C55</f>
        <v>0</v>
      </c>
      <c r="D27" s="48">
        <f>'Summary YTD 12.31.18'!D55</f>
        <v>90104.159999999989</v>
      </c>
      <c r="E27" s="48">
        <f>'Summary YTD 12.31.18'!E55</f>
        <v>0</v>
      </c>
      <c r="F27" s="48">
        <f>'Summary YTD 12.31.18'!F55</f>
        <v>12122</v>
      </c>
      <c r="G27" s="48">
        <f>'Summary YTD 12.31.18'!G55</f>
        <v>0</v>
      </c>
      <c r="H27" s="48">
        <f>'Summary YTD 12.31.18'!H55</f>
        <v>0</v>
      </c>
      <c r="I27" s="48">
        <f t="shared" si="2"/>
        <v>125178.62</v>
      </c>
      <c r="L27" s="46"/>
    </row>
    <row r="28" spans="1:12" s="44" customFormat="1" ht="30" customHeight="1" x14ac:dyDescent="0.3">
      <c r="A28" s="44" t="s">
        <v>356</v>
      </c>
      <c r="B28" s="48">
        <f>'Summary YTD 12.31.18'!B56</f>
        <v>109</v>
      </c>
      <c r="C28" s="48">
        <f>'Summary YTD 12.31.18'!C56</f>
        <v>198.97000000000003</v>
      </c>
      <c r="D28" s="48">
        <f>'Summary YTD 12.31.18'!D56</f>
        <v>149</v>
      </c>
      <c r="E28" s="48">
        <f>'Summary YTD 12.31.18'!E56</f>
        <v>109</v>
      </c>
      <c r="F28" s="48">
        <f>'Summary YTD 12.31.18'!F56</f>
        <v>565</v>
      </c>
      <c r="G28" s="48">
        <f>'Summary YTD 12.31.18'!G56</f>
        <v>520</v>
      </c>
      <c r="H28" s="48">
        <f>'Summary YTD 12.31.18'!H56</f>
        <v>520</v>
      </c>
      <c r="I28" s="48">
        <f t="shared" si="2"/>
        <v>2170.9700000000003</v>
      </c>
      <c r="L28" s="46"/>
    </row>
    <row r="29" spans="1:12" s="44" customFormat="1" ht="30" customHeight="1" x14ac:dyDescent="0.3">
      <c r="A29" s="44" t="s">
        <v>241</v>
      </c>
      <c r="B29" s="48">
        <f>'Summary YTD 12.31.18'!B58+'Summary YTD 12.31.18'!B57</f>
        <v>7250.46</v>
      </c>
      <c r="C29" s="48">
        <f>'Summary YTD 12.31.18'!C58+'Summary YTD 12.31.18'!C57</f>
        <v>0</v>
      </c>
      <c r="D29" s="48">
        <f>'Summary YTD 12.31.18'!D58+'Summary YTD 12.31.18'!D57</f>
        <v>152.47</v>
      </c>
      <c r="E29" s="48">
        <f>'Summary YTD 12.31.18'!E58+'Summary YTD 12.31.18'!E57</f>
        <v>0</v>
      </c>
      <c r="F29" s="48">
        <f>'Summary YTD 12.31.18'!F58+'Summary YTD 12.31.18'!F57</f>
        <v>11132.08</v>
      </c>
      <c r="G29" s="48">
        <f>'Summary YTD 12.31.18'!G58+'Summary YTD 12.31.18'!G57</f>
        <v>0</v>
      </c>
      <c r="H29" s="48">
        <f>'Summary YTD 12.31.18'!H58+'Summary YTD 12.31.18'!H57</f>
        <v>0</v>
      </c>
      <c r="I29" s="48">
        <f t="shared" si="2"/>
        <v>18535.010000000002</v>
      </c>
      <c r="L29" s="46"/>
    </row>
    <row r="30" spans="1:12" s="44" customFormat="1" ht="30" customHeight="1" x14ac:dyDescent="0.3">
      <c r="A30" s="44" t="s">
        <v>242</v>
      </c>
      <c r="B30" s="48">
        <f>'Summary YTD 12.31.18'!B59</f>
        <v>2242.5</v>
      </c>
      <c r="C30" s="48">
        <f>'Summary YTD 12.31.18'!C59</f>
        <v>0</v>
      </c>
      <c r="D30" s="48">
        <f>'Summary YTD 12.31.18'!D59</f>
        <v>1786.62</v>
      </c>
      <c r="E30" s="48">
        <f>'Summary YTD 12.31.18'!E59</f>
        <v>0</v>
      </c>
      <c r="F30" s="48">
        <f>'Summary YTD 12.31.18'!F59</f>
        <v>0</v>
      </c>
      <c r="G30" s="48">
        <f>'Summary YTD 12.31.18'!G59</f>
        <v>0</v>
      </c>
      <c r="H30" s="48">
        <f>'Summary YTD 12.31.18'!H59</f>
        <v>0</v>
      </c>
      <c r="I30" s="48">
        <f t="shared" si="2"/>
        <v>4029.12</v>
      </c>
      <c r="L30" s="46"/>
    </row>
    <row r="31" spans="1:12" s="44" customFormat="1" ht="30" customHeight="1" x14ac:dyDescent="0.3">
      <c r="A31" s="44" t="s">
        <v>244</v>
      </c>
      <c r="B31" s="48">
        <f>'Summary YTD 12.31.18'!B61</f>
        <v>593305.84</v>
      </c>
      <c r="C31" s="48">
        <f>'Summary YTD 12.31.18'!C61</f>
        <v>1815.58</v>
      </c>
      <c r="D31" s="48">
        <f>'Summary YTD 12.31.18'!D61</f>
        <v>51718.71</v>
      </c>
      <c r="E31" s="48">
        <f>'Summary YTD 12.31.18'!E61</f>
        <v>0</v>
      </c>
      <c r="F31" s="48">
        <f>'Summary YTD 12.31.18'!F61</f>
        <v>46910.850000000006</v>
      </c>
      <c r="G31" s="48">
        <f>'Summary YTD 12.31.18'!G61</f>
        <v>46256.350000000006</v>
      </c>
      <c r="H31" s="48">
        <f>'Summary YTD 12.31.18'!H61</f>
        <v>73494.559999999998</v>
      </c>
      <c r="I31" s="48">
        <f t="shared" si="2"/>
        <v>813501.8899999999</v>
      </c>
      <c r="L31" s="46"/>
    </row>
    <row r="32" spans="1:12" s="44" customFormat="1" ht="30" customHeight="1" x14ac:dyDescent="0.3">
      <c r="A32" s="44" t="s">
        <v>243</v>
      </c>
      <c r="B32" s="48">
        <f>'Summary YTD 12.31.18'!B60</f>
        <v>1666.6499999999999</v>
      </c>
      <c r="C32" s="48">
        <f>'Summary YTD 12.31.18'!C60</f>
        <v>0</v>
      </c>
      <c r="D32" s="48">
        <f>'Summary YTD 12.31.18'!D60</f>
        <v>0</v>
      </c>
      <c r="E32" s="48">
        <f>'Summary YTD 12.31.18'!E60</f>
        <v>0</v>
      </c>
      <c r="F32" s="48">
        <f>'Summary YTD 12.31.18'!F60</f>
        <v>0</v>
      </c>
      <c r="G32" s="48">
        <f>'Summary YTD 12.31.18'!G60</f>
        <v>0</v>
      </c>
      <c r="H32" s="48">
        <f>'Summary YTD 12.31.18'!H60</f>
        <v>0</v>
      </c>
      <c r="I32" s="48">
        <f t="shared" si="2"/>
        <v>1666.6499999999999</v>
      </c>
      <c r="L32" s="46"/>
    </row>
    <row r="33" spans="1:12" s="44" customFormat="1" ht="30" customHeight="1" x14ac:dyDescent="0.3">
      <c r="A33" s="44" t="s">
        <v>254</v>
      </c>
      <c r="B33" s="48">
        <f>'Summary YTD 12.31.18'!B62</f>
        <v>976.74</v>
      </c>
      <c r="C33" s="48">
        <f>'Summary YTD 12.31.18'!C62</f>
        <v>0</v>
      </c>
      <c r="D33" s="48">
        <f>'Summary YTD 12.31.18'!D62</f>
        <v>0</v>
      </c>
      <c r="E33" s="48">
        <f>'Summary YTD 12.31.18'!E62</f>
        <v>0</v>
      </c>
      <c r="F33" s="48">
        <f>'Summary YTD 12.31.18'!F62</f>
        <v>0</v>
      </c>
      <c r="G33" s="48">
        <f>'Summary YTD 12.31.18'!G62</f>
        <v>0</v>
      </c>
      <c r="H33" s="48">
        <f>'Summary YTD 12.31.18'!H62</f>
        <v>0</v>
      </c>
      <c r="I33" s="48">
        <f t="shared" si="2"/>
        <v>976.74</v>
      </c>
      <c r="L33" s="46"/>
    </row>
    <row r="34" spans="1:12" s="44" customFormat="1" ht="30" customHeight="1" x14ac:dyDescent="0.3">
      <c r="A34" s="44" t="s">
        <v>248</v>
      </c>
      <c r="B34" s="48">
        <f>'Summary YTD 12.31.18'!B64</f>
        <v>67932.7</v>
      </c>
      <c r="C34" s="48">
        <f>'Summary YTD 12.31.18'!C64</f>
        <v>0</v>
      </c>
      <c r="D34" s="48">
        <f>'Summary YTD 12.31.18'!D64</f>
        <v>36452.49</v>
      </c>
      <c r="E34" s="48">
        <f>'Summary YTD 12.31.18'!E64</f>
        <v>0</v>
      </c>
      <c r="F34" s="48">
        <f>'Summary YTD 12.31.18'!F64</f>
        <v>0</v>
      </c>
      <c r="G34" s="48">
        <f>'Summary YTD 12.31.18'!G64</f>
        <v>0</v>
      </c>
      <c r="H34" s="48">
        <f>'Summary YTD 12.31.18'!H64</f>
        <v>0</v>
      </c>
      <c r="I34" s="48">
        <f t="shared" si="2"/>
        <v>104385.19</v>
      </c>
      <c r="L34" s="46"/>
    </row>
    <row r="35" spans="1:12" s="44" customFormat="1" ht="30" customHeight="1" x14ac:dyDescent="0.3">
      <c r="A35" s="44" t="s">
        <v>413</v>
      </c>
      <c r="B35" s="48">
        <f>'Summary YTD 12.31.18'!B63+'Summary YTD 12.31.18'!B65+'Summary YTD 12.31.18'!B66</f>
        <v>16604.379999999997</v>
      </c>
      <c r="C35" s="48">
        <f>'Summary YTD 12.31.18'!C63+'Summary YTD 12.31.18'!C65+'Summary YTD 12.31.18'!C66</f>
        <v>2018.48</v>
      </c>
      <c r="D35" s="48">
        <f>'Summary YTD 12.31.18'!D63+'Summary YTD 12.31.18'!D65+'Summary YTD 12.31.18'!D66</f>
        <v>14446.519999999999</v>
      </c>
      <c r="E35" s="48">
        <f>'Summary YTD 12.31.18'!E63+'Summary YTD 12.31.18'!E65+'Summary YTD 12.31.18'!E66</f>
        <v>0</v>
      </c>
      <c r="F35" s="48">
        <f>'Summary YTD 12.31.18'!F63+'Summary YTD 12.31.18'!F65+'Summary YTD 12.31.18'!F66</f>
        <v>5580.3099999999995</v>
      </c>
      <c r="G35" s="48">
        <f>'Summary YTD 12.31.18'!G63+'Summary YTD 12.31.18'!G65+'Summary YTD 12.31.18'!G66</f>
        <v>0</v>
      </c>
      <c r="H35" s="48">
        <f>'Summary YTD 12.31.18'!H63+'Summary YTD 12.31.18'!H65+'Summary YTD 12.31.18'!H66</f>
        <v>0</v>
      </c>
      <c r="I35" s="48">
        <f t="shared" si="2"/>
        <v>38649.689999999995</v>
      </c>
      <c r="L35" s="46"/>
    </row>
    <row r="36" spans="1:12" s="44" customFormat="1" ht="30" customHeight="1" x14ac:dyDescent="0.3">
      <c r="A36" s="47" t="s">
        <v>249</v>
      </c>
      <c r="B36" s="49">
        <f t="shared" ref="B36:H36" si="3">SUM(B22:B35)</f>
        <v>1038209.28</v>
      </c>
      <c r="C36" s="49">
        <f t="shared" si="3"/>
        <v>5544.6900000000005</v>
      </c>
      <c r="D36" s="49">
        <f t="shared" si="3"/>
        <v>464820.07999999996</v>
      </c>
      <c r="E36" s="49">
        <f t="shared" si="3"/>
        <v>109</v>
      </c>
      <c r="F36" s="49">
        <f t="shared" si="3"/>
        <v>156556.97</v>
      </c>
      <c r="G36" s="49">
        <f t="shared" si="3"/>
        <v>46776.350000000006</v>
      </c>
      <c r="H36" s="49">
        <f t="shared" si="3"/>
        <v>74014.559999999998</v>
      </c>
      <c r="I36" s="49">
        <f>SUM(B36:H36)</f>
        <v>1786030.93</v>
      </c>
      <c r="L36" s="46"/>
    </row>
    <row r="37" spans="1:12" s="44" customFormat="1" ht="30" customHeight="1" x14ac:dyDescent="0.3">
      <c r="B37" s="48"/>
      <c r="C37" s="48"/>
      <c r="D37" s="48"/>
      <c r="E37" s="48"/>
      <c r="F37" s="48"/>
      <c r="G37" s="48"/>
      <c r="H37" s="48"/>
      <c r="I37" s="48">
        <f>SUM(B37:F37)</f>
        <v>0</v>
      </c>
      <c r="L37" s="46"/>
    </row>
    <row r="38" spans="1:12" s="44" customFormat="1" ht="30" customHeight="1" x14ac:dyDescent="0.3">
      <c r="A38" s="47" t="s">
        <v>250</v>
      </c>
      <c r="B38" s="48"/>
      <c r="C38" s="48"/>
      <c r="D38" s="48"/>
      <c r="E38" s="48"/>
      <c r="F38" s="48"/>
      <c r="G38" s="48"/>
      <c r="H38" s="48"/>
      <c r="I38" s="48">
        <f>SUM(B38:F38)</f>
        <v>0</v>
      </c>
      <c r="L38" s="46"/>
    </row>
    <row r="39" spans="1:12" s="44" customFormat="1" ht="30" customHeight="1" x14ac:dyDescent="0.3">
      <c r="A39" s="44" t="s">
        <v>251</v>
      </c>
      <c r="B39" s="48">
        <f>'Summary YTD 12.31.18'!B70</f>
        <v>4648.83</v>
      </c>
      <c r="C39" s="48">
        <f>'Summary YTD 12.31.18'!C70</f>
        <v>0</v>
      </c>
      <c r="D39" s="48">
        <f>'Summary YTD 12.31.18'!D70</f>
        <v>848.35</v>
      </c>
      <c r="E39" s="48">
        <f>'Summary YTD 12.31.18'!E70</f>
        <v>0</v>
      </c>
      <c r="F39" s="48">
        <f>'Summary YTD 12.31.18'!F70</f>
        <v>2033.72</v>
      </c>
      <c r="G39" s="48">
        <f>'Summary YTD 12.31.18'!G70</f>
        <v>0</v>
      </c>
      <c r="H39" s="48">
        <f>'Summary YTD 12.31.18'!H70</f>
        <v>0</v>
      </c>
      <c r="I39" s="48">
        <f>SUM(B39:H39)</f>
        <v>7530.9000000000005</v>
      </c>
      <c r="L39" s="46"/>
    </row>
    <row r="40" spans="1:12" s="44" customFormat="1" ht="30" customHeight="1" x14ac:dyDescent="0.3">
      <c r="A40" s="44" t="s">
        <v>546</v>
      </c>
      <c r="B40" s="48">
        <v>0</v>
      </c>
      <c r="C40" s="48">
        <v>0</v>
      </c>
      <c r="D40" s="48">
        <v>0</v>
      </c>
      <c r="E40" s="48">
        <f>'Comp YTD 2018-2017 Dec'!E83</f>
        <v>0</v>
      </c>
      <c r="F40" s="48">
        <v>0</v>
      </c>
      <c r="G40" s="48">
        <v>0</v>
      </c>
      <c r="H40" s="48">
        <v>0</v>
      </c>
      <c r="I40" s="48">
        <f>SUM(B40:H40)</f>
        <v>0</v>
      </c>
      <c r="L40" s="46"/>
    </row>
    <row r="41" spans="1:12" s="44" customFormat="1" ht="30" customHeight="1" x14ac:dyDescent="0.3">
      <c r="A41" s="44" t="s">
        <v>252</v>
      </c>
      <c r="B41" s="48">
        <f>'Summary YTD 12.31.18'!B73</f>
        <v>55704.789999999994</v>
      </c>
      <c r="C41" s="48">
        <f>'Summary YTD 12.31.18'!C73</f>
        <v>3512.39</v>
      </c>
      <c r="D41" s="48">
        <f>'Summary YTD 12.31.18'!D73</f>
        <v>3628.9700000000003</v>
      </c>
      <c r="E41" s="48">
        <f>'Summary YTD 12.31.18'!E73</f>
        <v>1091.81</v>
      </c>
      <c r="F41" s="48">
        <f>'Summary YTD 12.31.18'!F73</f>
        <v>1980.54</v>
      </c>
      <c r="G41" s="48">
        <f>'Summary YTD 12.31.18'!G73</f>
        <v>0</v>
      </c>
      <c r="H41" s="48">
        <f>'Summary YTD 12.31.18'!H73</f>
        <v>402.15</v>
      </c>
      <c r="I41" s="48">
        <f t="shared" ref="I41:I51" si="4">SUM(B41:H41)</f>
        <v>66320.64999999998</v>
      </c>
      <c r="L41" s="46"/>
    </row>
    <row r="42" spans="1:12" s="44" customFormat="1" ht="30" customHeight="1" x14ac:dyDescent="0.3">
      <c r="A42" s="44" t="s">
        <v>363</v>
      </c>
      <c r="B42" s="48">
        <f>'Summary YTD 12.31.18'!B74</f>
        <v>0</v>
      </c>
      <c r="C42" s="48">
        <f>'Summary YTD 12.31.18'!C74</f>
        <v>0</v>
      </c>
      <c r="D42" s="48">
        <f>'Summary YTD 12.31.18'!D74</f>
        <v>0</v>
      </c>
      <c r="E42" s="48">
        <f>'Summary YTD 12.31.18'!E74</f>
        <v>0</v>
      </c>
      <c r="F42" s="48">
        <f>'Summary YTD 12.31.18'!F74</f>
        <v>2445.9100000000003</v>
      </c>
      <c r="G42" s="48">
        <f>'Summary YTD 12.31.18'!G74</f>
        <v>0</v>
      </c>
      <c r="H42" s="48">
        <f>'Summary YTD 12.31.18'!H74</f>
        <v>0</v>
      </c>
      <c r="I42" s="48">
        <f t="shared" si="4"/>
        <v>2445.9100000000003</v>
      </c>
      <c r="L42" s="46"/>
    </row>
    <row r="43" spans="1:12" s="44" customFormat="1" ht="30" customHeight="1" x14ac:dyDescent="0.3">
      <c r="A43" s="44" t="s">
        <v>253</v>
      </c>
      <c r="B43" s="48">
        <f>'Summary YTD 12.31.18'!B75+'Summary YTD 12.31.18'!B71</f>
        <v>3578.83</v>
      </c>
      <c r="C43" s="48">
        <f>'Summary YTD 12.31.18'!C75</f>
        <v>0</v>
      </c>
      <c r="D43" s="48">
        <f>'Summary YTD 12.31.18'!D75</f>
        <v>0</v>
      </c>
      <c r="E43" s="48">
        <f>'Summary YTD 12.31.18'!E75</f>
        <v>0</v>
      </c>
      <c r="F43" s="48">
        <f>'Summary YTD 12.31.18'!F75</f>
        <v>975.56000000000006</v>
      </c>
      <c r="G43" s="48">
        <f>'Summary YTD 12.31.18'!G75</f>
        <v>0</v>
      </c>
      <c r="H43" s="48">
        <f>'Summary YTD 12.31.18'!H75</f>
        <v>0</v>
      </c>
      <c r="I43" s="48">
        <f t="shared" si="4"/>
        <v>4554.3900000000003</v>
      </c>
      <c r="L43" s="46"/>
    </row>
    <row r="44" spans="1:12" s="44" customFormat="1" ht="30" customHeight="1" x14ac:dyDescent="0.3">
      <c r="A44" s="44" t="s">
        <v>459</v>
      </c>
      <c r="B44" s="48">
        <f>'Summary YTD 12.31.18'!B76+'Summary YTD 12.31.18'!B77+'Summary YTD 12.31.18'!B78+'Summary YTD 12.31.18'!B79+'Summary YTD 12.31.18'!B80</f>
        <v>195007.9</v>
      </c>
      <c r="C44" s="48">
        <f>'Summary YTD 12.31.18'!C76+'Summary YTD 12.31.18'!C77+'Summary YTD 12.31.18'!C78+'Summary YTD 12.31.18'!C79+'Summary YTD 12.31.18'!C80</f>
        <v>33750</v>
      </c>
      <c r="D44" s="48">
        <f>'Summary YTD 12.31.18'!D76+'Summary YTD 12.31.18'!D77+'Summary YTD 12.31.18'!D78+'Summary YTD 12.31.18'!D79+'Summary YTD 12.31.18'!D80</f>
        <v>40208.339999999997</v>
      </c>
      <c r="E44" s="48">
        <f>'Summary YTD 12.31.18'!E76+'Summary YTD 12.31.18'!E77+'Summary YTD 12.31.18'!E78+'Summary YTD 12.31.18'!E79+'Summary YTD 12.31.18'!E80</f>
        <v>1250</v>
      </c>
      <c r="F44" s="48">
        <f>'Summary YTD 12.31.18'!F76+'Summary YTD 12.31.18'!F77+'Summary YTD 12.31.18'!F78+'Summary YTD 12.31.18'!F79+'Summary YTD 12.31.18'!F80</f>
        <v>10250</v>
      </c>
      <c r="G44" s="48">
        <f>'Summary YTD 12.31.18'!G76+'Summary YTD 12.31.18'!G77+'Summary YTD 12.31.18'!G78+'Summary YTD 12.31.18'!G79+'Summary YTD 12.31.18'!G80</f>
        <v>1325</v>
      </c>
      <c r="H44" s="48">
        <f>'Summary YTD 12.31.18'!H76+'Summary YTD 12.31.18'!H77+'Summary YTD 12.31.18'!H78+'Summary YTD 12.31.18'!H79+'Summary YTD 12.31.18'!H80</f>
        <v>0</v>
      </c>
      <c r="I44" s="48">
        <f t="shared" si="4"/>
        <v>281791.24</v>
      </c>
      <c r="L44" s="46"/>
    </row>
    <row r="45" spans="1:12" s="44" customFormat="1" ht="30" customHeight="1" x14ac:dyDescent="0.3">
      <c r="A45" s="44" t="s">
        <v>255</v>
      </c>
      <c r="B45" s="48">
        <f>'Summary YTD 12.31.18'!B81</f>
        <v>-4933.7899999999991</v>
      </c>
      <c r="C45" s="48">
        <f>'Summary YTD 12.31.18'!C81</f>
        <v>0</v>
      </c>
      <c r="D45" s="48">
        <f>'Summary YTD 12.31.18'!D81</f>
        <v>1250</v>
      </c>
      <c r="E45" s="48">
        <f>'Summary YTD 12.31.18'!E81</f>
        <v>0</v>
      </c>
      <c r="F45" s="48">
        <f>'Summary YTD 12.31.18'!F81</f>
        <v>796.8599999999999</v>
      </c>
      <c r="G45" s="48">
        <f>'Summary YTD 12.31.18'!G81</f>
        <v>0</v>
      </c>
      <c r="H45" s="48">
        <f>'Summary YTD 12.31.18'!H81</f>
        <v>0</v>
      </c>
      <c r="I45" s="48">
        <f t="shared" si="4"/>
        <v>-2886.9299999999994</v>
      </c>
      <c r="L45" s="46"/>
    </row>
    <row r="46" spans="1:12" s="44" customFormat="1" ht="30" customHeight="1" x14ac:dyDescent="0.3">
      <c r="A46" s="44" t="s">
        <v>256</v>
      </c>
      <c r="B46" s="48">
        <f>'Summary YTD 12.31.18'!B82</f>
        <v>18458.87</v>
      </c>
      <c r="C46" s="48">
        <f>'Summary YTD 12.31.18'!C82</f>
        <v>587.5</v>
      </c>
      <c r="D46" s="48">
        <f>'Summary YTD 12.31.18'!D82</f>
        <v>577.5</v>
      </c>
      <c r="E46" s="48">
        <f>'Summary YTD 12.31.18'!E82</f>
        <v>0</v>
      </c>
      <c r="F46" s="48">
        <f>'Summary YTD 12.31.18'!F82</f>
        <v>0</v>
      </c>
      <c r="G46" s="48">
        <f>'Summary YTD 12.31.18'!G82</f>
        <v>0</v>
      </c>
      <c r="H46" s="48">
        <f>'Summary YTD 12.31.18'!H82</f>
        <v>0</v>
      </c>
      <c r="I46" s="48">
        <f t="shared" si="4"/>
        <v>19623.87</v>
      </c>
      <c r="L46" s="46"/>
    </row>
    <row r="47" spans="1:12" s="44" customFormat="1" ht="30" customHeight="1" x14ac:dyDescent="0.3">
      <c r="A47" s="44" t="s">
        <v>257</v>
      </c>
      <c r="B47" s="48">
        <f>'Summary YTD 12.31.18'!B83</f>
        <v>9822.83</v>
      </c>
      <c r="C47" s="48">
        <f>'Summary YTD 12.31.18'!C83</f>
        <v>0</v>
      </c>
      <c r="D47" s="48">
        <f>'Summary YTD 12.31.18'!D83</f>
        <v>0</v>
      </c>
      <c r="E47" s="48">
        <f>'Summary YTD 12.31.18'!E83</f>
        <v>0</v>
      </c>
      <c r="F47" s="48">
        <f>'Summary YTD 12.31.18'!F83</f>
        <v>0</v>
      </c>
      <c r="G47" s="48">
        <f>'Summary YTD 12.31.18'!G83</f>
        <v>0</v>
      </c>
      <c r="H47" s="48">
        <f>'Summary YTD 12.31.18'!H83</f>
        <v>0</v>
      </c>
      <c r="I47" s="48">
        <f t="shared" si="4"/>
        <v>9822.83</v>
      </c>
      <c r="L47" s="46"/>
    </row>
    <row r="48" spans="1:12" s="44" customFormat="1" ht="30" customHeight="1" x14ac:dyDescent="0.3">
      <c r="A48" s="44" t="s">
        <v>294</v>
      </c>
      <c r="B48" s="48">
        <f>'Summary YTD 12.31.18'!B84</f>
        <v>0</v>
      </c>
      <c r="C48" s="48">
        <f>'Summary YTD 12.31.18'!C84</f>
        <v>0</v>
      </c>
      <c r="D48" s="48">
        <f>'Summary YTD 12.31.18'!D84</f>
        <v>300</v>
      </c>
      <c r="E48" s="48">
        <f>'Summary YTD 12.31.18'!E84</f>
        <v>0</v>
      </c>
      <c r="F48" s="48">
        <f>'Summary YTD 12.31.18'!F84</f>
        <v>1600</v>
      </c>
      <c r="G48" s="48">
        <f>'Summary YTD 12.31.18'!G84</f>
        <v>0</v>
      </c>
      <c r="H48" s="48">
        <f>'Summary YTD 12.31.18'!H84</f>
        <v>0</v>
      </c>
      <c r="I48" s="48">
        <f t="shared" si="4"/>
        <v>1900</v>
      </c>
      <c r="L48" s="46"/>
    </row>
    <row r="49" spans="1:12" s="44" customFormat="1" ht="30" customHeight="1" x14ac:dyDescent="0.3">
      <c r="A49" s="44" t="s">
        <v>487</v>
      </c>
      <c r="B49" s="48">
        <f>'Summary YTD 12.31.18'!B85</f>
        <v>0</v>
      </c>
      <c r="C49" s="48">
        <v>0</v>
      </c>
      <c r="D49" s="48">
        <v>0</v>
      </c>
      <c r="E49" s="48">
        <v>0</v>
      </c>
      <c r="F49" s="48">
        <f>'BSC (Dome)'!N65</f>
        <v>10329.9</v>
      </c>
      <c r="G49" s="48">
        <v>0</v>
      </c>
      <c r="H49" s="48">
        <f>'BSC (Dome)'!O65</f>
        <v>0</v>
      </c>
      <c r="I49" s="48">
        <f t="shared" si="4"/>
        <v>10329.9</v>
      </c>
      <c r="L49" s="46"/>
    </row>
    <row r="50" spans="1:12" s="44" customFormat="1" ht="30" customHeight="1" x14ac:dyDescent="0.3">
      <c r="A50" s="44" t="s">
        <v>414</v>
      </c>
      <c r="B50" s="48">
        <f>'Summary YTD 12.31.18'!B86+'Summary YTD 12.31.18'!B87</f>
        <v>21248.6</v>
      </c>
      <c r="C50" s="48">
        <f>'Summary YTD 12.31.18'!C86+'Summary YTD 12.31.18'!C87</f>
        <v>0</v>
      </c>
      <c r="D50" s="48">
        <f>'Summary YTD 12.31.18'!D86+'Summary YTD 12.31.18'!D87</f>
        <v>0</v>
      </c>
      <c r="E50" s="48">
        <f>'Summary YTD 12.31.18'!E86+'Summary YTD 12.31.18'!E87</f>
        <v>0</v>
      </c>
      <c r="F50" s="48">
        <f>'Summary YTD 12.31.18'!F86+'Summary YTD 12.31.18'!F87</f>
        <v>0</v>
      </c>
      <c r="G50" s="48">
        <f>'Summary YTD 12.31.18'!G86+'Summary YTD 12.31.18'!G87</f>
        <v>0</v>
      </c>
      <c r="H50" s="48">
        <f>'Summary YTD 12.31.18'!H86+'Summary YTD 12.31.18'!H87</f>
        <v>0</v>
      </c>
      <c r="I50" s="48">
        <f t="shared" si="4"/>
        <v>21248.6</v>
      </c>
      <c r="L50" s="46"/>
    </row>
    <row r="51" spans="1:12" s="44" customFormat="1" ht="30" customHeight="1" x14ac:dyDescent="0.3">
      <c r="A51" s="44" t="s">
        <v>461</v>
      </c>
      <c r="B51" s="48">
        <f>'Summary YTD 12.31.18'!B88+'Summary YTD 12.31.18'!B89</f>
        <v>11540.59</v>
      </c>
      <c r="C51" s="48">
        <f>'Summary YTD 12.31.18'!C88+'Summary YTD 12.31.18'!C89</f>
        <v>0</v>
      </c>
      <c r="D51" s="48">
        <f>'Summary YTD 12.31.18'!D88+'Summary YTD 12.31.18'!D89</f>
        <v>0</v>
      </c>
      <c r="E51" s="48">
        <f>'Summary YTD 12.31.18'!E88+'Summary YTD 12.31.18'!E89</f>
        <v>0</v>
      </c>
      <c r="F51" s="48">
        <f>'Summary YTD 12.31.18'!F88+'Summary YTD 12.31.18'!F89</f>
        <v>0</v>
      </c>
      <c r="G51" s="48">
        <f>'Summary YTD 12.31.18'!G88+'Summary YTD 12.31.18'!G89</f>
        <v>0</v>
      </c>
      <c r="H51" s="48">
        <f>'Summary YTD 12.31.18'!H88+'Summary YTD 12.31.18'!H89</f>
        <v>0</v>
      </c>
      <c r="I51" s="48">
        <f t="shared" si="4"/>
        <v>11540.59</v>
      </c>
      <c r="L51" s="46"/>
    </row>
    <row r="52" spans="1:12" s="44" customFormat="1" ht="30" customHeight="1" x14ac:dyDescent="0.3">
      <c r="A52" s="47" t="s">
        <v>263</v>
      </c>
      <c r="B52" s="49">
        <f t="shared" ref="B52:H52" si="5">SUM(B39:B51)</f>
        <v>315077.45</v>
      </c>
      <c r="C52" s="49">
        <f t="shared" si="5"/>
        <v>37849.89</v>
      </c>
      <c r="D52" s="49">
        <f t="shared" si="5"/>
        <v>46813.159999999996</v>
      </c>
      <c r="E52" s="49">
        <f t="shared" si="5"/>
        <v>2341.81</v>
      </c>
      <c r="F52" s="49">
        <f t="shared" si="5"/>
        <v>30412.489999999998</v>
      </c>
      <c r="G52" s="49">
        <f t="shared" si="5"/>
        <v>1325</v>
      </c>
      <c r="H52" s="49">
        <f t="shared" si="5"/>
        <v>402.15</v>
      </c>
      <c r="I52" s="49">
        <f>SUM(B52:H52)</f>
        <v>434221.95</v>
      </c>
      <c r="L52" s="46"/>
    </row>
    <row r="53" spans="1:12" s="44" customFormat="1" ht="30" customHeight="1" x14ac:dyDescent="0.3">
      <c r="B53" s="48"/>
      <c r="C53" s="48"/>
      <c r="D53" s="48"/>
      <c r="E53" s="48"/>
      <c r="F53" s="48"/>
      <c r="G53" s="48"/>
      <c r="H53" s="48"/>
      <c r="I53" s="48">
        <f>SUM(B53:F53)</f>
        <v>0</v>
      </c>
      <c r="L53" s="46"/>
    </row>
    <row r="54" spans="1:12" s="44" customFormat="1" ht="30" customHeight="1" thickBot="1" x14ac:dyDescent="0.35">
      <c r="A54" s="47" t="s">
        <v>264</v>
      </c>
      <c r="B54" s="50">
        <f t="shared" ref="B54:H54" si="6">B19+B36+B52</f>
        <v>2603441.9700000007</v>
      </c>
      <c r="C54" s="50">
        <f t="shared" si="6"/>
        <v>43394.58</v>
      </c>
      <c r="D54" s="50">
        <f t="shared" si="6"/>
        <v>579422.88</v>
      </c>
      <c r="E54" s="50">
        <f t="shared" si="6"/>
        <v>2450.81</v>
      </c>
      <c r="F54" s="50">
        <f t="shared" si="6"/>
        <v>385956.17999999993</v>
      </c>
      <c r="G54" s="50">
        <f>G19+G36+G52</f>
        <v>48101.350000000006</v>
      </c>
      <c r="H54" s="50">
        <f t="shared" si="6"/>
        <v>74416.709999999992</v>
      </c>
      <c r="I54" s="50">
        <f>SUM(B54:H54)</f>
        <v>3737184.4800000009</v>
      </c>
      <c r="L54" s="46"/>
    </row>
    <row r="55" spans="1:12" s="44" customFormat="1" ht="30" customHeight="1" x14ac:dyDescent="0.3">
      <c r="B55" s="48"/>
      <c r="C55" s="48"/>
      <c r="D55" s="48"/>
      <c r="E55" s="48"/>
      <c r="F55" s="48"/>
      <c r="G55" s="48"/>
      <c r="H55" s="48"/>
      <c r="I55" s="48"/>
      <c r="L55" s="46"/>
    </row>
    <row r="56" spans="1:12" s="44" customFormat="1" ht="30" customHeight="1" x14ac:dyDescent="0.3">
      <c r="A56" s="47" t="s">
        <v>462</v>
      </c>
      <c r="B56" s="48"/>
      <c r="C56" s="48"/>
      <c r="D56" s="48"/>
      <c r="E56" s="48"/>
      <c r="F56" s="48"/>
      <c r="G56" s="48"/>
      <c r="H56" s="48"/>
      <c r="I56" s="48"/>
      <c r="L56" s="46"/>
    </row>
    <row r="57" spans="1:12" s="44" customFormat="1" ht="30" customHeight="1" x14ac:dyDescent="0.3">
      <c r="A57" s="44" t="s">
        <v>267</v>
      </c>
      <c r="B57" s="48">
        <f>'Summary YTD 12.31.18'!B95</f>
        <v>62500</v>
      </c>
      <c r="C57" s="48">
        <v>0</v>
      </c>
      <c r="D57" s="48">
        <f>DEP!N76</f>
        <v>62500</v>
      </c>
      <c r="E57" s="48">
        <v>0</v>
      </c>
      <c r="F57" s="48">
        <f>'BSC (Dome)'!N76+'BSC (Dome)'!N77</f>
        <v>29000</v>
      </c>
      <c r="G57" s="48">
        <f>'Summary YTD 12.31.18'!G95</f>
        <v>88500</v>
      </c>
      <c r="H57" s="48">
        <f>'722 Bedford St'!N22+'722 Bedford St'!N23</f>
        <v>0</v>
      </c>
      <c r="I57" s="48">
        <f t="shared" ref="I57:I62" si="7">SUM(B57:H57)</f>
        <v>242500</v>
      </c>
      <c r="L57" s="46"/>
    </row>
    <row r="58" spans="1:12" s="44" customFormat="1" ht="30" customHeight="1" x14ac:dyDescent="0.3">
      <c r="A58" s="44" t="s">
        <v>272</v>
      </c>
      <c r="B58" s="48">
        <f>'Summary YTD 12.31.18'!B96+'Summary YTD 12.31.18'!B98+'Summary YTD 12.31.18'!B99+'Summary YTD 12.31.18'!B102+'Summary YTD 12.31.18'!B103+'Summary YTD 12.31.18'!B106+'Summary YTD 12.31.18'!B104+'Summary YTD 12.31.18'!B105+'Summary YTD 12.31.18'!B107</f>
        <v>106926.26000000001</v>
      </c>
      <c r="C58" s="48">
        <v>0</v>
      </c>
      <c r="D58" s="48">
        <f>'Summary YTD 12.31.18'!D96+'Summary YTD 12.31.18'!D98+'Summary YTD 12.31.18'!D99+'Summary YTD 12.31.18'!D102+'Summary YTD 12.31.18'!D103+'Summary YTD 12.31.18'!D106</f>
        <v>0</v>
      </c>
      <c r="E58" s="48">
        <f>'Summary YTD 12.31.18'!E96+'Summary YTD 12.31.18'!E98+'Summary YTD 12.31.18'!E99+'Summary YTD 12.31.18'!E102+'Summary YTD 12.31.18'!E103+'Summary YTD 12.31.18'!E106</f>
        <v>0</v>
      </c>
      <c r="F58" s="48">
        <f>'Summary YTD 12.31.18'!F96+'Summary YTD 12.31.18'!F98+'Summary YTD 12.31.18'!F99+'Summary YTD 12.31.18'!F102+'Summary YTD 12.31.18'!F103+'Summary YTD 12.31.18'!F106</f>
        <v>1833.08</v>
      </c>
      <c r="G58" s="48">
        <f>'Summary YTD 12.31.18'!G102</f>
        <v>1.01</v>
      </c>
      <c r="H58" s="48">
        <v>0</v>
      </c>
      <c r="I58" s="48">
        <f t="shared" si="7"/>
        <v>108760.35</v>
      </c>
      <c r="L58" s="46"/>
    </row>
    <row r="59" spans="1:12" s="44" customFormat="1" ht="30" customHeight="1" x14ac:dyDescent="0.3">
      <c r="A59" s="44" t="s">
        <v>270</v>
      </c>
      <c r="B59" s="48">
        <f>'Summary YTD 12.31.18'!B100</f>
        <v>118539.97</v>
      </c>
      <c r="C59" s="48">
        <f>'Summary YTD 12.31.18'!C100</f>
        <v>5253.0599999999995</v>
      </c>
      <c r="D59" s="48">
        <f>'Summary YTD 12.31.18'!D100</f>
        <v>12791.05</v>
      </c>
      <c r="E59" s="48">
        <f>'Summary YTD 12.31.18'!E100</f>
        <v>15650.05</v>
      </c>
      <c r="F59" s="48">
        <f>'Summary YTD 12.31.18'!F100</f>
        <v>0</v>
      </c>
      <c r="G59" s="48">
        <f>'Summary YTD 12.31.18'!G100</f>
        <v>18277.920000000002</v>
      </c>
      <c r="H59" s="48">
        <v>0</v>
      </c>
      <c r="I59" s="48">
        <f t="shared" si="7"/>
        <v>170512.05</v>
      </c>
      <c r="L59" s="46"/>
    </row>
    <row r="60" spans="1:12" s="44" customFormat="1" ht="30" customHeight="1" x14ac:dyDescent="0.3">
      <c r="A60" s="44" t="s">
        <v>271</v>
      </c>
      <c r="B60" s="48">
        <f>'Summary YTD 12.31.18'!B101</f>
        <v>-76457.739999999991</v>
      </c>
      <c r="C60" s="48">
        <f>'Summary YTD 12.31.18'!C101</f>
        <v>0</v>
      </c>
      <c r="D60" s="48">
        <f>'Summary YTD 12.31.18'!D101</f>
        <v>0</v>
      </c>
      <c r="E60" s="48">
        <f>'Summary YTD 12.31.18'!E101</f>
        <v>-2772.08</v>
      </c>
      <c r="F60" s="48">
        <f>'Summary YTD 12.31.18'!F101</f>
        <v>-48571.47</v>
      </c>
      <c r="G60" s="48">
        <f>'Summary YTD 12.31.18'!G101</f>
        <v>-4304.6499999999996</v>
      </c>
      <c r="H60" s="48">
        <f>'Summary YTD 12.31.18'!H101</f>
        <v>0</v>
      </c>
      <c r="I60" s="48">
        <f t="shared" si="7"/>
        <v>-132105.94</v>
      </c>
      <c r="L60" s="46"/>
    </row>
    <row r="61" spans="1:12" s="44" customFormat="1" ht="30" customHeight="1" x14ac:dyDescent="0.3">
      <c r="A61" s="44" t="s">
        <v>415</v>
      </c>
      <c r="B61" s="48">
        <v>0</v>
      </c>
      <c r="C61" s="48">
        <f>'Summary YTD 12.31.18'!C97+'Summary YTD 12.31.18'!C98</f>
        <v>-203901.13</v>
      </c>
      <c r="D61" s="48">
        <f>'Summary YTD 12.31.18'!D97</f>
        <v>0</v>
      </c>
      <c r="E61" s="48">
        <f>'Summary YTD 12.31.18'!E97</f>
        <v>0</v>
      </c>
      <c r="F61" s="48">
        <f>'Summary YTD 12.31.18'!F97</f>
        <v>0</v>
      </c>
      <c r="G61" s="48">
        <f>'Summary YTD 12.31.18'!G97</f>
        <v>0</v>
      </c>
      <c r="H61" s="48">
        <v>0</v>
      </c>
      <c r="I61" s="48">
        <f>SUM(B61:H61)</f>
        <v>-203901.13</v>
      </c>
      <c r="L61" s="46"/>
    </row>
    <row r="62" spans="1:12" s="44" customFormat="1" ht="30" customHeight="1" x14ac:dyDescent="0.3">
      <c r="A62" s="47" t="s">
        <v>463</v>
      </c>
      <c r="B62" s="49">
        <f>SUM(B57:B61)</f>
        <v>211508.49</v>
      </c>
      <c r="C62" s="49">
        <f t="shared" ref="C62:H62" si="8">SUM(C57:C61)</f>
        <v>-198648.07</v>
      </c>
      <c r="D62" s="49">
        <f t="shared" si="8"/>
        <v>75291.05</v>
      </c>
      <c r="E62" s="49">
        <f t="shared" si="8"/>
        <v>12877.97</v>
      </c>
      <c r="F62" s="49">
        <f t="shared" si="8"/>
        <v>-17738.39</v>
      </c>
      <c r="G62" s="49">
        <f t="shared" si="8"/>
        <v>102474.28</v>
      </c>
      <c r="H62" s="49">
        <f t="shared" si="8"/>
        <v>0</v>
      </c>
      <c r="I62" s="49">
        <f t="shared" si="7"/>
        <v>185765.33</v>
      </c>
      <c r="L62" s="46"/>
    </row>
    <row r="63" spans="1:12" s="44" customFormat="1" ht="30" customHeight="1" x14ac:dyDescent="0.3">
      <c r="A63" s="47"/>
      <c r="B63" s="48"/>
      <c r="C63" s="48"/>
      <c r="D63" s="48"/>
      <c r="E63" s="48"/>
      <c r="F63" s="48"/>
      <c r="G63" s="48"/>
      <c r="H63" s="48"/>
      <c r="I63" s="48">
        <f>SUM(B63:F63)</f>
        <v>0</v>
      </c>
      <c r="L63" s="46"/>
    </row>
    <row r="64" spans="1:12" s="44" customFormat="1" ht="30" customHeight="1" thickBot="1" x14ac:dyDescent="0.35">
      <c r="A64" s="47" t="s">
        <v>266</v>
      </c>
      <c r="B64" s="51">
        <f>B11-B54+B62</f>
        <v>564230.05999948434</v>
      </c>
      <c r="C64" s="51">
        <f t="shared" ref="C64:H64" si="9">C11-C54+C62</f>
        <v>169575.52999999595</v>
      </c>
      <c r="D64" s="51">
        <f t="shared" si="9"/>
        <v>300509.56</v>
      </c>
      <c r="E64" s="51">
        <f t="shared" si="9"/>
        <v>10427.16</v>
      </c>
      <c r="F64" s="51">
        <f t="shared" si="9"/>
        <v>100914.39000000009</v>
      </c>
      <c r="G64" s="51">
        <f>G11-G54+G62</f>
        <v>54372.929999999993</v>
      </c>
      <c r="H64" s="51">
        <f t="shared" si="9"/>
        <v>-74416.709999999992</v>
      </c>
      <c r="I64" s="51">
        <f>SUM(B64:H64)</f>
        <v>1125612.9199994802</v>
      </c>
      <c r="L64" s="46"/>
    </row>
    <row r="65" spans="1:9" ht="15.75" thickTop="1" x14ac:dyDescent="0.25">
      <c r="A65" t="s">
        <v>331</v>
      </c>
      <c r="B65" s="14">
        <f>CNT!N287</f>
        <v>44839.909999842464</v>
      </c>
      <c r="C65" s="14">
        <f>BPM!N80</f>
        <v>169575.52999999226</v>
      </c>
      <c r="D65" s="14">
        <f>DEP!N80</f>
        <v>300509.56000000011</v>
      </c>
      <c r="E65" s="14">
        <f>Lending!N21</f>
        <v>10427.16</v>
      </c>
      <c r="F65" s="14">
        <f>'BSC (Dome)'!N85</f>
        <v>-29868.69</v>
      </c>
      <c r="G65" s="14">
        <f>'Oliari Co.'!N29</f>
        <v>54372.929999999993</v>
      </c>
      <c r="H65" s="14">
        <f>'722 Bedford St'!N29</f>
        <v>-74416.709999999992</v>
      </c>
      <c r="I65" s="14">
        <f>SUM(B65:H65)</f>
        <v>475439.68999983487</v>
      </c>
    </row>
    <row r="67" spans="1:9" x14ac:dyDescent="0.25">
      <c r="B67" s="15"/>
    </row>
    <row r="69" spans="1:9" x14ac:dyDescent="0.25">
      <c r="B69" s="15"/>
    </row>
    <row r="70" spans="1:9" x14ac:dyDescent="0.25">
      <c r="B70" s="15"/>
    </row>
    <row r="87" spans="1:12" x14ac:dyDescent="0.25">
      <c r="B87" s="14"/>
      <c r="C87" s="14"/>
      <c r="D87" s="14"/>
      <c r="E87" s="14"/>
      <c r="I87" s="15"/>
    </row>
    <row r="88" spans="1:12" x14ac:dyDescent="0.25">
      <c r="B88" s="14"/>
      <c r="C88" s="14"/>
      <c r="D88" s="14"/>
      <c r="E88" s="14"/>
    </row>
    <row r="89" spans="1:12" x14ac:dyDescent="0.25">
      <c r="B89" s="14"/>
      <c r="C89" s="14"/>
      <c r="D89" s="14"/>
      <c r="E89" s="14"/>
    </row>
    <row r="90" spans="1:12" x14ac:dyDescent="0.25">
      <c r="B90" s="14"/>
      <c r="C90" s="14"/>
      <c r="D90" s="14"/>
      <c r="E90" s="14"/>
    </row>
    <row r="91" spans="1:12" s="12" customFormat="1" x14ac:dyDescent="0.25">
      <c r="A91"/>
      <c r="B91" s="14"/>
      <c r="C91" s="14"/>
      <c r="D91" s="14"/>
      <c r="E91" s="14"/>
      <c r="J91"/>
      <c r="K91"/>
      <c r="L91" s="5"/>
    </row>
    <row r="92" spans="1:12" s="12" customFormat="1" x14ac:dyDescent="0.25">
      <c r="A92"/>
      <c r="B92" s="14"/>
      <c r="C92" s="14"/>
      <c r="D92" s="14"/>
      <c r="E92" s="14"/>
      <c r="J92"/>
      <c r="K92"/>
      <c r="L92" s="5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43" orientation="portrait" r:id="rId1"/>
  <headerFooter>
    <oddFooter>&amp;C&amp;14Page &amp;P of &amp;N</oddFooter>
  </headerFooter>
  <rowBreaks count="2" manualBreakCount="2">
    <brk id="12" max="6" man="1"/>
    <brk id="3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  <pageSetUpPr fitToPage="1"/>
  </sheetPr>
  <dimension ref="A1:O30"/>
  <sheetViews>
    <sheetView zoomScaleNormal="100" workbookViewId="0">
      <pane ySplit="6" topLeftCell="A7" activePane="bottomLeft" state="frozen"/>
      <selection activeCell="C20" sqref="C20"/>
      <selection pane="bottomLeft" activeCell="F33" sqref="F33"/>
    </sheetView>
  </sheetViews>
  <sheetFormatPr defaultRowHeight="15" x14ac:dyDescent="0.25"/>
  <cols>
    <col min="1" max="1" width="44.42578125" bestFit="1" customWidth="1"/>
    <col min="2" max="3" width="13" style="5" bestFit="1" customWidth="1"/>
    <col min="4" max="4" width="13.42578125" style="5" bestFit="1" customWidth="1"/>
    <col min="5" max="13" width="13" style="5" bestFit="1" customWidth="1"/>
    <col min="14" max="14" width="13.42578125" style="5" bestFit="1" customWidth="1"/>
    <col min="15" max="15" width="9.140625" style="5" customWidth="1"/>
    <col min="16" max="16" width="9.5703125" bestFit="1" customWidth="1"/>
    <col min="18" max="18" width="11.5703125" bestFit="1" customWidth="1"/>
  </cols>
  <sheetData>
    <row r="1" spans="1:14" x14ac:dyDescent="0.25">
      <c r="A1" s="251" t="s">
        <v>416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 x14ac:dyDescent="0.25">
      <c r="A2" s="251" t="s">
        <v>274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</row>
    <row r="3" spans="1:14" x14ac:dyDescent="0.25">
      <c r="A3" s="251">
        <v>2018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</row>
    <row r="4" spans="1:14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B6" s="10" t="s">
        <v>301</v>
      </c>
      <c r="C6" s="10" t="s">
        <v>302</v>
      </c>
      <c r="D6" s="10" t="s">
        <v>303</v>
      </c>
      <c r="E6" s="10" t="s">
        <v>304</v>
      </c>
      <c r="F6" s="10" t="s">
        <v>378</v>
      </c>
      <c r="G6" s="10" t="s">
        <v>420</v>
      </c>
      <c r="H6" s="10" t="s">
        <v>440</v>
      </c>
      <c r="I6" s="10" t="s">
        <v>450</v>
      </c>
      <c r="J6" s="10" t="s">
        <v>464</v>
      </c>
      <c r="K6" s="10" t="s">
        <v>482</v>
      </c>
      <c r="L6" s="10" t="s">
        <v>485</v>
      </c>
      <c r="M6" s="10" t="s">
        <v>538</v>
      </c>
      <c r="N6" s="10" t="s">
        <v>207</v>
      </c>
    </row>
    <row r="8" spans="1:14" s="5" customFormat="1" x14ac:dyDescent="0.25">
      <c r="A8" s="4" t="s">
        <v>209</v>
      </c>
    </row>
    <row r="9" spans="1:14" s="5" customFormat="1" x14ac:dyDescent="0.25">
      <c r="A9" s="4" t="s">
        <v>288</v>
      </c>
    </row>
    <row r="10" spans="1:14" s="5" customFormat="1" x14ac:dyDescent="0.25">
      <c r="A10" t="s">
        <v>356</v>
      </c>
      <c r="B10" s="5">
        <v>0</v>
      </c>
      <c r="C10" s="5">
        <v>0</v>
      </c>
      <c r="D10" s="5">
        <v>0</v>
      </c>
      <c r="E10" s="5">
        <v>520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f>SUM(B10:F10)</f>
        <v>520</v>
      </c>
    </row>
    <row r="11" spans="1:14" s="5" customFormat="1" x14ac:dyDescent="0.25">
      <c r="A11" t="s">
        <v>292</v>
      </c>
      <c r="B11" s="5">
        <v>9251.27</v>
      </c>
      <c r="C11" s="5">
        <v>9251.27</v>
      </c>
      <c r="D11" s="5">
        <v>9251.27</v>
      </c>
      <c r="E11" s="5">
        <v>9251.27</v>
      </c>
      <c r="F11" s="5">
        <v>9251.27</v>
      </c>
      <c r="G11" s="5">
        <v>9251.27</v>
      </c>
      <c r="H11" s="5">
        <v>9251.27</v>
      </c>
      <c r="I11" s="5">
        <v>9251.27</v>
      </c>
      <c r="J11" s="5">
        <v>9251.27</v>
      </c>
      <c r="K11" s="5">
        <v>9251.27</v>
      </c>
      <c r="L11" s="5">
        <v>9249.27</v>
      </c>
      <c r="M11" s="5">
        <v>9251.2199999999993</v>
      </c>
      <c r="N11" s="5">
        <f>SUM(B11:F11)</f>
        <v>46256.350000000006</v>
      </c>
    </row>
    <row r="12" spans="1:14" s="5" customFormat="1" x14ac:dyDescent="0.25">
      <c r="A12" s="4" t="s">
        <v>334</v>
      </c>
      <c r="B12" s="7">
        <f t="shared" ref="B12:N12" si="0">SUM(B10:B11)</f>
        <v>9251.27</v>
      </c>
      <c r="C12" s="7">
        <f t="shared" si="0"/>
        <v>9251.27</v>
      </c>
      <c r="D12" s="7">
        <f t="shared" si="0"/>
        <v>9251.27</v>
      </c>
      <c r="E12" s="7">
        <f t="shared" si="0"/>
        <v>9771.27</v>
      </c>
      <c r="F12" s="7">
        <f>SUM(F10:F11)</f>
        <v>9251.27</v>
      </c>
      <c r="G12" s="7">
        <f>SUM(G10:G11)</f>
        <v>9251.27</v>
      </c>
      <c r="H12" s="7">
        <f t="shared" ref="H12:L12" si="1">SUM(H10:H11)</f>
        <v>9251.27</v>
      </c>
      <c r="I12" s="7">
        <f t="shared" si="1"/>
        <v>9251.27</v>
      </c>
      <c r="J12" s="7">
        <f t="shared" si="1"/>
        <v>9251.27</v>
      </c>
      <c r="K12" s="7">
        <f t="shared" si="1"/>
        <v>9251.27</v>
      </c>
      <c r="L12" s="7">
        <f t="shared" si="1"/>
        <v>9249.27</v>
      </c>
      <c r="M12" s="7">
        <f t="shared" si="0"/>
        <v>9251.2199999999993</v>
      </c>
      <c r="N12" s="7">
        <f t="shared" si="0"/>
        <v>46776.350000000006</v>
      </c>
    </row>
    <row r="14" spans="1:14" s="5" customFormat="1" x14ac:dyDescent="0.25">
      <c r="A14" s="4" t="s">
        <v>293</v>
      </c>
    </row>
    <row r="15" spans="1:14" s="5" customFormat="1" x14ac:dyDescent="0.25">
      <c r="A15" t="s">
        <v>360</v>
      </c>
      <c r="B15" s="5">
        <v>265</v>
      </c>
      <c r="C15" s="5">
        <v>265</v>
      </c>
      <c r="D15" s="5">
        <v>265</v>
      </c>
      <c r="E15" s="5">
        <v>265</v>
      </c>
      <c r="F15" s="5">
        <v>265</v>
      </c>
      <c r="G15" s="5">
        <v>265</v>
      </c>
      <c r="H15" s="5">
        <v>530</v>
      </c>
      <c r="I15" s="5">
        <v>265</v>
      </c>
      <c r="J15" s="5">
        <v>265</v>
      </c>
      <c r="K15" s="5">
        <v>265</v>
      </c>
      <c r="L15" s="5">
        <v>265</v>
      </c>
      <c r="M15" s="5">
        <v>265</v>
      </c>
      <c r="N15" s="5">
        <f>SUM(B15:F15)</f>
        <v>1325</v>
      </c>
    </row>
    <row r="16" spans="1:14" s="5" customFormat="1" x14ac:dyDescent="0.25">
      <c r="A16" s="4"/>
      <c r="B16" s="7">
        <f t="shared" ref="B16:N16" si="2">SUM(B15:B15)</f>
        <v>265</v>
      </c>
      <c r="C16" s="7">
        <f t="shared" si="2"/>
        <v>265</v>
      </c>
      <c r="D16" s="7">
        <f t="shared" si="2"/>
        <v>265</v>
      </c>
      <c r="E16" s="7">
        <f t="shared" si="2"/>
        <v>265</v>
      </c>
      <c r="F16" s="7">
        <f>SUM(F15:F15)</f>
        <v>265</v>
      </c>
      <c r="G16" s="7">
        <f>SUM(G15:G15)</f>
        <v>265</v>
      </c>
      <c r="H16" s="7">
        <f t="shared" ref="H16:L16" si="3">SUM(H15:H15)</f>
        <v>530</v>
      </c>
      <c r="I16" s="7">
        <f t="shared" si="3"/>
        <v>265</v>
      </c>
      <c r="J16" s="7">
        <f t="shared" si="3"/>
        <v>265</v>
      </c>
      <c r="K16" s="7">
        <f t="shared" si="3"/>
        <v>265</v>
      </c>
      <c r="L16" s="7">
        <f t="shared" si="3"/>
        <v>265</v>
      </c>
      <c r="M16" s="7">
        <f t="shared" si="2"/>
        <v>265</v>
      </c>
      <c r="N16" s="7">
        <f t="shared" si="2"/>
        <v>1325</v>
      </c>
    </row>
    <row r="17" spans="1:15" s="5" customFormat="1" x14ac:dyDescent="0.25">
      <c r="A17" t="s">
        <v>245</v>
      </c>
    </row>
    <row r="18" spans="1:15" s="5" customFormat="1" ht="15.75" thickBot="1" x14ac:dyDescent="0.3">
      <c r="A18" s="4" t="s">
        <v>210</v>
      </c>
      <c r="B18" s="8">
        <f t="shared" ref="B18:N18" si="4">B12+B16</f>
        <v>9516.27</v>
      </c>
      <c r="C18" s="8">
        <f t="shared" si="4"/>
        <v>9516.27</v>
      </c>
      <c r="D18" s="8">
        <f t="shared" si="4"/>
        <v>9516.27</v>
      </c>
      <c r="E18" s="8">
        <f t="shared" si="4"/>
        <v>10036.27</v>
      </c>
      <c r="F18" s="8">
        <f>F12+F16</f>
        <v>9516.27</v>
      </c>
      <c r="G18" s="8">
        <f>G12+G16</f>
        <v>9516.27</v>
      </c>
      <c r="H18" s="8">
        <f t="shared" ref="H18:L18" si="5">H12+H16</f>
        <v>9781.27</v>
      </c>
      <c r="I18" s="8">
        <f t="shared" si="5"/>
        <v>9516.27</v>
      </c>
      <c r="J18" s="8">
        <f t="shared" si="5"/>
        <v>9516.27</v>
      </c>
      <c r="K18" s="8">
        <f t="shared" si="5"/>
        <v>9516.27</v>
      </c>
      <c r="L18" s="8">
        <f t="shared" si="5"/>
        <v>9514.27</v>
      </c>
      <c r="M18" s="8">
        <f t="shared" si="4"/>
        <v>9516.2199999999993</v>
      </c>
      <c r="N18" s="8">
        <f t="shared" si="4"/>
        <v>48101.350000000006</v>
      </c>
    </row>
    <row r="20" spans="1:15" s="5" customFormat="1" x14ac:dyDescent="0.25">
      <c r="A20" s="4" t="s">
        <v>297</v>
      </c>
    </row>
    <row r="21" spans="1:15" s="5" customFormat="1" x14ac:dyDescent="0.25">
      <c r="A21" t="s">
        <v>365</v>
      </c>
      <c r="B21" s="5">
        <v>16700</v>
      </c>
      <c r="C21" s="5">
        <v>16700</v>
      </c>
      <c r="D21" s="5">
        <v>16700</v>
      </c>
      <c r="E21" s="5">
        <v>16700</v>
      </c>
      <c r="F21" s="5">
        <v>16700</v>
      </c>
      <c r="G21" s="5">
        <v>16700</v>
      </c>
      <c r="H21" s="5">
        <v>16700</v>
      </c>
      <c r="I21" s="5">
        <v>16700</v>
      </c>
      <c r="J21" s="5">
        <v>16700</v>
      </c>
      <c r="K21" s="5">
        <v>16700</v>
      </c>
      <c r="L21" s="5">
        <v>16700</v>
      </c>
      <c r="M21" s="5">
        <v>16700</v>
      </c>
      <c r="N21" s="5">
        <f t="shared" ref="N21:N26" si="6">SUM(B21:F21)</f>
        <v>83500</v>
      </c>
    </row>
    <row r="22" spans="1:15" s="5" customFormat="1" x14ac:dyDescent="0.25">
      <c r="A22" t="s">
        <v>407</v>
      </c>
      <c r="B22" s="5">
        <v>1000</v>
      </c>
      <c r="C22" s="5">
        <v>1000</v>
      </c>
      <c r="D22" s="5">
        <v>1000</v>
      </c>
      <c r="E22" s="5">
        <v>1000</v>
      </c>
      <c r="F22" s="5">
        <v>1000</v>
      </c>
      <c r="G22" s="5">
        <v>1000</v>
      </c>
      <c r="H22" s="5">
        <v>1000</v>
      </c>
      <c r="I22" s="5">
        <v>1000</v>
      </c>
      <c r="J22" s="5">
        <v>1000</v>
      </c>
      <c r="K22" s="5">
        <v>1000</v>
      </c>
      <c r="L22" s="5">
        <v>1000</v>
      </c>
      <c r="M22" s="5">
        <v>1000</v>
      </c>
      <c r="N22" s="5">
        <f t="shared" si="6"/>
        <v>5000</v>
      </c>
    </row>
    <row r="23" spans="1:15" s="5" customFormat="1" x14ac:dyDescent="0.25">
      <c r="A23" t="s">
        <v>481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45000</v>
      </c>
      <c r="K23" s="5">
        <v>5000</v>
      </c>
      <c r="L23" s="5">
        <v>5000</v>
      </c>
      <c r="M23" s="5">
        <v>5000</v>
      </c>
      <c r="N23" s="5">
        <f t="shared" si="6"/>
        <v>0</v>
      </c>
    </row>
    <row r="24" spans="1:15" s="5" customFormat="1" x14ac:dyDescent="0.25">
      <c r="A24" t="s">
        <v>489</v>
      </c>
      <c r="B24" s="5">
        <v>1.01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f t="shared" si="6"/>
        <v>1.01</v>
      </c>
    </row>
    <row r="25" spans="1:15" s="5" customFormat="1" x14ac:dyDescent="0.25">
      <c r="A25" t="s">
        <v>270</v>
      </c>
      <c r="B25" s="5">
        <v>3691.03</v>
      </c>
      <c r="C25" s="5">
        <v>3673.36</v>
      </c>
      <c r="D25" s="5">
        <v>3655.63</v>
      </c>
      <c r="E25" s="5">
        <v>3637.86</v>
      </c>
      <c r="F25" s="5">
        <v>3620.04</v>
      </c>
      <c r="G25" s="5">
        <v>3602.17</v>
      </c>
      <c r="H25" s="5">
        <v>3584.24</v>
      </c>
      <c r="I25" s="5">
        <v>3566.27</v>
      </c>
      <c r="J25" s="5">
        <v>3548.25</v>
      </c>
      <c r="K25" s="5">
        <v>3669.07</v>
      </c>
      <c r="L25" s="5">
        <v>3720.39</v>
      </c>
      <c r="M25" s="5">
        <v>3709.17</v>
      </c>
      <c r="N25" s="5">
        <f t="shared" si="6"/>
        <v>18277.920000000002</v>
      </c>
    </row>
    <row r="26" spans="1:15" s="5" customFormat="1" x14ac:dyDescent="0.25">
      <c r="A26" t="s">
        <v>271</v>
      </c>
      <c r="B26" s="5">
        <v>-860.93</v>
      </c>
      <c r="C26" s="5">
        <v>-860.93</v>
      </c>
      <c r="D26" s="5">
        <v>-860.93</v>
      </c>
      <c r="E26" s="5">
        <v>-860.93</v>
      </c>
      <c r="F26" s="5">
        <v>-860.93</v>
      </c>
      <c r="G26" s="5">
        <v>-860.93</v>
      </c>
      <c r="H26" s="5">
        <v>-860.93</v>
      </c>
      <c r="I26" s="5">
        <v>-860.93</v>
      </c>
      <c r="J26" s="5">
        <v>-860.93</v>
      </c>
      <c r="K26" s="5">
        <v>-860.93</v>
      </c>
      <c r="L26" s="5">
        <v>-860.93</v>
      </c>
      <c r="M26" s="5">
        <v>-860.93</v>
      </c>
      <c r="N26" s="5">
        <f t="shared" si="6"/>
        <v>-4304.6499999999996</v>
      </c>
    </row>
    <row r="27" spans="1:15" s="5" customFormat="1" x14ac:dyDescent="0.25">
      <c r="A27" s="4" t="s">
        <v>299</v>
      </c>
      <c r="B27" s="7">
        <f t="shared" ref="B27:M27" si="7">SUM(B21:B26)</f>
        <v>20531.109999999997</v>
      </c>
      <c r="C27" s="7">
        <f t="shared" si="7"/>
        <v>20512.43</v>
      </c>
      <c r="D27" s="7">
        <f t="shared" si="7"/>
        <v>20494.7</v>
      </c>
      <c r="E27" s="7">
        <f t="shared" si="7"/>
        <v>20476.93</v>
      </c>
      <c r="F27" s="7">
        <f>SUM(F21:F26)</f>
        <v>20459.11</v>
      </c>
      <c r="G27" s="7">
        <f>SUM(G21:G26)</f>
        <v>20441.239999999998</v>
      </c>
      <c r="H27" s="7">
        <f t="shared" ref="H27:L27" si="8">SUM(H21:H26)</f>
        <v>20423.309999999998</v>
      </c>
      <c r="I27" s="7">
        <f t="shared" si="8"/>
        <v>20405.34</v>
      </c>
      <c r="J27" s="7">
        <f t="shared" si="8"/>
        <v>65387.32</v>
      </c>
      <c r="K27" s="7">
        <f t="shared" si="8"/>
        <v>25508.14</v>
      </c>
      <c r="L27" s="7">
        <f t="shared" si="8"/>
        <v>25559.46</v>
      </c>
      <c r="M27" s="7">
        <f t="shared" si="7"/>
        <v>25548.239999999998</v>
      </c>
      <c r="N27" s="7">
        <f>SUM(N21:N26)</f>
        <v>102474.28</v>
      </c>
    </row>
    <row r="29" spans="1:15" ht="15.75" thickBot="1" x14ac:dyDescent="0.3">
      <c r="A29" s="4" t="s">
        <v>300</v>
      </c>
      <c r="B29" s="9">
        <f>B27-B18</f>
        <v>11014.839999999997</v>
      </c>
      <c r="C29" s="9">
        <f t="shared" ref="C29:M29" si="9">C27-C18</f>
        <v>10996.16</v>
      </c>
      <c r="D29" s="9">
        <f t="shared" si="9"/>
        <v>10978.43</v>
      </c>
      <c r="E29" s="9">
        <f t="shared" si="9"/>
        <v>10440.66</v>
      </c>
      <c r="F29" s="9">
        <f>F27-F18</f>
        <v>10942.84</v>
      </c>
      <c r="G29" s="9">
        <f>G27-G18</f>
        <v>10924.969999999998</v>
      </c>
      <c r="H29" s="9">
        <f t="shared" ref="H29:L29" si="10">H27-H18</f>
        <v>10642.039999999997</v>
      </c>
      <c r="I29" s="9">
        <f t="shared" si="10"/>
        <v>10889.07</v>
      </c>
      <c r="J29" s="9">
        <f t="shared" si="10"/>
        <v>55871.05</v>
      </c>
      <c r="K29" s="9">
        <f t="shared" si="10"/>
        <v>15991.869999999999</v>
      </c>
      <c r="L29" s="9">
        <f t="shared" si="10"/>
        <v>16045.189999999999</v>
      </c>
      <c r="M29" s="9">
        <f t="shared" si="9"/>
        <v>16032.019999999999</v>
      </c>
      <c r="N29" s="9">
        <f>N27-N18</f>
        <v>54372.929999999993</v>
      </c>
      <c r="O29"/>
    </row>
    <row r="30" spans="1:15" ht="15.75" thickTop="1" x14ac:dyDescent="0.25"/>
  </sheetData>
  <mergeCells count="3">
    <mergeCell ref="A1:N1"/>
    <mergeCell ref="A2:N2"/>
    <mergeCell ref="A3:N3"/>
  </mergeCells>
  <pageMargins left="0.7" right="0.7" top="0.75" bottom="0.75" header="0.3" footer="0.3"/>
  <pageSetup paperSize="5" scale="75" fitToHeight="0" orientation="landscape" r:id="rId1"/>
  <colBreaks count="1" manualBreakCount="1">
    <brk id="1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pageSetUpPr fitToPage="1"/>
  </sheetPr>
  <dimension ref="A1:O31"/>
  <sheetViews>
    <sheetView zoomScaleNormal="100" workbookViewId="0">
      <pane ySplit="6" topLeftCell="A7" activePane="bottomLeft" state="frozen"/>
      <selection activeCell="C20" sqref="C20"/>
      <selection pane="bottomLeft" activeCell="B29" sqref="B29:F29"/>
    </sheetView>
  </sheetViews>
  <sheetFormatPr defaultRowHeight="15" x14ac:dyDescent="0.25"/>
  <cols>
    <col min="1" max="1" width="44.42578125" bestFit="1" customWidth="1"/>
    <col min="2" max="3" width="13" style="5" bestFit="1" customWidth="1"/>
    <col min="4" max="4" width="13.42578125" style="5" bestFit="1" customWidth="1"/>
    <col min="5" max="13" width="13" style="5" bestFit="1" customWidth="1"/>
    <col min="14" max="14" width="13.42578125" style="5" bestFit="1" customWidth="1"/>
    <col min="15" max="15" width="9.140625" style="5" customWidth="1"/>
    <col min="16" max="16" width="9.5703125" bestFit="1" customWidth="1"/>
    <col min="18" max="18" width="11.5703125" bestFit="1" customWidth="1"/>
  </cols>
  <sheetData>
    <row r="1" spans="1:14" x14ac:dyDescent="0.25">
      <c r="A1" s="251" t="s">
        <v>417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 x14ac:dyDescent="0.25">
      <c r="A2" s="251" t="s">
        <v>274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</row>
    <row r="3" spans="1:14" x14ac:dyDescent="0.25">
      <c r="A3" s="251">
        <v>2018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</row>
    <row r="4" spans="1:14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B6" s="10" t="s">
        <v>301</v>
      </c>
      <c r="C6" s="10" t="s">
        <v>302</v>
      </c>
      <c r="D6" s="10" t="s">
        <v>303</v>
      </c>
      <c r="E6" s="10" t="s">
        <v>304</v>
      </c>
      <c r="F6" s="10" t="s">
        <v>378</v>
      </c>
      <c r="G6" s="10" t="s">
        <v>420</v>
      </c>
      <c r="H6" s="10" t="s">
        <v>440</v>
      </c>
      <c r="I6" s="10" t="s">
        <v>450</v>
      </c>
      <c r="J6" s="10" t="s">
        <v>464</v>
      </c>
      <c r="K6" s="10" t="s">
        <v>482</v>
      </c>
      <c r="L6" s="10" t="s">
        <v>485</v>
      </c>
      <c r="M6" s="10" t="s">
        <v>538</v>
      </c>
      <c r="N6" s="10" t="s">
        <v>207</v>
      </c>
    </row>
    <row r="8" spans="1:14" s="5" customFormat="1" x14ac:dyDescent="0.25">
      <c r="A8" s="4" t="s">
        <v>209</v>
      </c>
    </row>
    <row r="9" spans="1:14" s="5" customFormat="1" x14ac:dyDescent="0.25">
      <c r="A9" s="4" t="s">
        <v>288</v>
      </c>
    </row>
    <row r="10" spans="1:14" s="5" customFormat="1" x14ac:dyDescent="0.25">
      <c r="A10" t="s">
        <v>356</v>
      </c>
      <c r="B10" s="5">
        <v>0</v>
      </c>
      <c r="C10" s="5">
        <v>0</v>
      </c>
      <c r="D10" s="5">
        <v>0</v>
      </c>
      <c r="E10" s="5">
        <v>520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f>SUM(B10:F10)</f>
        <v>520</v>
      </c>
    </row>
    <row r="11" spans="1:14" s="5" customFormat="1" x14ac:dyDescent="0.25">
      <c r="A11" t="s">
        <v>292</v>
      </c>
      <c r="B11" s="5">
        <v>14678.56</v>
      </c>
      <c r="C11" s="5">
        <v>14704</v>
      </c>
      <c r="D11" s="5">
        <v>14704</v>
      </c>
      <c r="E11" s="5">
        <v>14704</v>
      </c>
      <c r="F11" s="5">
        <v>14704</v>
      </c>
      <c r="G11" s="5">
        <v>14704</v>
      </c>
      <c r="H11" s="5">
        <v>14704</v>
      </c>
      <c r="I11" s="5">
        <v>14665.08</v>
      </c>
      <c r="J11" s="5">
        <v>14665.08</v>
      </c>
      <c r="K11" s="5">
        <v>14903.12</v>
      </c>
      <c r="L11" s="5">
        <v>14801.11</v>
      </c>
      <c r="M11" s="5">
        <v>14897.01</v>
      </c>
      <c r="N11" s="5">
        <f>SUM(B11:F11)</f>
        <v>73494.559999999998</v>
      </c>
    </row>
    <row r="12" spans="1:14" s="5" customFormat="1" x14ac:dyDescent="0.25">
      <c r="A12" s="4" t="s">
        <v>334</v>
      </c>
      <c r="B12" s="7">
        <f t="shared" ref="B12:N12" si="0">SUM(B10:B11)</f>
        <v>14678.56</v>
      </c>
      <c r="C12" s="7">
        <f t="shared" si="0"/>
        <v>14704</v>
      </c>
      <c r="D12" s="7">
        <f t="shared" si="0"/>
        <v>14704</v>
      </c>
      <c r="E12" s="7">
        <f t="shared" si="0"/>
        <v>15224</v>
      </c>
      <c r="F12" s="7">
        <f>SUM(F10:F11)</f>
        <v>14704</v>
      </c>
      <c r="G12" s="7">
        <f>SUM(G10:G11)</f>
        <v>14704</v>
      </c>
      <c r="H12" s="7">
        <f t="shared" ref="H12:L12" si="1">SUM(H10:H11)</f>
        <v>14704</v>
      </c>
      <c r="I12" s="7">
        <f t="shared" si="1"/>
        <v>14665.08</v>
      </c>
      <c r="J12" s="7">
        <f t="shared" si="1"/>
        <v>14665.08</v>
      </c>
      <c r="K12" s="7">
        <f t="shared" si="1"/>
        <v>14903.12</v>
      </c>
      <c r="L12" s="7">
        <f t="shared" si="1"/>
        <v>14801.11</v>
      </c>
      <c r="M12" s="7">
        <f t="shared" si="0"/>
        <v>14897.01</v>
      </c>
      <c r="N12" s="7">
        <f t="shared" si="0"/>
        <v>74014.559999999998</v>
      </c>
    </row>
    <row r="14" spans="1:14" s="5" customFormat="1" x14ac:dyDescent="0.25">
      <c r="A14" s="4" t="s">
        <v>293</v>
      </c>
    </row>
    <row r="15" spans="1:14" s="5" customFormat="1" x14ac:dyDescent="0.25">
      <c r="A15" t="s">
        <v>360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2550</v>
      </c>
      <c r="L15" s="5">
        <v>0</v>
      </c>
      <c r="M15" s="5">
        <v>0</v>
      </c>
      <c r="N15" s="5">
        <f>SUM(B15:F15)</f>
        <v>0</v>
      </c>
    </row>
    <row r="16" spans="1:14" s="5" customFormat="1" x14ac:dyDescent="0.25">
      <c r="A16" t="s">
        <v>441</v>
      </c>
      <c r="B16" s="5">
        <v>78.37</v>
      </c>
      <c r="C16" s="5">
        <v>78.38</v>
      </c>
      <c r="D16" s="5">
        <v>84.61</v>
      </c>
      <c r="E16" s="5">
        <v>78.400000000000006</v>
      </c>
      <c r="F16" s="5">
        <v>82.39</v>
      </c>
      <c r="G16" s="5">
        <v>78.48</v>
      </c>
      <c r="H16" s="5">
        <v>80.56</v>
      </c>
      <c r="I16" s="5">
        <v>61.32</v>
      </c>
      <c r="J16" s="5">
        <v>91.96</v>
      </c>
      <c r="K16" s="5">
        <v>77.11</v>
      </c>
      <c r="L16" s="5">
        <v>89.15</v>
      </c>
      <c r="M16" s="5">
        <v>74.52</v>
      </c>
      <c r="N16" s="5">
        <f>SUM(B16:F16)</f>
        <v>402.15</v>
      </c>
    </row>
    <row r="17" spans="1:15" s="5" customFormat="1" x14ac:dyDescent="0.25">
      <c r="A17" s="4" t="s">
        <v>296</v>
      </c>
      <c r="B17" s="7">
        <f>SUM(B15:B16)</f>
        <v>78.37</v>
      </c>
      <c r="C17" s="7">
        <f t="shared" ref="C17:M17" si="2">SUM(C15:C16)</f>
        <v>78.38</v>
      </c>
      <c r="D17" s="7">
        <f t="shared" si="2"/>
        <v>84.61</v>
      </c>
      <c r="E17" s="7">
        <f t="shared" si="2"/>
        <v>78.400000000000006</v>
      </c>
      <c r="F17" s="7">
        <f>SUM(F15:F16)</f>
        <v>82.39</v>
      </c>
      <c r="G17" s="7">
        <f>SUM(G15:G16)</f>
        <v>78.48</v>
      </c>
      <c r="H17" s="7">
        <f t="shared" ref="H17:L17" si="3">SUM(H15:H16)</f>
        <v>80.56</v>
      </c>
      <c r="I17" s="7">
        <f t="shared" si="3"/>
        <v>61.32</v>
      </c>
      <c r="J17" s="7">
        <f t="shared" si="3"/>
        <v>91.96</v>
      </c>
      <c r="K17" s="7">
        <f t="shared" si="3"/>
        <v>2627.11</v>
      </c>
      <c r="L17" s="7">
        <f t="shared" si="3"/>
        <v>89.15</v>
      </c>
      <c r="M17" s="7">
        <f t="shared" si="2"/>
        <v>74.52</v>
      </c>
      <c r="N17" s="7">
        <f>SUM(N15:N16)</f>
        <v>402.15</v>
      </c>
    </row>
    <row r="18" spans="1:15" s="5" customFormat="1" x14ac:dyDescent="0.25">
      <c r="A18" t="s">
        <v>245</v>
      </c>
    </row>
    <row r="19" spans="1:15" s="5" customFormat="1" ht="15.75" thickBot="1" x14ac:dyDescent="0.3">
      <c r="A19" s="4" t="s">
        <v>210</v>
      </c>
      <c r="B19" s="8">
        <f t="shared" ref="B19:N19" si="4">B12+B17</f>
        <v>14756.93</v>
      </c>
      <c r="C19" s="8">
        <f t="shared" si="4"/>
        <v>14782.38</v>
      </c>
      <c r="D19" s="8">
        <f t="shared" si="4"/>
        <v>14788.61</v>
      </c>
      <c r="E19" s="8">
        <f t="shared" si="4"/>
        <v>15302.4</v>
      </c>
      <c r="F19" s="8">
        <f>F12+F17</f>
        <v>14786.39</v>
      </c>
      <c r="G19" s="8">
        <f>G12+G17</f>
        <v>14782.48</v>
      </c>
      <c r="H19" s="8">
        <f t="shared" ref="H19:L19" si="5">H12+H17</f>
        <v>14784.56</v>
      </c>
      <c r="I19" s="8">
        <f t="shared" si="5"/>
        <v>14726.4</v>
      </c>
      <c r="J19" s="8">
        <f t="shared" si="5"/>
        <v>14757.039999999999</v>
      </c>
      <c r="K19" s="8">
        <f t="shared" si="5"/>
        <v>17530.23</v>
      </c>
      <c r="L19" s="8">
        <f t="shared" si="5"/>
        <v>14890.26</v>
      </c>
      <c r="M19" s="8">
        <f t="shared" si="4"/>
        <v>14971.53</v>
      </c>
      <c r="N19" s="8">
        <f t="shared" si="4"/>
        <v>74416.709999999992</v>
      </c>
    </row>
    <row r="21" spans="1:15" s="5" customFormat="1" x14ac:dyDescent="0.25">
      <c r="A21" s="4" t="s">
        <v>297</v>
      </c>
    </row>
    <row r="22" spans="1:15" s="5" customFormat="1" x14ac:dyDescent="0.25">
      <c r="A22" t="s">
        <v>442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25000</v>
      </c>
      <c r="I22" s="5">
        <v>25000</v>
      </c>
      <c r="J22" s="5">
        <v>25000</v>
      </c>
      <c r="K22" s="5">
        <v>25000</v>
      </c>
      <c r="L22" s="5">
        <v>25000</v>
      </c>
      <c r="M22" s="5">
        <v>25000</v>
      </c>
      <c r="N22" s="5">
        <f>SUM(B22:F22)</f>
        <v>0</v>
      </c>
    </row>
    <row r="23" spans="1:15" s="5" customFormat="1" x14ac:dyDescent="0.25">
      <c r="A23" t="s">
        <v>465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f>92500-25000</f>
        <v>67500</v>
      </c>
      <c r="K23" s="5">
        <v>7500</v>
      </c>
      <c r="L23" s="5">
        <v>7500</v>
      </c>
      <c r="M23" s="5">
        <v>7500</v>
      </c>
      <c r="N23" s="5">
        <f>SUM(B23:F23)</f>
        <v>0</v>
      </c>
    </row>
    <row r="24" spans="1:15" s="5" customFormat="1" x14ac:dyDescent="0.25">
      <c r="A24" t="s">
        <v>489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f>SUM(B24:F24)</f>
        <v>0</v>
      </c>
    </row>
    <row r="25" spans="1:15" s="5" customFormat="1" x14ac:dyDescent="0.25">
      <c r="A25" t="s">
        <v>270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f>SUM(B25:F25)</f>
        <v>0</v>
      </c>
    </row>
    <row r="26" spans="1:15" s="5" customFormat="1" x14ac:dyDescent="0.25">
      <c r="A26" t="s">
        <v>271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-138.88999999999999</v>
      </c>
      <c r="L26" s="5">
        <v>-208.33</v>
      </c>
      <c r="M26" s="5">
        <v>-215.28</v>
      </c>
      <c r="N26" s="5">
        <f>SUM(B26:F26)</f>
        <v>0</v>
      </c>
    </row>
    <row r="27" spans="1:15" s="5" customFormat="1" x14ac:dyDescent="0.25">
      <c r="A27" s="4" t="s">
        <v>299</v>
      </c>
      <c r="B27" s="7">
        <f t="shared" ref="B27:M27" si="6">SUM(B22:B26)</f>
        <v>0</v>
      </c>
      <c r="C27" s="7">
        <f t="shared" si="6"/>
        <v>0</v>
      </c>
      <c r="D27" s="7">
        <f t="shared" si="6"/>
        <v>0</v>
      </c>
      <c r="E27" s="7">
        <f t="shared" si="6"/>
        <v>0</v>
      </c>
      <c r="F27" s="7">
        <f>SUM(F22:F26)</f>
        <v>0</v>
      </c>
      <c r="G27" s="7">
        <f>SUM(G22:G26)</f>
        <v>0</v>
      </c>
      <c r="H27" s="7">
        <f t="shared" ref="H27:L27" si="7">SUM(H22:H26)</f>
        <v>25000</v>
      </c>
      <c r="I27" s="7">
        <f t="shared" si="7"/>
        <v>25000</v>
      </c>
      <c r="J27" s="7">
        <f t="shared" si="7"/>
        <v>92500</v>
      </c>
      <c r="K27" s="7">
        <f t="shared" si="7"/>
        <v>32361.11</v>
      </c>
      <c r="L27" s="7">
        <f t="shared" si="7"/>
        <v>32291.67</v>
      </c>
      <c r="M27" s="7">
        <f t="shared" si="6"/>
        <v>32284.720000000001</v>
      </c>
      <c r="N27" s="7">
        <f>SUM(N22:N26)</f>
        <v>0</v>
      </c>
    </row>
    <row r="29" spans="1:15" ht="15.75" thickBot="1" x14ac:dyDescent="0.3">
      <c r="A29" s="4" t="s">
        <v>300</v>
      </c>
      <c r="B29" s="9">
        <f>B27-B19</f>
        <v>-14756.93</v>
      </c>
      <c r="C29" s="9">
        <f t="shared" ref="C29:M29" si="8">C27-C19</f>
        <v>-14782.38</v>
      </c>
      <c r="D29" s="9">
        <f t="shared" si="8"/>
        <v>-14788.61</v>
      </c>
      <c r="E29" s="9">
        <f t="shared" si="8"/>
        <v>-15302.4</v>
      </c>
      <c r="F29" s="9">
        <f>F27-F19</f>
        <v>-14786.39</v>
      </c>
      <c r="G29" s="9">
        <f>G27-G19</f>
        <v>-14782.48</v>
      </c>
      <c r="H29" s="9">
        <f t="shared" ref="H29:L29" si="9">H27-H19</f>
        <v>10215.44</v>
      </c>
      <c r="I29" s="9">
        <f t="shared" si="9"/>
        <v>10273.6</v>
      </c>
      <c r="J29" s="9">
        <f t="shared" si="9"/>
        <v>77742.960000000006</v>
      </c>
      <c r="K29" s="9">
        <f t="shared" si="9"/>
        <v>14830.880000000001</v>
      </c>
      <c r="L29" s="9">
        <f t="shared" si="9"/>
        <v>17401.409999999996</v>
      </c>
      <c r="M29" s="9">
        <f t="shared" si="8"/>
        <v>17313.190000000002</v>
      </c>
      <c r="N29" s="9">
        <f>N27-N19</f>
        <v>-74416.709999999992</v>
      </c>
      <c r="O29"/>
    </row>
    <row r="30" spans="1:15" ht="15.75" thickTop="1" x14ac:dyDescent="0.25"/>
    <row r="31" spans="1:15" x14ac:dyDescent="0.25">
      <c r="J31" s="5">
        <v>0</v>
      </c>
      <c r="K31" s="5">
        <v>0</v>
      </c>
      <c r="L31" s="5">
        <v>0</v>
      </c>
      <c r="M31" s="5"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paperSize="5" scale="75" fitToHeight="0" orientation="landscape" r:id="rId1"/>
  <colBreaks count="1" manualBreakCount="1">
    <brk id="1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1:Q291"/>
  <sheetViews>
    <sheetView view="pageBreakPreview" zoomScale="60" zoomScaleNormal="110" workbookViewId="0">
      <pane xSplit="1" ySplit="4" topLeftCell="B245" activePane="bottomRight" state="frozen"/>
      <selection activeCell="C20" sqref="C20"/>
      <selection pane="topRight" activeCell="C20" sqref="C20"/>
      <selection pane="bottomLeft" activeCell="C20" sqref="C20"/>
      <selection pane="bottomRight" activeCell="G300" sqref="G300"/>
    </sheetView>
  </sheetViews>
  <sheetFormatPr defaultColWidth="9.140625" defaultRowHeight="15" x14ac:dyDescent="0.25"/>
  <cols>
    <col min="1" max="1" width="67.140625" style="66" customWidth="1"/>
    <col min="2" max="2" width="22.42578125" style="130" customWidth="1"/>
    <col min="3" max="3" width="24" style="66" customWidth="1"/>
    <col min="4" max="4" width="24.28515625" style="66" customWidth="1"/>
    <col min="5" max="6" width="25.140625" style="66" customWidth="1"/>
    <col min="7" max="7" width="24" style="66" customWidth="1"/>
    <col min="8" max="9" width="23.42578125" style="66" customWidth="1"/>
    <col min="10" max="11" width="23" style="66" customWidth="1"/>
    <col min="12" max="13" width="25.5703125" style="66" customWidth="1"/>
    <col min="14" max="14" width="26.28515625" style="66" customWidth="1"/>
    <col min="15" max="15" width="12.5703125" style="66" bestFit="1" customWidth="1"/>
    <col min="16" max="17" width="26.28515625" style="66" hidden="1" customWidth="1"/>
    <col min="18" max="16384" width="9.140625" style="66"/>
  </cols>
  <sheetData>
    <row r="1" spans="1:17" ht="18.75" x14ac:dyDescent="0.3">
      <c r="A1" s="65" t="s">
        <v>0</v>
      </c>
    </row>
    <row r="2" spans="1:17" ht="19.5" thickBot="1" x14ac:dyDescent="0.35">
      <c r="A2" s="65"/>
      <c r="I2" s="66">
        <v>0</v>
      </c>
    </row>
    <row r="3" spans="1:17" ht="15.75" thickBot="1" x14ac:dyDescent="0.3">
      <c r="B3" s="131">
        <v>43131</v>
      </c>
      <c r="C3" s="131">
        <v>43159</v>
      </c>
      <c r="D3" s="131">
        <v>43190</v>
      </c>
      <c r="E3" s="131">
        <v>43220</v>
      </c>
      <c r="F3" s="131">
        <v>43251</v>
      </c>
      <c r="G3" s="131">
        <v>43281</v>
      </c>
      <c r="H3" s="131">
        <v>43312</v>
      </c>
      <c r="I3" s="131">
        <v>43343</v>
      </c>
      <c r="J3" s="131">
        <v>43373</v>
      </c>
      <c r="K3" s="131">
        <v>43404</v>
      </c>
      <c r="L3" s="131">
        <v>43434</v>
      </c>
      <c r="M3" s="131">
        <v>43465</v>
      </c>
      <c r="N3" s="132" t="s">
        <v>1</v>
      </c>
      <c r="P3" s="132" t="s">
        <v>2</v>
      </c>
      <c r="Q3" s="132" t="s">
        <v>3</v>
      </c>
    </row>
    <row r="4" spans="1:17" ht="15.75" thickBot="1" x14ac:dyDescent="0.3">
      <c r="A4" s="67" t="s">
        <v>4</v>
      </c>
      <c r="P4" s="132" t="s">
        <v>5</v>
      </c>
      <c r="Q4" s="132" t="s">
        <v>6</v>
      </c>
    </row>
    <row r="5" spans="1:17" x14ac:dyDescent="0.25">
      <c r="A5" s="66" t="s">
        <v>7</v>
      </c>
      <c r="B5" s="130">
        <f t="shared" ref="B5:L8" si="0">B107+B118</f>
        <v>154563428.67000002</v>
      </c>
      <c r="C5" s="130">
        <f t="shared" si="0"/>
        <v>109601727.78999999</v>
      </c>
      <c r="D5" s="130">
        <f t="shared" si="0"/>
        <v>101069868.19</v>
      </c>
      <c r="E5" s="130">
        <f t="shared" si="0"/>
        <v>92671539.059999987</v>
      </c>
      <c r="F5" s="130">
        <f t="shared" si="0"/>
        <v>94258757.019999996</v>
      </c>
      <c r="G5" s="130">
        <f t="shared" si="0"/>
        <v>92781088.61999999</v>
      </c>
      <c r="H5" s="130">
        <f t="shared" si="0"/>
        <v>122616849.06</v>
      </c>
      <c r="I5" s="130">
        <f t="shared" si="0"/>
        <v>126398264.86999999</v>
      </c>
      <c r="J5" s="130">
        <f t="shared" si="0"/>
        <v>93678610.930000007</v>
      </c>
      <c r="K5" s="130">
        <f t="shared" si="0"/>
        <v>83905128.570000008</v>
      </c>
      <c r="L5" s="130">
        <f t="shared" si="0"/>
        <v>78681236.390000001</v>
      </c>
      <c r="M5" s="130">
        <f t="shared" ref="M5" si="1">M107+M118</f>
        <v>58555297.399999999</v>
      </c>
      <c r="N5" s="130">
        <f>SUM(B5:F5)</f>
        <v>552165320.73000002</v>
      </c>
      <c r="P5" s="130">
        <f t="shared" ref="P5:P73" si="2">(N5-M5)/11</f>
        <v>44873638.484545462</v>
      </c>
      <c r="Q5" s="130">
        <f t="shared" ref="Q5:Q73" si="3">M5-P5</f>
        <v>13681658.915454537</v>
      </c>
    </row>
    <row r="6" spans="1:17" x14ac:dyDescent="0.25">
      <c r="A6" s="66" t="s">
        <v>8</v>
      </c>
      <c r="B6" s="130">
        <f t="shared" si="0"/>
        <v>424529753.21999997</v>
      </c>
      <c r="C6" s="130">
        <f t="shared" si="0"/>
        <v>1212317398.3500001</v>
      </c>
      <c r="D6" s="130">
        <f t="shared" si="0"/>
        <v>305312522.13</v>
      </c>
      <c r="E6" s="130">
        <f t="shared" si="0"/>
        <v>46941731.32</v>
      </c>
      <c r="F6" s="130">
        <f t="shared" si="0"/>
        <v>115060805.22</v>
      </c>
      <c r="G6" s="130">
        <f t="shared" si="0"/>
        <v>260963733.31999999</v>
      </c>
      <c r="H6" s="130">
        <f t="shared" si="0"/>
        <v>166703405.97</v>
      </c>
      <c r="I6" s="130">
        <f t="shared" si="0"/>
        <v>324765702.82999998</v>
      </c>
      <c r="J6" s="130">
        <f t="shared" si="0"/>
        <v>239385553.34999999</v>
      </c>
      <c r="K6" s="130">
        <f t="shared" si="0"/>
        <v>61006487.299999997</v>
      </c>
      <c r="L6" s="130">
        <f t="shared" si="0"/>
        <v>139341371.03999999</v>
      </c>
      <c r="M6" s="130">
        <f t="shared" ref="M6" si="4">M108+M119</f>
        <v>124404372.59</v>
      </c>
      <c r="N6" s="130">
        <f t="shared" ref="N6:N10" si="5">SUM(B6:F6)</f>
        <v>2104162210.2400002</v>
      </c>
      <c r="P6" s="130">
        <f t="shared" si="2"/>
        <v>179977985.24090913</v>
      </c>
      <c r="Q6" s="130">
        <f t="shared" si="3"/>
        <v>-55573612.650909126</v>
      </c>
    </row>
    <row r="7" spans="1:17" x14ac:dyDescent="0.25">
      <c r="A7" s="66" t="s">
        <v>9</v>
      </c>
      <c r="B7" s="130">
        <f t="shared" si="0"/>
        <v>2884704.37</v>
      </c>
      <c r="C7" s="130">
        <f t="shared" si="0"/>
        <v>2596535.7200000002</v>
      </c>
      <c r="D7" s="130">
        <f t="shared" si="0"/>
        <v>622399.88</v>
      </c>
      <c r="E7" s="130">
        <f t="shared" si="0"/>
        <v>1945746.84</v>
      </c>
      <c r="F7" s="130">
        <f t="shared" si="0"/>
        <v>1927944.8</v>
      </c>
      <c r="G7" s="130">
        <f t="shared" si="0"/>
        <v>474866.98</v>
      </c>
      <c r="H7" s="130">
        <f t="shared" si="0"/>
        <v>1059505.05</v>
      </c>
      <c r="I7" s="130">
        <f t="shared" si="0"/>
        <v>1450642.34</v>
      </c>
      <c r="J7" s="130">
        <f t="shared" si="0"/>
        <v>319490.71999999997</v>
      </c>
      <c r="K7" s="130">
        <f t="shared" si="0"/>
        <v>210539.64</v>
      </c>
      <c r="L7" s="130">
        <f t="shared" si="0"/>
        <v>2119802.66</v>
      </c>
      <c r="M7" s="130">
        <f t="shared" ref="M7" si="6">M109+M120</f>
        <v>1151011.7</v>
      </c>
      <c r="N7" s="130">
        <f t="shared" si="5"/>
        <v>9977331.6099999994</v>
      </c>
      <c r="P7" s="130">
        <f t="shared" si="2"/>
        <v>802392.71909090912</v>
      </c>
      <c r="Q7" s="130">
        <f t="shared" si="3"/>
        <v>348618.98090909084</v>
      </c>
    </row>
    <row r="8" spans="1:17" x14ac:dyDescent="0.25">
      <c r="A8" s="66" t="s">
        <v>10</v>
      </c>
      <c r="B8" s="133">
        <f t="shared" si="0"/>
        <v>3238349</v>
      </c>
      <c r="C8" s="133">
        <f t="shared" si="0"/>
        <v>1478660.42</v>
      </c>
      <c r="D8" s="133">
        <f t="shared" si="0"/>
        <v>1427673</v>
      </c>
      <c r="E8" s="133">
        <f t="shared" si="0"/>
        <v>2167697.4500000002</v>
      </c>
      <c r="F8" s="133">
        <f t="shared" si="0"/>
        <v>847867.6</v>
      </c>
      <c r="G8" s="133">
        <f t="shared" si="0"/>
        <v>784960.5</v>
      </c>
      <c r="H8" s="133">
        <f t="shared" si="0"/>
        <v>518684.94</v>
      </c>
      <c r="I8" s="133">
        <f t="shared" si="0"/>
        <v>749745</v>
      </c>
      <c r="J8" s="133">
        <f t="shared" si="0"/>
        <v>593767</v>
      </c>
      <c r="K8" s="133">
        <f t="shared" si="0"/>
        <v>2838661.13</v>
      </c>
      <c r="L8" s="133">
        <f t="shared" si="0"/>
        <v>1687433.35</v>
      </c>
      <c r="M8" s="133">
        <f t="shared" ref="M8" si="7">M110+M121</f>
        <v>5351119</v>
      </c>
      <c r="N8" s="130">
        <f t="shared" si="5"/>
        <v>9160247.4700000007</v>
      </c>
      <c r="P8" s="130">
        <f t="shared" si="2"/>
        <v>346284.40636363643</v>
      </c>
      <c r="Q8" s="130">
        <f t="shared" si="3"/>
        <v>5004834.5936363637</v>
      </c>
    </row>
    <row r="9" spans="1:17" x14ac:dyDescent="0.25">
      <c r="A9" s="66" t="s">
        <v>11</v>
      </c>
      <c r="B9" s="1">
        <f t="shared" ref="B9:L9" si="8">+B114+B124</f>
        <v>85825</v>
      </c>
      <c r="C9" s="1">
        <f t="shared" si="8"/>
        <v>579872.5</v>
      </c>
      <c r="D9" s="1">
        <f t="shared" si="8"/>
        <v>108078.75</v>
      </c>
      <c r="E9" s="1">
        <f t="shared" si="8"/>
        <v>903549.14</v>
      </c>
      <c r="F9" s="1">
        <f t="shared" si="8"/>
        <v>310999.59999999998</v>
      </c>
      <c r="G9" s="1">
        <f t="shared" si="8"/>
        <v>1246220.98</v>
      </c>
      <c r="H9" s="1">
        <f t="shared" si="8"/>
        <v>454175</v>
      </c>
      <c r="I9" s="1">
        <f t="shared" si="8"/>
        <v>875445</v>
      </c>
      <c r="J9" s="1">
        <f t="shared" si="8"/>
        <v>458565</v>
      </c>
      <c r="K9" s="1">
        <f t="shared" si="8"/>
        <v>664960</v>
      </c>
      <c r="L9" s="1">
        <f t="shared" si="8"/>
        <v>620675</v>
      </c>
      <c r="M9" s="1">
        <f t="shared" ref="M9" si="9">+M114+M124</f>
        <v>417215</v>
      </c>
      <c r="N9" s="130">
        <f t="shared" si="5"/>
        <v>1988324.9900000002</v>
      </c>
      <c r="P9" s="130">
        <f t="shared" si="2"/>
        <v>142828.18090909094</v>
      </c>
      <c r="Q9" s="130">
        <f t="shared" si="3"/>
        <v>274386.81909090909</v>
      </c>
    </row>
    <row r="10" spans="1:17" x14ac:dyDescent="0.25">
      <c r="A10" s="66" t="s">
        <v>12</v>
      </c>
      <c r="B10" s="1">
        <f t="shared" ref="B10:L10" si="10">B125+B127+B128+B126</f>
        <v>0</v>
      </c>
      <c r="C10" s="1">
        <f t="shared" si="10"/>
        <v>0</v>
      </c>
      <c r="D10" s="1">
        <f t="shared" si="10"/>
        <v>0</v>
      </c>
      <c r="E10" s="1">
        <f t="shared" si="10"/>
        <v>292312.5</v>
      </c>
      <c r="F10" s="1">
        <f t="shared" si="10"/>
        <v>0</v>
      </c>
      <c r="G10" s="1">
        <f t="shared" si="10"/>
        <v>1845</v>
      </c>
      <c r="H10" s="1">
        <f t="shared" si="10"/>
        <v>161476.78</v>
      </c>
      <c r="I10" s="1">
        <f t="shared" si="10"/>
        <v>138951.82999999999</v>
      </c>
      <c r="J10" s="1">
        <f t="shared" si="10"/>
        <v>2028039.81</v>
      </c>
      <c r="K10" s="1">
        <f t="shared" si="10"/>
        <v>1609511.6</v>
      </c>
      <c r="L10" s="1">
        <f t="shared" si="10"/>
        <v>3133630.18</v>
      </c>
      <c r="M10" s="1">
        <f>M125+M127+M128+M126</f>
        <v>3034090.86</v>
      </c>
      <c r="N10" s="130">
        <f t="shared" si="5"/>
        <v>292312.5</v>
      </c>
      <c r="P10" s="130"/>
      <c r="Q10" s="130"/>
    </row>
    <row r="11" spans="1:17" x14ac:dyDescent="0.25">
      <c r="B11" s="134">
        <f>SUM(B5:B10)</f>
        <v>585302060.25999999</v>
      </c>
      <c r="C11" s="134">
        <f>SUM(C5:C10)</f>
        <v>1326574194.7800002</v>
      </c>
      <c r="D11" s="134">
        <f>SUM(D5:D10)</f>
        <v>408540541.94999999</v>
      </c>
      <c r="E11" s="2">
        <f>SUM(E5:E10)</f>
        <v>144922576.30999997</v>
      </c>
      <c r="F11" s="2">
        <f t="shared" ref="F11:M11" si="11">SUM(F5:F10)</f>
        <v>212406374.24000001</v>
      </c>
      <c r="G11" s="2">
        <f t="shared" si="11"/>
        <v>356252715.40000004</v>
      </c>
      <c r="H11" s="2">
        <f>SUM(H5:H10)</f>
        <v>291514096.79999995</v>
      </c>
      <c r="I11" s="2">
        <f>SUM(I5:I10)</f>
        <v>454378751.86999995</v>
      </c>
      <c r="J11" s="2">
        <f t="shared" si="11"/>
        <v>336464026.81</v>
      </c>
      <c r="K11" s="2">
        <f t="shared" si="11"/>
        <v>150235288.23999998</v>
      </c>
      <c r="L11" s="2">
        <f t="shared" si="11"/>
        <v>225584148.62</v>
      </c>
      <c r="M11" s="2">
        <f t="shared" si="11"/>
        <v>192913106.55000001</v>
      </c>
      <c r="N11" s="134">
        <f>SUM(N5:N10)</f>
        <v>2677745747.54</v>
      </c>
      <c r="P11" s="134">
        <f t="shared" si="2"/>
        <v>225893876.45363635</v>
      </c>
      <c r="Q11" s="134">
        <f t="shared" si="3"/>
        <v>-32980769.903636336</v>
      </c>
    </row>
    <row r="12" spans="1:17" x14ac:dyDescent="0.25"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P12" s="66">
        <f t="shared" si="2"/>
        <v>0</v>
      </c>
      <c r="Q12" s="66">
        <f t="shared" si="3"/>
        <v>0</v>
      </c>
    </row>
    <row r="13" spans="1:17" x14ac:dyDescent="0.25">
      <c r="A13" s="67" t="s">
        <v>13</v>
      </c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P13" s="66">
        <f t="shared" si="2"/>
        <v>0</v>
      </c>
      <c r="Q13" s="66">
        <f t="shared" si="3"/>
        <v>0</v>
      </c>
    </row>
    <row r="14" spans="1:17" x14ac:dyDescent="0.25">
      <c r="A14" s="66" t="s">
        <v>14</v>
      </c>
      <c r="B14" s="1">
        <f t="shared" ref="B14:L14" si="12">B138+B163+B170</f>
        <v>157842383.69</v>
      </c>
      <c r="C14" s="1">
        <f t="shared" si="12"/>
        <v>108846154.46000001</v>
      </c>
      <c r="D14" s="1">
        <f t="shared" si="12"/>
        <v>100906197.60999998</v>
      </c>
      <c r="E14" s="1">
        <f t="shared" si="12"/>
        <v>92373678.780000001</v>
      </c>
      <c r="F14" s="1">
        <f t="shared" si="12"/>
        <v>94255718.569999993</v>
      </c>
      <c r="G14" s="1">
        <f t="shared" si="12"/>
        <v>92265888.5</v>
      </c>
      <c r="H14" s="1">
        <f t="shared" si="12"/>
        <v>124048206.41999999</v>
      </c>
      <c r="I14" s="1">
        <f t="shared" si="12"/>
        <v>127634931.13</v>
      </c>
      <c r="J14" s="1">
        <f t="shared" si="12"/>
        <v>93996436.060000002</v>
      </c>
      <c r="K14" s="1">
        <f t="shared" si="12"/>
        <v>83008415.149999991</v>
      </c>
      <c r="L14" s="1">
        <f t="shared" si="12"/>
        <v>78594642.269999996</v>
      </c>
      <c r="M14" s="1">
        <f t="shared" ref="M14" si="13">M138+M163+M170</f>
        <v>58236235.720000006</v>
      </c>
      <c r="N14" s="130">
        <f t="shared" ref="N14:N33" si="14">SUM(B14:F14)</f>
        <v>554224133.1099999</v>
      </c>
      <c r="P14" s="130">
        <f t="shared" si="2"/>
        <v>45089808.853636354</v>
      </c>
      <c r="Q14" s="130">
        <f t="shared" si="3"/>
        <v>13146426.866363652</v>
      </c>
    </row>
    <row r="15" spans="1:17" x14ac:dyDescent="0.25">
      <c r="A15" s="66" t="s">
        <v>15</v>
      </c>
      <c r="B15" s="1">
        <f t="shared" ref="B15:L15" si="15">B139+B164+B171</f>
        <v>422465521.94999993</v>
      </c>
      <c r="C15" s="1">
        <f t="shared" si="15"/>
        <v>1215546261.6300001</v>
      </c>
      <c r="D15" s="1">
        <f t="shared" si="15"/>
        <v>305678068.99000001</v>
      </c>
      <c r="E15" s="1">
        <f t="shared" si="15"/>
        <v>48482029.219999999</v>
      </c>
      <c r="F15" s="1">
        <f t="shared" si="15"/>
        <v>116507251.69</v>
      </c>
      <c r="G15" s="1">
        <f t="shared" si="15"/>
        <v>262380283.97</v>
      </c>
      <c r="H15" s="1">
        <f t="shared" si="15"/>
        <v>169287706.25999999</v>
      </c>
      <c r="I15" s="1">
        <f t="shared" si="15"/>
        <v>327625512.15999997</v>
      </c>
      <c r="J15" s="1">
        <f t="shared" si="15"/>
        <v>243891316.29999998</v>
      </c>
      <c r="K15" s="1">
        <f t="shared" si="15"/>
        <v>60177181.419999994</v>
      </c>
      <c r="L15" s="1">
        <f t="shared" si="15"/>
        <v>141374227.26999998</v>
      </c>
      <c r="M15" s="1">
        <f t="shared" ref="M15" si="16">M139+M164+M171</f>
        <v>123305362.91</v>
      </c>
      <c r="N15" s="130">
        <f t="shared" si="14"/>
        <v>2108679133.48</v>
      </c>
      <c r="P15" s="130">
        <f t="shared" si="2"/>
        <v>180488524.59727272</v>
      </c>
      <c r="Q15" s="130">
        <f t="shared" si="3"/>
        <v>-57183161.687272727</v>
      </c>
    </row>
    <row r="16" spans="1:17" x14ac:dyDescent="0.25">
      <c r="A16" s="66" t="s">
        <v>474</v>
      </c>
      <c r="B16" s="1">
        <f t="shared" ref="B16:L16" si="17">B140+B165+B172</f>
        <v>2842624.1900000004</v>
      </c>
      <c r="C16" s="1">
        <f t="shared" si="17"/>
        <v>2535222.7399999998</v>
      </c>
      <c r="D16" s="1">
        <f t="shared" si="17"/>
        <v>618326.57000000007</v>
      </c>
      <c r="E16" s="1">
        <f t="shared" si="17"/>
        <v>1945380.79</v>
      </c>
      <c r="F16" s="1">
        <f t="shared" si="17"/>
        <v>2008835.22</v>
      </c>
      <c r="G16" s="1">
        <f t="shared" si="17"/>
        <v>484708.1</v>
      </c>
      <c r="H16" s="1">
        <f t="shared" si="17"/>
        <v>1046932.3900000002</v>
      </c>
      <c r="I16" s="1">
        <f t="shared" si="17"/>
        <v>1505536.0799999998</v>
      </c>
      <c r="J16" s="1">
        <f t="shared" si="17"/>
        <v>401564.48</v>
      </c>
      <c r="K16" s="1">
        <f t="shared" si="17"/>
        <v>210096.02</v>
      </c>
      <c r="L16" s="1">
        <f t="shared" si="17"/>
        <v>1952009.67</v>
      </c>
      <c r="M16" s="1">
        <f t="shared" ref="M16" si="18">M140+M165+M172</f>
        <v>1201513.1299999999</v>
      </c>
      <c r="N16" s="130">
        <f t="shared" si="14"/>
        <v>9950389.5099999998</v>
      </c>
      <c r="P16" s="130">
        <f t="shared" si="2"/>
        <v>795352.39818181808</v>
      </c>
      <c r="Q16" s="130">
        <f t="shared" si="3"/>
        <v>406160.73181818181</v>
      </c>
    </row>
    <row r="17" spans="1:17" x14ac:dyDescent="0.25">
      <c r="A17" s="66" t="s">
        <v>16</v>
      </c>
      <c r="B17" s="1">
        <f t="shared" ref="B17:L17" si="19">B141+B166+B173</f>
        <v>3972878.5</v>
      </c>
      <c r="C17" s="1">
        <f t="shared" si="19"/>
        <v>1516251.86</v>
      </c>
      <c r="D17" s="1">
        <f t="shared" si="19"/>
        <v>1446310.3</v>
      </c>
      <c r="E17" s="1">
        <f t="shared" si="19"/>
        <v>2111524.9700000002</v>
      </c>
      <c r="F17" s="1">
        <f t="shared" si="19"/>
        <v>836505.07000000007</v>
      </c>
      <c r="G17" s="1">
        <f t="shared" si="19"/>
        <v>759607.35</v>
      </c>
      <c r="H17" s="1">
        <f t="shared" si="19"/>
        <v>470878.57</v>
      </c>
      <c r="I17" s="1">
        <f t="shared" si="19"/>
        <v>769499.35</v>
      </c>
      <c r="J17" s="1">
        <f t="shared" si="19"/>
        <v>632199.65</v>
      </c>
      <c r="K17" s="1">
        <f t="shared" si="19"/>
        <v>2817866.3699999996</v>
      </c>
      <c r="L17" s="1">
        <f t="shared" si="19"/>
        <v>1676602.18</v>
      </c>
      <c r="M17" s="1">
        <f t="shared" ref="M17" si="20">M141+M166+M173</f>
        <v>5349043.76</v>
      </c>
      <c r="N17" s="130">
        <f t="shared" si="14"/>
        <v>9883470.7000000011</v>
      </c>
      <c r="P17" s="130">
        <f t="shared" si="2"/>
        <v>412220.63090909104</v>
      </c>
      <c r="Q17" s="130">
        <f t="shared" si="3"/>
        <v>4936823.1290909089</v>
      </c>
    </row>
    <row r="18" spans="1:17" x14ac:dyDescent="0.25">
      <c r="A18" s="66" t="s">
        <v>17</v>
      </c>
      <c r="B18" s="1">
        <f t="shared" ref="B18:L18" si="21">B144+B179+B168</f>
        <v>103200.43</v>
      </c>
      <c r="C18" s="1">
        <f t="shared" si="21"/>
        <v>557565.63</v>
      </c>
      <c r="D18" s="1">
        <f t="shared" si="21"/>
        <v>104546.19</v>
      </c>
      <c r="E18" s="1">
        <f t="shared" si="21"/>
        <v>891459.31</v>
      </c>
      <c r="F18" s="1">
        <f t="shared" si="21"/>
        <v>468362.63</v>
      </c>
      <c r="G18" s="1">
        <f t="shared" si="21"/>
        <v>1064241.21</v>
      </c>
      <c r="H18" s="1">
        <f t="shared" si="21"/>
        <v>433922.20999999996</v>
      </c>
      <c r="I18" s="1">
        <f t="shared" si="21"/>
        <v>851173.99</v>
      </c>
      <c r="J18" s="1">
        <f t="shared" si="21"/>
        <v>441104</v>
      </c>
      <c r="K18" s="1">
        <f t="shared" si="21"/>
        <v>654934.12</v>
      </c>
      <c r="L18" s="1">
        <f t="shared" si="21"/>
        <v>610280.34000000008</v>
      </c>
      <c r="M18" s="1">
        <f t="shared" ref="M18" si="22">M144+M179+M168</f>
        <v>391438.04</v>
      </c>
      <c r="N18" s="130">
        <f t="shared" si="14"/>
        <v>2125134.19</v>
      </c>
      <c r="P18" s="130">
        <f t="shared" si="2"/>
        <v>157608.74090909091</v>
      </c>
      <c r="Q18" s="130">
        <f t="shared" si="3"/>
        <v>233829.29909090907</v>
      </c>
    </row>
    <row r="19" spans="1:17" x14ac:dyDescent="0.25">
      <c r="A19" s="66" t="s">
        <v>399</v>
      </c>
      <c r="B19" s="1">
        <f t="shared" ref="B19:L19" si="23">B142+B186</f>
        <v>0</v>
      </c>
      <c r="C19" s="1">
        <f t="shared" si="23"/>
        <v>0</v>
      </c>
      <c r="D19" s="1">
        <f t="shared" si="23"/>
        <v>0</v>
      </c>
      <c r="E19" s="1">
        <f t="shared" si="23"/>
        <v>0</v>
      </c>
      <c r="F19" s="1">
        <f t="shared" si="23"/>
        <v>0</v>
      </c>
      <c r="G19" s="1">
        <f t="shared" si="23"/>
        <v>0</v>
      </c>
      <c r="H19" s="1">
        <f t="shared" si="23"/>
        <v>0</v>
      </c>
      <c r="I19" s="1">
        <f t="shared" si="23"/>
        <v>0</v>
      </c>
      <c r="J19" s="1">
        <f t="shared" si="23"/>
        <v>86.04000000000002</v>
      </c>
      <c r="K19" s="1">
        <f t="shared" si="23"/>
        <v>-142.80000000000001</v>
      </c>
      <c r="L19" s="1">
        <f t="shared" si="23"/>
        <v>-492</v>
      </c>
      <c r="M19" s="1">
        <f t="shared" ref="M19" si="24">M142+M186</f>
        <v>9420.9500000000007</v>
      </c>
      <c r="N19" s="130">
        <f t="shared" si="14"/>
        <v>0</v>
      </c>
      <c r="P19" s="130"/>
      <c r="Q19" s="130"/>
    </row>
    <row r="20" spans="1:17" x14ac:dyDescent="0.25">
      <c r="A20" s="66" t="s">
        <v>12</v>
      </c>
      <c r="B20" s="1">
        <f t="shared" ref="B20:L20" si="25">B190+B192+B196+B195+B197+B191+B194+B198</f>
        <v>0</v>
      </c>
      <c r="C20" s="1">
        <f t="shared" si="25"/>
        <v>0</v>
      </c>
      <c r="D20" s="1">
        <f t="shared" si="25"/>
        <v>0</v>
      </c>
      <c r="E20" s="1">
        <f t="shared" si="25"/>
        <v>180989.71000000002</v>
      </c>
      <c r="F20" s="1">
        <f t="shared" si="25"/>
        <v>-0.02</v>
      </c>
      <c r="G20" s="1">
        <f t="shared" si="25"/>
        <v>1208.02</v>
      </c>
      <c r="H20" s="1">
        <f t="shared" si="25"/>
        <v>165633.65</v>
      </c>
      <c r="I20" s="1">
        <f t="shared" si="25"/>
        <v>148231.46</v>
      </c>
      <c r="J20" s="1">
        <f t="shared" si="25"/>
        <v>2225227.27</v>
      </c>
      <c r="K20" s="1">
        <f t="shared" si="25"/>
        <v>1271518.28</v>
      </c>
      <c r="L20" s="1">
        <f t="shared" si="25"/>
        <v>3248265.2199999997</v>
      </c>
      <c r="M20" s="1">
        <f>M190+M192+M196+M195+M197+M191+M194+M198</f>
        <v>2993380.23</v>
      </c>
      <c r="N20" s="130">
        <f t="shared" si="14"/>
        <v>180989.69000000003</v>
      </c>
      <c r="P20" s="130"/>
      <c r="Q20" s="130"/>
    </row>
    <row r="21" spans="1:17" x14ac:dyDescent="0.25"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>
        <f t="shared" si="14"/>
        <v>0</v>
      </c>
      <c r="P21" s="136">
        <f t="shared" si="2"/>
        <v>0</v>
      </c>
      <c r="Q21" s="136">
        <f t="shared" si="3"/>
        <v>0</v>
      </c>
    </row>
    <row r="22" spans="1:17" x14ac:dyDescent="0.25">
      <c r="A22" s="66" t="s">
        <v>18</v>
      </c>
      <c r="B22" s="1">
        <f t="shared" ref="B22:L22" si="26">B154+B159</f>
        <v>-4303584.0399999917</v>
      </c>
      <c r="C22" s="1">
        <f t="shared" si="26"/>
        <v>-230168.78000000119</v>
      </c>
      <c r="D22" s="1">
        <f t="shared" si="26"/>
        <v>-102046.03999999166</v>
      </c>
      <c r="E22" s="1">
        <f t="shared" si="26"/>
        <v>14781.879999995232</v>
      </c>
      <c r="F22" s="1">
        <f t="shared" si="26"/>
        <v>98279.520000003278</v>
      </c>
      <c r="G22" s="1">
        <f t="shared" si="26"/>
        <v>426672.62000000477</v>
      </c>
      <c r="H22" s="1">
        <f t="shared" si="26"/>
        <v>293118.11000001431</v>
      </c>
      <c r="I22" s="1">
        <f t="shared" si="26"/>
        <v>327964.43000000715</v>
      </c>
      <c r="J22" s="1">
        <f t="shared" si="26"/>
        <v>277404.03999996185</v>
      </c>
      <c r="K22" s="1">
        <f t="shared" si="26"/>
        <v>-370818.23000000417</v>
      </c>
      <c r="L22" s="1">
        <f t="shared" si="26"/>
        <v>-263637.1099999845</v>
      </c>
      <c r="M22" s="1">
        <f t="shared" ref="M22" si="27">M154+M159</f>
        <v>-2006736.7100000381</v>
      </c>
      <c r="N22" s="130">
        <f t="shared" si="14"/>
        <v>-4522737.459999986</v>
      </c>
      <c r="P22" s="130">
        <f t="shared" si="2"/>
        <v>-228727.34090908617</v>
      </c>
      <c r="Q22" s="130">
        <f t="shared" si="3"/>
        <v>-1778009.369090952</v>
      </c>
    </row>
    <row r="23" spans="1:17" x14ac:dyDescent="0.25">
      <c r="A23" s="66" t="s">
        <v>19</v>
      </c>
      <c r="B23" s="1">
        <f t="shared" ref="B23:L23" si="28">B160+B167</f>
        <v>-198311.54999999702</v>
      </c>
      <c r="C23" s="1">
        <f t="shared" si="28"/>
        <v>-141071.81000000052</v>
      </c>
      <c r="D23" s="1">
        <f t="shared" si="28"/>
        <v>73914.890000000596</v>
      </c>
      <c r="E23" s="1">
        <f t="shared" si="28"/>
        <v>442679.44999998808</v>
      </c>
      <c r="F23" s="1">
        <f t="shared" si="28"/>
        <v>682167.71000003815</v>
      </c>
      <c r="G23" s="1">
        <f t="shared" si="28"/>
        <v>1346835.4100000858</v>
      </c>
      <c r="H23" s="1">
        <f t="shared" si="28"/>
        <v>4496541.1600000262</v>
      </c>
      <c r="I23" s="1">
        <f t="shared" si="28"/>
        <v>161672.65999996662</v>
      </c>
      <c r="J23" s="1">
        <f t="shared" si="28"/>
        <v>664706.21999999881</v>
      </c>
      <c r="K23" s="1">
        <f t="shared" si="28"/>
        <v>1736952.3999998569</v>
      </c>
      <c r="L23" s="1">
        <f t="shared" si="28"/>
        <v>1886622.8299999237</v>
      </c>
      <c r="M23" s="1">
        <f t="shared" ref="M23" si="29">M160+M167</f>
        <v>-3011897.6799999475</v>
      </c>
      <c r="N23" s="130">
        <f t="shared" si="14"/>
        <v>859378.69000002928</v>
      </c>
      <c r="P23" s="130">
        <f t="shared" si="2"/>
        <v>351934.21545454336</v>
      </c>
      <c r="Q23" s="130">
        <f t="shared" si="3"/>
        <v>-3363831.895454491</v>
      </c>
    </row>
    <row r="24" spans="1:17" x14ac:dyDescent="0.25">
      <c r="A24" s="66" t="s">
        <v>20</v>
      </c>
      <c r="B24" s="1">
        <f t="shared" ref="B24:L24" si="30">B161+B169</f>
        <v>-28077.910000000033</v>
      </c>
      <c r="C24" s="1">
        <f t="shared" si="30"/>
        <v>-41342.620000000112</v>
      </c>
      <c r="D24" s="1">
        <f t="shared" si="30"/>
        <v>-28127.939999999944</v>
      </c>
      <c r="E24" s="1">
        <f t="shared" si="30"/>
        <v>1048.5499999999884</v>
      </c>
      <c r="F24" s="1">
        <f t="shared" si="30"/>
        <v>13526.869999999995</v>
      </c>
      <c r="G24" s="1">
        <f t="shared" si="30"/>
        <v>28752.459999999963</v>
      </c>
      <c r="H24" s="1">
        <f t="shared" si="30"/>
        <v>-16145.679999999993</v>
      </c>
      <c r="I24" s="1">
        <f t="shared" si="30"/>
        <v>-6336.4200000000419</v>
      </c>
      <c r="J24" s="1">
        <f t="shared" si="30"/>
        <v>-36760.469999999972</v>
      </c>
      <c r="K24" s="1">
        <f t="shared" si="30"/>
        <v>-12813.290000000037</v>
      </c>
      <c r="L24" s="1">
        <f t="shared" si="30"/>
        <v>-4549.9899999999907</v>
      </c>
      <c r="M24" s="1">
        <f t="shared" ref="M24" si="31">M161+M169</f>
        <v>214196.78000000026</v>
      </c>
      <c r="N24" s="130">
        <f t="shared" si="14"/>
        <v>-82973.050000000105</v>
      </c>
      <c r="P24" s="130">
        <f t="shared" si="2"/>
        <v>-27015.439090909123</v>
      </c>
      <c r="Q24" s="130">
        <f t="shared" si="3"/>
        <v>241212.21909090938</v>
      </c>
    </row>
    <row r="25" spans="1:17" x14ac:dyDescent="0.25">
      <c r="A25" s="66" t="s">
        <v>21</v>
      </c>
      <c r="B25" s="1">
        <f t="shared" ref="B25:L25" si="32">B162+B174</f>
        <v>-17915.510000000009</v>
      </c>
      <c r="C25" s="1">
        <f t="shared" si="32"/>
        <v>0</v>
      </c>
      <c r="D25" s="1">
        <f t="shared" si="32"/>
        <v>-35497.39</v>
      </c>
      <c r="E25" s="1">
        <f t="shared" si="32"/>
        <v>2061.8000000000466</v>
      </c>
      <c r="F25" s="1">
        <f t="shared" si="32"/>
        <v>0</v>
      </c>
      <c r="G25" s="1">
        <f t="shared" si="32"/>
        <v>0</v>
      </c>
      <c r="H25" s="1">
        <f t="shared" si="32"/>
        <v>-19969.050000000003</v>
      </c>
      <c r="I25" s="1">
        <f t="shared" si="32"/>
        <v>18581.950000000012</v>
      </c>
      <c r="J25" s="1">
        <f t="shared" si="32"/>
        <v>-29775.839999999967</v>
      </c>
      <c r="K25" s="1">
        <f t="shared" si="32"/>
        <v>-57997.5</v>
      </c>
      <c r="L25" s="1">
        <f t="shared" si="32"/>
        <v>0</v>
      </c>
      <c r="M25" s="1">
        <f t="shared" ref="M25" si="33">M162+M174</f>
        <v>-189768.82000000007</v>
      </c>
      <c r="N25" s="130">
        <f t="shared" si="14"/>
        <v>-51351.099999999962</v>
      </c>
      <c r="P25" s="130">
        <f t="shared" si="2"/>
        <v>12583.4290909091</v>
      </c>
      <c r="Q25" s="130">
        <f t="shared" si="3"/>
        <v>-202352.24909090917</v>
      </c>
    </row>
    <row r="26" spans="1:17" x14ac:dyDescent="0.25"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>
        <f t="shared" si="14"/>
        <v>0</v>
      </c>
      <c r="P26" s="136">
        <f t="shared" si="2"/>
        <v>0</v>
      </c>
      <c r="Q26" s="136">
        <f t="shared" si="3"/>
        <v>0</v>
      </c>
    </row>
    <row r="27" spans="1:17" x14ac:dyDescent="0.25">
      <c r="A27" s="66" t="s">
        <v>22</v>
      </c>
      <c r="B27" s="1">
        <f t="shared" ref="B27:L27" si="34">B150+B155</f>
        <v>-1451390.0700000077</v>
      </c>
      <c r="C27" s="1">
        <f t="shared" si="34"/>
        <v>-14017.5</v>
      </c>
      <c r="D27" s="1">
        <f t="shared" si="34"/>
        <v>-649600</v>
      </c>
      <c r="E27" s="1">
        <f t="shared" si="34"/>
        <v>339010</v>
      </c>
      <c r="F27" s="1">
        <f t="shared" si="34"/>
        <v>92680</v>
      </c>
      <c r="G27" s="1">
        <f t="shared" si="34"/>
        <v>525780</v>
      </c>
      <c r="H27" s="1">
        <f t="shared" si="34"/>
        <v>464420</v>
      </c>
      <c r="I27" s="1">
        <f t="shared" si="34"/>
        <v>390490</v>
      </c>
      <c r="J27" s="1">
        <f t="shared" si="34"/>
        <v>142640</v>
      </c>
      <c r="K27" s="1">
        <f t="shared" si="34"/>
        <v>-503440</v>
      </c>
      <c r="L27" s="1">
        <f t="shared" si="34"/>
        <v>-6050</v>
      </c>
      <c r="M27" s="1">
        <f t="shared" ref="M27" si="35">M150+M155</f>
        <v>262270</v>
      </c>
      <c r="N27" s="130">
        <f t="shared" si="14"/>
        <v>-1683317.5700000077</v>
      </c>
      <c r="P27" s="130">
        <f t="shared" si="2"/>
        <v>-176871.59727272799</v>
      </c>
      <c r="Q27" s="130">
        <f t="shared" si="3"/>
        <v>439141.59727272799</v>
      </c>
    </row>
    <row r="28" spans="1:17" x14ac:dyDescent="0.25">
      <c r="A28" s="66" t="s">
        <v>23</v>
      </c>
      <c r="B28" s="1">
        <f t="shared" ref="B28:L28" si="36">B151+B156</f>
        <v>287951.64999999851</v>
      </c>
      <c r="C28" s="1">
        <f t="shared" si="36"/>
        <v>-4461877.3100000024</v>
      </c>
      <c r="D28" s="1">
        <f t="shared" si="36"/>
        <v>67555.530000001192</v>
      </c>
      <c r="E28" s="1">
        <f t="shared" si="36"/>
        <v>-3414426</v>
      </c>
      <c r="F28" s="1">
        <f t="shared" si="36"/>
        <v>-28165.459999993443</v>
      </c>
      <c r="G28" s="1">
        <f t="shared" si="36"/>
        <v>-6775542</v>
      </c>
      <c r="H28" s="1">
        <f t="shared" si="36"/>
        <v>-2610952</v>
      </c>
      <c r="I28" s="1">
        <f t="shared" si="36"/>
        <v>-4106876</v>
      </c>
      <c r="J28" s="1">
        <f t="shared" si="36"/>
        <v>-875180</v>
      </c>
      <c r="K28" s="1">
        <f t="shared" si="36"/>
        <v>-5978691.5</v>
      </c>
      <c r="L28" s="1">
        <f t="shared" si="36"/>
        <v>-1077231</v>
      </c>
      <c r="M28" s="1">
        <f>M151+M156</f>
        <v>8704766.25</v>
      </c>
      <c r="N28" s="130">
        <f t="shared" si="14"/>
        <v>-7548961.5899999961</v>
      </c>
      <c r="P28" s="130">
        <f t="shared" si="2"/>
        <v>-1477611.6218181814</v>
      </c>
      <c r="Q28" s="130">
        <f t="shared" si="3"/>
        <v>10182377.871818181</v>
      </c>
    </row>
    <row r="29" spans="1:17" x14ac:dyDescent="0.25">
      <c r="A29" s="66" t="s">
        <v>24</v>
      </c>
      <c r="B29" s="1">
        <f t="shared" ref="B29:L29" si="37">B157+B152</f>
        <v>0</v>
      </c>
      <c r="C29" s="1">
        <f t="shared" si="37"/>
        <v>4535</v>
      </c>
      <c r="D29" s="1">
        <f t="shared" si="37"/>
        <v>-3890</v>
      </c>
      <c r="E29" s="1">
        <f t="shared" si="37"/>
        <v>-555</v>
      </c>
      <c r="F29" s="1">
        <f t="shared" si="37"/>
        <v>0</v>
      </c>
      <c r="G29" s="1">
        <f t="shared" si="37"/>
        <v>1775</v>
      </c>
      <c r="H29" s="1">
        <f t="shared" si="37"/>
        <v>0</v>
      </c>
      <c r="I29" s="1">
        <f t="shared" si="37"/>
        <v>0</v>
      </c>
      <c r="J29" s="1">
        <f t="shared" si="37"/>
        <v>0</v>
      </c>
      <c r="K29" s="1">
        <f t="shared" si="37"/>
        <v>-450</v>
      </c>
      <c r="L29" s="1">
        <f t="shared" si="37"/>
        <v>-1680</v>
      </c>
      <c r="M29" s="1">
        <f t="shared" ref="M29" si="38">M157+M152</f>
        <v>0</v>
      </c>
      <c r="N29" s="130">
        <f t="shared" si="14"/>
        <v>90</v>
      </c>
      <c r="P29" s="130">
        <f t="shared" si="2"/>
        <v>8.1818181818181817</v>
      </c>
      <c r="Q29" s="130">
        <f t="shared" si="3"/>
        <v>-8.1818181818181817</v>
      </c>
    </row>
    <row r="30" spans="1:17" x14ac:dyDescent="0.25">
      <c r="A30" s="66" t="s">
        <v>25</v>
      </c>
      <c r="B30" s="130">
        <f t="shared" ref="B30:L30" si="39">B153+B158</f>
        <v>0</v>
      </c>
      <c r="C30" s="130">
        <f t="shared" si="39"/>
        <v>0</v>
      </c>
      <c r="D30" s="130">
        <f t="shared" si="39"/>
        <v>0</v>
      </c>
      <c r="E30" s="130">
        <f t="shared" si="39"/>
        <v>0</v>
      </c>
      <c r="F30" s="130">
        <f t="shared" si="39"/>
        <v>0</v>
      </c>
      <c r="G30" s="130">
        <f t="shared" si="39"/>
        <v>0</v>
      </c>
      <c r="H30" s="130">
        <f t="shared" si="39"/>
        <v>-880</v>
      </c>
      <c r="I30" s="130">
        <f t="shared" si="39"/>
        <v>0</v>
      </c>
      <c r="J30" s="130">
        <f t="shared" si="39"/>
        <v>0</v>
      </c>
      <c r="K30" s="130">
        <f t="shared" si="39"/>
        <v>0</v>
      </c>
      <c r="L30" s="130">
        <f t="shared" si="39"/>
        <v>0</v>
      </c>
      <c r="M30" s="130">
        <f t="shared" ref="M30" si="40">M153+M158</f>
        <v>0</v>
      </c>
      <c r="N30" s="130">
        <f t="shared" si="14"/>
        <v>0</v>
      </c>
      <c r="P30" s="130">
        <f t="shared" si="2"/>
        <v>0</v>
      </c>
      <c r="Q30" s="130">
        <f t="shared" si="3"/>
        <v>0</v>
      </c>
    </row>
    <row r="31" spans="1:17" x14ac:dyDescent="0.25"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0">
        <f t="shared" si="14"/>
        <v>0</v>
      </c>
      <c r="P31" s="136">
        <f t="shared" si="2"/>
        <v>0</v>
      </c>
      <c r="Q31" s="136">
        <f t="shared" si="3"/>
        <v>0</v>
      </c>
    </row>
    <row r="32" spans="1:17" x14ac:dyDescent="0.25">
      <c r="A32" s="66" t="s">
        <v>26</v>
      </c>
      <c r="B32" s="130">
        <f t="shared" ref="B32:L32" si="41">+B180+B193+B133+B134+B135+B136+B137</f>
        <v>2910296.13</v>
      </c>
      <c r="C32" s="130">
        <f t="shared" si="41"/>
        <v>1651163.39</v>
      </c>
      <c r="D32" s="130">
        <f t="shared" si="41"/>
        <v>-414097.59</v>
      </c>
      <c r="E32" s="130">
        <f t="shared" si="41"/>
        <v>959937.83</v>
      </c>
      <c r="F32" s="130">
        <f t="shared" si="41"/>
        <v>-3014399.59</v>
      </c>
      <c r="G32" s="130">
        <f t="shared" si="41"/>
        <v>3160990.11</v>
      </c>
      <c r="H32" s="130">
        <f t="shared" si="41"/>
        <v>-6978241.0899999999</v>
      </c>
      <c r="I32" s="130">
        <f t="shared" si="41"/>
        <v>-1664169.4700000002</v>
      </c>
      <c r="J32" s="130">
        <f t="shared" si="41"/>
        <v>-5710025.96</v>
      </c>
      <c r="K32" s="130">
        <f t="shared" si="41"/>
        <v>6617453.9100000001</v>
      </c>
      <c r="L32" s="130">
        <f t="shared" si="41"/>
        <v>-2691846.74</v>
      </c>
      <c r="M32" s="130">
        <f>+M180+M193+M133+M134+M135+M136+M137</f>
        <v>-2942725.3299999996</v>
      </c>
      <c r="N32" s="130">
        <f t="shared" si="14"/>
        <v>2092900.17</v>
      </c>
      <c r="P32" s="130">
        <f t="shared" si="2"/>
        <v>457784.13636363635</v>
      </c>
      <c r="Q32" s="130">
        <f t="shared" si="3"/>
        <v>-3400509.4663636358</v>
      </c>
    </row>
    <row r="33" spans="1:17" x14ac:dyDescent="0.25">
      <c r="A33" s="66" t="s">
        <v>27</v>
      </c>
      <c r="B33" s="1">
        <f t="shared" ref="B33:L33" si="42">B176</f>
        <v>2682.05</v>
      </c>
      <c r="C33" s="1">
        <f t="shared" si="42"/>
        <v>-1617.38</v>
      </c>
      <c r="D33" s="1">
        <f t="shared" si="42"/>
        <v>5756.07</v>
      </c>
      <c r="E33" s="1">
        <f t="shared" si="42"/>
        <v>9048.32</v>
      </c>
      <c r="F33" s="1">
        <f t="shared" si="42"/>
        <v>11168.19</v>
      </c>
      <c r="G33" s="1">
        <f t="shared" si="42"/>
        <v>3721.59</v>
      </c>
      <c r="H33" s="1">
        <f t="shared" si="42"/>
        <v>6172.25</v>
      </c>
      <c r="I33" s="1">
        <f t="shared" si="42"/>
        <v>7102.98</v>
      </c>
      <c r="J33" s="1">
        <f t="shared" si="42"/>
        <v>7169.65</v>
      </c>
      <c r="K33" s="1">
        <f t="shared" si="42"/>
        <v>9614.02</v>
      </c>
      <c r="L33" s="1">
        <f t="shared" si="42"/>
        <v>6881.28</v>
      </c>
      <c r="M33" s="1">
        <f t="shared" ref="M33" si="43">M176</f>
        <v>8685.4500000000007</v>
      </c>
      <c r="N33" s="130">
        <f t="shared" si="14"/>
        <v>27037.25</v>
      </c>
      <c r="P33" s="130">
        <f t="shared" si="2"/>
        <v>1668.3454545454545</v>
      </c>
      <c r="Q33" s="130">
        <f t="shared" si="3"/>
        <v>7017.1045454545465</v>
      </c>
    </row>
    <row r="34" spans="1:17" x14ac:dyDescent="0.25">
      <c r="A34" s="66" t="s">
        <v>28</v>
      </c>
      <c r="B34" s="134">
        <f t="shared" ref="B34:M34" si="44">SUM(B14:B33)</f>
        <v>584428259.50999987</v>
      </c>
      <c r="C34" s="134">
        <f t="shared" si="44"/>
        <v>1325767059.3100004</v>
      </c>
      <c r="D34" s="134">
        <f t="shared" si="44"/>
        <v>407667417.19000006</v>
      </c>
      <c r="E34" s="134">
        <f t="shared" si="44"/>
        <v>144338649.61000001</v>
      </c>
      <c r="F34" s="134">
        <f t="shared" si="44"/>
        <v>211931930.40000001</v>
      </c>
      <c r="G34" s="134">
        <f t="shared" si="44"/>
        <v>355674922.34000009</v>
      </c>
      <c r="H34" s="134">
        <f>SUM(H14:H33)</f>
        <v>291087343.19999993</v>
      </c>
      <c r="I34" s="134">
        <f>SUM(I14:I33)</f>
        <v>453663314.29999989</v>
      </c>
      <c r="J34" s="134">
        <f t="shared" si="44"/>
        <v>336028111.43999994</v>
      </c>
      <c r="K34" s="134">
        <f t="shared" si="44"/>
        <v>149579678.36999986</v>
      </c>
      <c r="L34" s="134">
        <f t="shared" si="44"/>
        <v>225304044.21999988</v>
      </c>
      <c r="M34" s="134">
        <f t="shared" si="44"/>
        <v>192525184.67999995</v>
      </c>
      <c r="N34" s="134">
        <f>SUM(N14:N33)</f>
        <v>2674133316.02</v>
      </c>
      <c r="P34" s="134">
        <f t="shared" si="2"/>
        <v>225600739.21272728</v>
      </c>
      <c r="Q34" s="134">
        <f t="shared" si="3"/>
        <v>-33075554.532727331</v>
      </c>
    </row>
    <row r="35" spans="1:17" ht="24" customHeight="1" thickBot="1" x14ac:dyDescent="0.3">
      <c r="A35" s="66" t="s">
        <v>29</v>
      </c>
      <c r="B35" s="137">
        <f t="shared" ref="B35:N35" si="45">+B11-B34</f>
        <v>873800.75000011921</v>
      </c>
      <c r="C35" s="137">
        <f t="shared" si="45"/>
        <v>807135.46999979019</v>
      </c>
      <c r="D35" s="137">
        <f t="shared" si="45"/>
        <v>873124.75999993086</v>
      </c>
      <c r="E35" s="137">
        <f t="shared" si="45"/>
        <v>583926.69999995828</v>
      </c>
      <c r="F35" s="137">
        <f t="shared" si="45"/>
        <v>474443.84000000358</v>
      </c>
      <c r="G35" s="137">
        <f t="shared" si="45"/>
        <v>577793.05999994278</v>
      </c>
      <c r="H35" s="137">
        <f>+H11-H34</f>
        <v>426753.60000002384</v>
      </c>
      <c r="I35" s="137">
        <f>+I11-I34</f>
        <v>715437.57000005245</v>
      </c>
      <c r="J35" s="137">
        <f t="shared" si="45"/>
        <v>435915.37000006437</v>
      </c>
      <c r="K35" s="137">
        <f t="shared" si="45"/>
        <v>655609.87000012398</v>
      </c>
      <c r="L35" s="137">
        <f t="shared" si="45"/>
        <v>280104.40000012517</v>
      </c>
      <c r="M35" s="137">
        <f t="shared" si="45"/>
        <v>387921.87000006437</v>
      </c>
      <c r="N35" s="137">
        <f t="shared" si="45"/>
        <v>3612431.5199999809</v>
      </c>
      <c r="P35" s="137">
        <f t="shared" si="2"/>
        <v>293137.24090908334</v>
      </c>
      <c r="Q35" s="137">
        <f t="shared" si="3"/>
        <v>94784.629090981034</v>
      </c>
    </row>
    <row r="36" spans="1:17" ht="24" customHeight="1" thickTop="1" x14ac:dyDescent="0.25">
      <c r="B36" s="138">
        <f>+B35/B11</f>
        <v>1.4929056453550902E-3</v>
      </c>
      <c r="C36" s="138">
        <f t="shared" ref="C36:N36" si="46">+C35/C11</f>
        <v>6.0843597981615036E-4</v>
      </c>
      <c r="D36" s="138">
        <f t="shared" si="46"/>
        <v>2.137180206969006E-3</v>
      </c>
      <c r="E36" s="138">
        <f t="shared" si="46"/>
        <v>4.029232124268178E-3</v>
      </c>
      <c r="F36" s="138">
        <f t="shared" si="46"/>
        <v>2.2336610268763636E-3</v>
      </c>
      <c r="G36" s="138">
        <f t="shared" si="46"/>
        <v>1.6218628940166744E-3</v>
      </c>
      <c r="H36" s="138">
        <f t="shared" ref="H36" si="47">+H35/H11</f>
        <v>1.4639209722087921E-3</v>
      </c>
      <c r="I36" s="138">
        <f t="shared" si="46"/>
        <v>1.5745401101078397E-3</v>
      </c>
      <c r="J36" s="138">
        <f t="shared" si="46"/>
        <v>1.2955779378049951E-3</v>
      </c>
      <c r="K36" s="138">
        <f t="shared" si="46"/>
        <v>4.3638873242136771E-3</v>
      </c>
      <c r="L36" s="138">
        <f t="shared" si="46"/>
        <v>1.241684762487303E-3</v>
      </c>
      <c r="M36" s="138">
        <f>+M35/M11</f>
        <v>2.0108632168002604E-3</v>
      </c>
      <c r="N36" s="138">
        <f t="shared" si="46"/>
        <v>1.3490569533416909E-3</v>
      </c>
      <c r="P36" s="138">
        <f t="shared" si="2"/>
        <v>-6.0164205768960859E-5</v>
      </c>
      <c r="Q36" s="138">
        <f t="shared" si="3"/>
        <v>2.0710274225692214E-3</v>
      </c>
    </row>
    <row r="37" spans="1:17" ht="24" customHeight="1" x14ac:dyDescent="0.25"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P37" s="133">
        <f t="shared" si="2"/>
        <v>0</v>
      </c>
      <c r="Q37" s="133">
        <f t="shared" si="3"/>
        <v>0</v>
      </c>
    </row>
    <row r="38" spans="1:17" s="68" customFormat="1" x14ac:dyDescent="0.25">
      <c r="A38" s="68" t="s">
        <v>30</v>
      </c>
      <c r="B38" s="133">
        <f>'[3]Comparison 2017-2018'!$G$30</f>
        <v>885928.51408513961</v>
      </c>
      <c r="C38" s="133">
        <f>'[3]Comparison 2017-2018'!$G$54</f>
        <v>681928.29401690571</v>
      </c>
      <c r="D38" s="133">
        <f>'[3]Comparison 2017-2018'!$G$80</f>
        <v>674363.71418699983</v>
      </c>
      <c r="E38" s="133">
        <f>'[3]Comparison 2017-2018'!$G$105</f>
        <v>655611.34502510389</v>
      </c>
      <c r="F38" s="133">
        <v>538671.68000000005</v>
      </c>
      <c r="G38" s="133">
        <f>'[3]Comparison 2017-2018'!$G$155</f>
        <v>704133.82690028625</v>
      </c>
      <c r="H38" s="133">
        <f>'[3]Comparison 2017-2018'!$G$181</f>
        <v>515101.24188355304</v>
      </c>
      <c r="I38" s="133">
        <f>'[3]Comparison 2017-2018'!$G$207</f>
        <v>680756.08379218809</v>
      </c>
      <c r="J38" s="133">
        <f>'[3]Comparison 2017-2018'!$G$232</f>
        <v>640882.53297928849</v>
      </c>
      <c r="K38" s="133">
        <v>718772.43</v>
      </c>
      <c r="L38" s="133">
        <v>683387.31</v>
      </c>
      <c r="M38" s="133">
        <v>643279.41294674075</v>
      </c>
      <c r="N38" s="130">
        <f t="shared" ref="N38:N48" si="48">SUM(B38:F38)</f>
        <v>3436503.5473141493</v>
      </c>
      <c r="P38" s="130">
        <f t="shared" si="2"/>
        <v>253929.46676067353</v>
      </c>
      <c r="Q38" s="130">
        <f t="shared" si="3"/>
        <v>389349.94618606719</v>
      </c>
    </row>
    <row r="39" spans="1:17" s="68" customFormat="1" x14ac:dyDescent="0.25">
      <c r="A39" s="68" t="s">
        <v>31</v>
      </c>
      <c r="B39" s="133">
        <f>11347.91+1307.73</f>
        <v>12655.64</v>
      </c>
      <c r="C39" s="133">
        <f>2264.54+222.6</f>
        <v>2487.14</v>
      </c>
      <c r="D39" s="133">
        <f>3529.42+2652.3</f>
        <v>6181.72</v>
      </c>
      <c r="E39" s="133">
        <f>1899.66+1105.7</f>
        <v>3005.36</v>
      </c>
      <c r="F39" s="133">
        <v>3451.23</v>
      </c>
      <c r="G39" s="133">
        <f>1519.77+2478.24</f>
        <v>3998.0099999999998</v>
      </c>
      <c r="H39" s="133">
        <f>1220.82+2101.18</f>
        <v>3322</v>
      </c>
      <c r="I39" s="133">
        <f>2140.74+387.79</f>
        <v>2528.5299999999997</v>
      </c>
      <c r="J39" s="133">
        <f>1753.58+1855.92</f>
        <v>3609.5</v>
      </c>
      <c r="K39" s="133">
        <v>3887.99</v>
      </c>
      <c r="L39" s="133">
        <v>10516.9</v>
      </c>
      <c r="M39" s="133">
        <v>7967.7199999999993</v>
      </c>
      <c r="N39" s="130">
        <f t="shared" si="48"/>
        <v>27781.09</v>
      </c>
      <c r="P39" s="130">
        <f t="shared" si="2"/>
        <v>1801.2154545454548</v>
      </c>
      <c r="Q39" s="130">
        <f t="shared" si="3"/>
        <v>6166.5045454545443</v>
      </c>
    </row>
    <row r="40" spans="1:17" s="68" customFormat="1" x14ac:dyDescent="0.25">
      <c r="A40" s="68" t="s">
        <v>32</v>
      </c>
      <c r="B40" s="133">
        <f>'[4]Monthly Summary'!$B$6</f>
        <v>51934.229999999996</v>
      </c>
      <c r="C40" s="133">
        <f>[5]Feb!$B$35</f>
        <v>36189.82</v>
      </c>
      <c r="D40" s="133">
        <f>[4]Mar!$B$35</f>
        <v>90332.26999999999</v>
      </c>
      <c r="E40" s="1">
        <f>[4]Apr!$B$35</f>
        <v>42087.81</v>
      </c>
      <c r="F40" s="1">
        <v>36064.49</v>
      </c>
      <c r="G40" s="1">
        <f>[4]Jun!$B$35</f>
        <v>6099.46</v>
      </c>
      <c r="H40" s="1">
        <f>[4]Jul!$B$35</f>
        <v>91429.33</v>
      </c>
      <c r="I40" s="1">
        <f>[4]Aug!$B$35</f>
        <v>25335.02</v>
      </c>
      <c r="J40" s="139">
        <f>'[4]Sept '!$B$35</f>
        <v>17267.59</v>
      </c>
      <c r="K40" s="1">
        <v>34023.760000000002</v>
      </c>
      <c r="L40" s="1">
        <v>37720.6</v>
      </c>
      <c r="M40" s="1">
        <v>54679.3</v>
      </c>
      <c r="N40" s="130">
        <f t="shared" si="48"/>
        <v>256608.61999999997</v>
      </c>
      <c r="P40" s="130">
        <f t="shared" si="2"/>
        <v>18357.210909090903</v>
      </c>
      <c r="Q40" s="130">
        <f t="shared" si="3"/>
        <v>36322.089090909096</v>
      </c>
    </row>
    <row r="41" spans="1:17" s="68" customFormat="1" x14ac:dyDescent="0.25">
      <c r="A41" s="68" t="s">
        <v>33</v>
      </c>
      <c r="B41" s="130">
        <f>-11152-36907.01</f>
        <v>-48059.01</v>
      </c>
      <c r="C41" s="133">
        <f>-4530.13-104404.39</f>
        <v>-108934.52</v>
      </c>
      <c r="D41" s="133">
        <v>-27223.4</v>
      </c>
      <c r="E41" s="133">
        <v>-45776.83</v>
      </c>
      <c r="F41" s="133">
        <v>-39077.56</v>
      </c>
      <c r="G41" s="1">
        <f>-13634.37-199763.99</f>
        <v>-213398.36</v>
      </c>
      <c r="H41" s="1">
        <v>-22650.5</v>
      </c>
      <c r="I41" s="133">
        <f>-18941-67230.98</f>
        <v>-86171.98</v>
      </c>
      <c r="J41" s="133">
        <f>-30571.4-9919.88</f>
        <v>-40491.279999999999</v>
      </c>
      <c r="K41" s="130">
        <v>-186820.5</v>
      </c>
      <c r="L41" s="130">
        <v>-272008.63</v>
      </c>
      <c r="M41" s="130">
        <v>-215084</v>
      </c>
      <c r="N41" s="130">
        <f t="shared" si="48"/>
        <v>-269071.32</v>
      </c>
      <c r="O41" s="140"/>
      <c r="P41" s="130">
        <f t="shared" si="2"/>
        <v>-4907.9381818181828</v>
      </c>
      <c r="Q41" s="130">
        <f t="shared" si="3"/>
        <v>-210176.06181818183</v>
      </c>
    </row>
    <row r="42" spans="1:17" s="68" customFormat="1" x14ac:dyDescent="0.25">
      <c r="A42" s="68" t="s">
        <v>456</v>
      </c>
      <c r="B42" s="130">
        <v>0</v>
      </c>
      <c r="C42" s="133">
        <v>0</v>
      </c>
      <c r="D42" s="133">
        <v>0</v>
      </c>
      <c r="E42" s="133">
        <v>49617</v>
      </c>
      <c r="F42" s="133">
        <v>41682</v>
      </c>
      <c r="G42" s="1">
        <v>28751</v>
      </c>
      <c r="H42" s="1">
        <v>15774</v>
      </c>
      <c r="I42" s="133">
        <v>2612</v>
      </c>
      <c r="J42" s="133">
        <v>16737</v>
      </c>
      <c r="K42" s="1">
        <v>12095</v>
      </c>
      <c r="L42" s="1">
        <v>2769</v>
      </c>
      <c r="M42" s="1">
        <v>7778</v>
      </c>
      <c r="N42" s="130">
        <f t="shared" si="48"/>
        <v>91299</v>
      </c>
      <c r="O42" s="140"/>
      <c r="P42" s="130">
        <f t="shared" si="2"/>
        <v>7592.818181818182</v>
      </c>
      <c r="Q42" s="130">
        <f t="shared" si="3"/>
        <v>185.18181818181802</v>
      </c>
    </row>
    <row r="43" spans="1:17" s="68" customFormat="1" x14ac:dyDescent="0.25">
      <c r="A43" s="68" t="s">
        <v>34</v>
      </c>
      <c r="B43" s="130">
        <f>-51657.33-70861</f>
        <v>-122518.33</v>
      </c>
      <c r="C43" s="133">
        <f>8840+42577</f>
        <v>51417</v>
      </c>
      <c r="D43" s="133">
        <f>-5460+61057-530</f>
        <v>55067</v>
      </c>
      <c r="E43" s="1">
        <f>9250+15494+530</f>
        <v>25274</v>
      </c>
      <c r="F43" s="1">
        <v>-57663</v>
      </c>
      <c r="G43" s="1">
        <f>-3480+39926</f>
        <v>36446</v>
      </c>
      <c r="H43" s="1">
        <v>-25800</v>
      </c>
      <c r="I43" s="1">
        <v>36495</v>
      </c>
      <c r="J43" s="133">
        <f>1485-23515</f>
        <v>-22030</v>
      </c>
      <c r="K43" s="1">
        <v>73039</v>
      </c>
      <c r="L43" s="1">
        <v>50236</v>
      </c>
      <c r="M43" s="1">
        <v>-185780</v>
      </c>
      <c r="N43" s="130">
        <f t="shared" si="48"/>
        <v>-48423.33</v>
      </c>
      <c r="O43" s="140"/>
      <c r="P43" s="130">
        <f t="shared" si="2"/>
        <v>12486.97</v>
      </c>
      <c r="Q43" s="130">
        <f t="shared" si="3"/>
        <v>-198266.97</v>
      </c>
    </row>
    <row r="44" spans="1:17" s="68" customFormat="1" x14ac:dyDescent="0.25">
      <c r="A44" s="66" t="s">
        <v>35</v>
      </c>
      <c r="B44" s="130">
        <v>129582</v>
      </c>
      <c r="C44" s="133">
        <v>0</v>
      </c>
      <c r="D44" s="133">
        <v>0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/>
      <c r="K44" s="1"/>
      <c r="L44" s="1"/>
      <c r="M44" s="1"/>
      <c r="N44" s="130">
        <f t="shared" si="48"/>
        <v>129582</v>
      </c>
      <c r="P44" s="130">
        <f t="shared" si="2"/>
        <v>11780.181818181818</v>
      </c>
      <c r="Q44" s="130">
        <f t="shared" si="3"/>
        <v>-11780.181818181818</v>
      </c>
    </row>
    <row r="45" spans="1:17" s="68" customFormat="1" x14ac:dyDescent="0.25">
      <c r="A45" s="66" t="s">
        <v>534</v>
      </c>
      <c r="B45" s="130">
        <v>0</v>
      </c>
      <c r="C45" s="133">
        <v>0</v>
      </c>
      <c r="D45" s="133">
        <v>0</v>
      </c>
      <c r="E45" s="133">
        <v>0</v>
      </c>
      <c r="F45" s="133">
        <v>0</v>
      </c>
      <c r="G45" s="133">
        <v>0</v>
      </c>
      <c r="H45" s="133">
        <v>0</v>
      </c>
      <c r="I45" s="133">
        <v>0</v>
      </c>
      <c r="J45" s="133">
        <v>0</v>
      </c>
      <c r="K45" s="1">
        <v>0</v>
      </c>
      <c r="L45" s="1">
        <v>9288.25</v>
      </c>
      <c r="M45" s="1">
        <v>10356.280000000001</v>
      </c>
      <c r="N45" s="130">
        <f t="shared" si="48"/>
        <v>0</v>
      </c>
      <c r="P45" s="130">
        <f t="shared" si="2"/>
        <v>-941.48</v>
      </c>
      <c r="Q45" s="130">
        <f t="shared" si="3"/>
        <v>11297.76</v>
      </c>
    </row>
    <row r="46" spans="1:17" s="68" customFormat="1" x14ac:dyDescent="0.25">
      <c r="A46" s="66" t="s">
        <v>533</v>
      </c>
      <c r="B46" s="130"/>
      <c r="C46" s="133"/>
      <c r="D46" s="133"/>
      <c r="E46" s="133"/>
      <c r="F46" s="133"/>
      <c r="G46" s="133"/>
      <c r="H46" s="133"/>
      <c r="I46" s="133"/>
      <c r="J46" s="133">
        <v>-37539</v>
      </c>
      <c r="K46" s="130"/>
      <c r="L46" s="130"/>
      <c r="M46" s="130"/>
      <c r="N46" s="130">
        <f t="shared" si="48"/>
        <v>0</v>
      </c>
      <c r="P46" s="130"/>
      <c r="Q46" s="130"/>
    </row>
    <row r="47" spans="1:17" s="68" customFormat="1" x14ac:dyDescent="0.25">
      <c r="A47" s="66" t="s">
        <v>535</v>
      </c>
      <c r="B47" s="130"/>
      <c r="C47" s="133"/>
      <c r="D47" s="133"/>
      <c r="E47" s="133"/>
      <c r="F47" s="133"/>
      <c r="G47" s="133"/>
      <c r="H47" s="133"/>
      <c r="I47" s="133"/>
      <c r="J47" s="133"/>
      <c r="K47" s="1"/>
      <c r="L47" s="1">
        <v>-92752.5</v>
      </c>
      <c r="M47" s="1"/>
      <c r="N47" s="130">
        <f t="shared" si="48"/>
        <v>0</v>
      </c>
      <c r="P47" s="130"/>
      <c r="Q47" s="130"/>
    </row>
    <row r="48" spans="1:17" s="68" customFormat="1" x14ac:dyDescent="0.25">
      <c r="A48" s="66" t="s">
        <v>36</v>
      </c>
      <c r="B48" s="130">
        <v>-35000</v>
      </c>
      <c r="C48" s="130">
        <f>-18000-17000</f>
        <v>-35000</v>
      </c>
      <c r="D48" s="130">
        <v>-35000</v>
      </c>
      <c r="E48" s="130">
        <v>-35000</v>
      </c>
      <c r="F48" s="130">
        <v>-35000</v>
      </c>
      <c r="G48" s="130">
        <v>-35000</v>
      </c>
      <c r="H48" s="130">
        <v>-35000</v>
      </c>
      <c r="I48" s="130">
        <v>-35000</v>
      </c>
      <c r="J48" s="130">
        <v>-35000</v>
      </c>
      <c r="K48" s="130">
        <v>-35000</v>
      </c>
      <c r="L48" s="130">
        <v>-35000</v>
      </c>
      <c r="M48" s="130">
        <v>-35000</v>
      </c>
      <c r="N48" s="130">
        <f t="shared" si="48"/>
        <v>-175000</v>
      </c>
      <c r="P48" s="130">
        <f t="shared" si="2"/>
        <v>-12727.272727272728</v>
      </c>
      <c r="Q48" s="130">
        <f t="shared" si="3"/>
        <v>-22272.727272727272</v>
      </c>
    </row>
    <row r="49" spans="1:17" s="68" customFormat="1" x14ac:dyDescent="0.25">
      <c r="B49" s="134">
        <f t="shared" ref="B49:M49" si="49">SUM(B38:B48)</f>
        <v>874523.04408513964</v>
      </c>
      <c r="C49" s="134">
        <f t="shared" si="49"/>
        <v>628087.73401690566</v>
      </c>
      <c r="D49" s="134">
        <f t="shared" si="49"/>
        <v>763721.3041869998</v>
      </c>
      <c r="E49" s="134">
        <f t="shared" si="49"/>
        <v>694818.68502510397</v>
      </c>
      <c r="F49" s="134">
        <f t="shared" si="49"/>
        <v>488128.84000000008</v>
      </c>
      <c r="G49" s="134">
        <f t="shared" si="49"/>
        <v>531029.93690028624</v>
      </c>
      <c r="H49" s="134">
        <f t="shared" si="49"/>
        <v>542176.07188355306</v>
      </c>
      <c r="I49" s="134">
        <f t="shared" si="49"/>
        <v>626554.65379218815</v>
      </c>
      <c r="J49" s="134">
        <f t="shared" si="49"/>
        <v>543436.34297928843</v>
      </c>
      <c r="K49" s="134">
        <f t="shared" si="49"/>
        <v>619997.68000000005</v>
      </c>
      <c r="L49" s="134">
        <f t="shared" si="49"/>
        <v>394156.93000000005</v>
      </c>
      <c r="M49" s="134">
        <f t="shared" si="49"/>
        <v>288196.71294674079</v>
      </c>
      <c r="N49" s="134">
        <f>SUM(N38:N48)</f>
        <v>3449279.6073141494</v>
      </c>
      <c r="P49" s="134">
        <f t="shared" si="2"/>
        <v>287371.17221521895</v>
      </c>
      <c r="Q49" s="134">
        <f t="shared" si="3"/>
        <v>825.54073152184719</v>
      </c>
    </row>
    <row r="50" spans="1:17" ht="25.5" customHeight="1" thickBot="1" x14ac:dyDescent="0.3">
      <c r="A50" s="66" t="s">
        <v>37</v>
      </c>
      <c r="B50" s="141">
        <f t="shared" ref="B50:N50" si="50">+B35-B49</f>
        <v>-722.29408502043225</v>
      </c>
      <c r="C50" s="141">
        <f t="shared" si="50"/>
        <v>179047.73598288454</v>
      </c>
      <c r="D50" s="141">
        <f t="shared" si="50"/>
        <v>109403.45581293106</v>
      </c>
      <c r="E50" s="141">
        <f t="shared" si="50"/>
        <v>-110891.9850251457</v>
      </c>
      <c r="F50" s="141">
        <f t="shared" si="50"/>
        <v>-13684.999999996508</v>
      </c>
      <c r="G50" s="141">
        <f t="shared" si="50"/>
        <v>46763.123099656543</v>
      </c>
      <c r="H50" s="141">
        <f t="shared" si="50"/>
        <v>-115422.47188352922</v>
      </c>
      <c r="I50" s="141">
        <f t="shared" si="50"/>
        <v>88882.916207864298</v>
      </c>
      <c r="J50" s="141">
        <f t="shared" si="50"/>
        <v>-107520.97297922405</v>
      </c>
      <c r="K50" s="141">
        <f t="shared" si="50"/>
        <v>35612.190000123926</v>
      </c>
      <c r="L50" s="141">
        <f t="shared" si="50"/>
        <v>-114052.52999987488</v>
      </c>
      <c r="M50" s="141">
        <f t="shared" si="50"/>
        <v>99725.157053323579</v>
      </c>
      <c r="N50" s="141">
        <f t="shared" si="50"/>
        <v>163151.91268583154</v>
      </c>
      <c r="P50" s="141">
        <f t="shared" si="2"/>
        <v>5766.0686938643603</v>
      </c>
      <c r="Q50" s="141">
        <f t="shared" si="3"/>
        <v>93959.088359459216</v>
      </c>
    </row>
    <row r="51" spans="1:17" ht="15.75" thickTop="1" x14ac:dyDescent="0.25"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P51" s="66">
        <f t="shared" si="2"/>
        <v>0</v>
      </c>
      <c r="Q51" s="66">
        <f t="shared" si="3"/>
        <v>0</v>
      </c>
    </row>
    <row r="52" spans="1:17" x14ac:dyDescent="0.25"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P52" s="66">
        <f t="shared" si="2"/>
        <v>0</v>
      </c>
      <c r="Q52" s="66">
        <f t="shared" si="3"/>
        <v>0</v>
      </c>
    </row>
    <row r="53" spans="1:17" ht="30" x14ac:dyDescent="0.25">
      <c r="A53" s="69" t="s">
        <v>38</v>
      </c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P53" s="66">
        <f t="shared" si="2"/>
        <v>0</v>
      </c>
      <c r="Q53" s="66">
        <f t="shared" si="3"/>
        <v>0</v>
      </c>
    </row>
    <row r="54" spans="1:17" x14ac:dyDescent="0.25">
      <c r="A54" s="66" t="s">
        <v>4</v>
      </c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P54" s="66">
        <f t="shared" si="2"/>
        <v>0</v>
      </c>
      <c r="Q54" s="66">
        <f t="shared" si="3"/>
        <v>0</v>
      </c>
    </row>
    <row r="55" spans="1:17" x14ac:dyDescent="0.25">
      <c r="A55" s="66" t="s">
        <v>39</v>
      </c>
      <c r="B55" s="130">
        <f t="shared" ref="B55:L55" si="51">B106</f>
        <v>0</v>
      </c>
      <c r="C55" s="130">
        <f t="shared" si="51"/>
        <v>0</v>
      </c>
      <c r="D55" s="130">
        <f t="shared" si="51"/>
        <v>0</v>
      </c>
      <c r="E55" s="130">
        <f t="shared" si="51"/>
        <v>0</v>
      </c>
      <c r="F55" s="130">
        <f t="shared" si="51"/>
        <v>0</v>
      </c>
      <c r="G55" s="130">
        <f t="shared" si="51"/>
        <v>0</v>
      </c>
      <c r="H55" s="130">
        <f t="shared" si="51"/>
        <v>0</v>
      </c>
      <c r="I55" s="130">
        <f t="shared" si="51"/>
        <v>0</v>
      </c>
      <c r="J55" s="130">
        <f t="shared" si="51"/>
        <v>0</v>
      </c>
      <c r="K55" s="130">
        <f t="shared" si="51"/>
        <v>0</v>
      </c>
      <c r="L55" s="130">
        <f t="shared" si="51"/>
        <v>0</v>
      </c>
      <c r="M55" s="130">
        <f t="shared" ref="M55" si="52">M106</f>
        <v>0</v>
      </c>
      <c r="N55" s="130">
        <f t="shared" ref="N55:N58" si="53">SUM(B55:F55)</f>
        <v>0</v>
      </c>
      <c r="P55" s="130">
        <f t="shared" si="2"/>
        <v>0</v>
      </c>
      <c r="Q55" s="130">
        <f t="shared" si="3"/>
        <v>0</v>
      </c>
    </row>
    <row r="56" spans="1:17" x14ac:dyDescent="0.25">
      <c r="A56" s="66" t="s">
        <v>40</v>
      </c>
      <c r="B56" s="1">
        <f t="shared" ref="B56:L56" si="54">B112+B123</f>
        <v>44174.48</v>
      </c>
      <c r="C56" s="1">
        <f t="shared" si="54"/>
        <v>37026.959999999999</v>
      </c>
      <c r="D56" s="1">
        <f t="shared" si="54"/>
        <v>50952.97</v>
      </c>
      <c r="E56" s="1">
        <f t="shared" si="54"/>
        <v>17383</v>
      </c>
      <c r="F56" s="1">
        <f t="shared" si="54"/>
        <v>6537.5</v>
      </c>
      <c r="G56" s="1">
        <f t="shared" si="54"/>
        <v>12690.5</v>
      </c>
      <c r="H56" s="1">
        <f t="shared" si="54"/>
        <v>14136.99</v>
      </c>
      <c r="I56" s="1">
        <f t="shared" si="54"/>
        <v>3546</v>
      </c>
      <c r="J56" s="1">
        <f t="shared" si="54"/>
        <v>6577.55</v>
      </c>
      <c r="K56" s="1">
        <f t="shared" si="54"/>
        <v>18560.79</v>
      </c>
      <c r="L56" s="1">
        <f t="shared" si="54"/>
        <v>30425.09</v>
      </c>
      <c r="M56" s="1">
        <f t="shared" ref="M56" si="55">M112+M123</f>
        <v>189608.23</v>
      </c>
      <c r="N56" s="130">
        <f t="shared" si="53"/>
        <v>156074.91</v>
      </c>
      <c r="P56" s="130">
        <f t="shared" si="2"/>
        <v>-3048.4836363636368</v>
      </c>
      <c r="Q56" s="130">
        <f t="shared" si="3"/>
        <v>192656.71363636365</v>
      </c>
    </row>
    <row r="57" spans="1:17" x14ac:dyDescent="0.25">
      <c r="A57" s="66" t="s">
        <v>41</v>
      </c>
      <c r="B57" s="130">
        <f t="shared" ref="B57:L57" si="56">B111+B122</f>
        <v>0</v>
      </c>
      <c r="C57" s="130">
        <f t="shared" si="56"/>
        <v>0</v>
      </c>
      <c r="D57" s="130">
        <f t="shared" si="56"/>
        <v>0</v>
      </c>
      <c r="E57" s="130">
        <f t="shared" si="56"/>
        <v>0</v>
      </c>
      <c r="F57" s="130">
        <f t="shared" si="56"/>
        <v>100</v>
      </c>
      <c r="G57" s="130">
        <f t="shared" si="56"/>
        <v>0</v>
      </c>
      <c r="H57" s="130">
        <f t="shared" si="56"/>
        <v>100</v>
      </c>
      <c r="I57" s="130">
        <f t="shared" si="56"/>
        <v>275</v>
      </c>
      <c r="J57" s="130">
        <f t="shared" si="56"/>
        <v>780</v>
      </c>
      <c r="K57" s="130">
        <f t="shared" si="56"/>
        <v>145</v>
      </c>
      <c r="L57" s="130">
        <f t="shared" si="56"/>
        <v>800</v>
      </c>
      <c r="M57" s="130">
        <f t="shared" ref="M57" si="57">M111+M122</f>
        <v>9658.44</v>
      </c>
      <c r="N57" s="130">
        <f t="shared" si="53"/>
        <v>100</v>
      </c>
      <c r="P57" s="130">
        <f t="shared" si="2"/>
        <v>-868.94909090909096</v>
      </c>
      <c r="Q57" s="130">
        <f t="shared" si="3"/>
        <v>10527.389090909091</v>
      </c>
    </row>
    <row r="58" spans="1:17" x14ac:dyDescent="0.25">
      <c r="A58" s="66" t="s">
        <v>42</v>
      </c>
      <c r="B58" s="1">
        <f t="shared" ref="B58:L58" si="58">B113+B115+B116+B117</f>
        <v>44096.53</v>
      </c>
      <c r="C58" s="1">
        <f t="shared" si="58"/>
        <v>78044.399999999994</v>
      </c>
      <c r="D58" s="1">
        <f t="shared" si="58"/>
        <v>64584.18</v>
      </c>
      <c r="E58" s="1">
        <f t="shared" si="58"/>
        <v>30224.629999999997</v>
      </c>
      <c r="F58" s="1">
        <f t="shared" si="58"/>
        <v>73319.850000000006</v>
      </c>
      <c r="G58" s="1">
        <f t="shared" si="58"/>
        <v>39472.699999999997</v>
      </c>
      <c r="H58" s="1">
        <f t="shared" si="58"/>
        <v>105316.34</v>
      </c>
      <c r="I58" s="1">
        <f t="shared" si="58"/>
        <v>42109.01</v>
      </c>
      <c r="J58" s="1">
        <f t="shared" si="58"/>
        <v>80331.100000000006</v>
      </c>
      <c r="K58" s="1">
        <f t="shared" si="58"/>
        <v>48035.92</v>
      </c>
      <c r="L58" s="1">
        <f t="shared" si="58"/>
        <v>68725.38</v>
      </c>
      <c r="M58" s="1">
        <f t="shared" ref="M58" si="59">M113+M115+M116+M117</f>
        <v>87855.510000000009</v>
      </c>
      <c r="N58" s="130">
        <f t="shared" si="53"/>
        <v>290269.58999999997</v>
      </c>
      <c r="P58" s="130">
        <f t="shared" si="2"/>
        <v>18401.279999999995</v>
      </c>
      <c r="Q58" s="130">
        <f t="shared" si="3"/>
        <v>69454.23000000001</v>
      </c>
    </row>
    <row r="59" spans="1:17" x14ac:dyDescent="0.25">
      <c r="A59" s="66" t="s">
        <v>43</v>
      </c>
      <c r="B59" s="142">
        <f>SUM(B55:B58)</f>
        <v>88271.010000000009</v>
      </c>
      <c r="C59" s="142">
        <f t="shared" ref="C59:M59" si="60">SUM(C55:C58)</f>
        <v>115071.35999999999</v>
      </c>
      <c r="D59" s="142">
        <f t="shared" si="60"/>
        <v>115537.15</v>
      </c>
      <c r="E59" s="142">
        <f t="shared" si="60"/>
        <v>47607.63</v>
      </c>
      <c r="F59" s="142">
        <f t="shared" si="60"/>
        <v>79957.350000000006</v>
      </c>
      <c r="G59" s="142">
        <f t="shared" si="60"/>
        <v>52163.199999999997</v>
      </c>
      <c r="H59" s="142">
        <f t="shared" ref="H59" si="61">SUM(H55:H58)</f>
        <v>119553.33</v>
      </c>
      <c r="I59" s="142">
        <f t="shared" si="60"/>
        <v>45930.01</v>
      </c>
      <c r="J59" s="142">
        <f t="shared" si="60"/>
        <v>87688.650000000009</v>
      </c>
      <c r="K59" s="142">
        <f t="shared" si="60"/>
        <v>66741.709999999992</v>
      </c>
      <c r="L59" s="142">
        <f t="shared" si="60"/>
        <v>99950.47</v>
      </c>
      <c r="M59" s="142">
        <f t="shared" si="60"/>
        <v>287122.18000000005</v>
      </c>
      <c r="N59" s="142">
        <f>SUM(N55:N58)</f>
        <v>446444.5</v>
      </c>
      <c r="P59" s="142">
        <f t="shared" si="2"/>
        <v>14483.847272727267</v>
      </c>
      <c r="Q59" s="142">
        <f t="shared" si="3"/>
        <v>272638.33272727276</v>
      </c>
    </row>
    <row r="60" spans="1:17" x14ac:dyDescent="0.25">
      <c r="A60" s="66" t="s">
        <v>44</v>
      </c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6"/>
      <c r="P60" s="136">
        <f t="shared" si="2"/>
        <v>0</v>
      </c>
      <c r="Q60" s="136">
        <f t="shared" si="3"/>
        <v>0</v>
      </c>
    </row>
    <row r="61" spans="1:17" x14ac:dyDescent="0.25">
      <c r="A61" s="66" t="s">
        <v>39</v>
      </c>
      <c r="B61" s="130">
        <f t="shared" ref="B61:L61" si="62">B132</f>
        <v>0</v>
      </c>
      <c r="C61" s="130">
        <f t="shared" si="62"/>
        <v>0</v>
      </c>
      <c r="D61" s="130">
        <f t="shared" si="62"/>
        <v>0</v>
      </c>
      <c r="E61" s="130">
        <f t="shared" si="62"/>
        <v>0</v>
      </c>
      <c r="F61" s="130">
        <f t="shared" si="62"/>
        <v>0</v>
      </c>
      <c r="G61" s="130">
        <f t="shared" si="62"/>
        <v>0</v>
      </c>
      <c r="H61" s="130">
        <f t="shared" si="62"/>
        <v>0</v>
      </c>
      <c r="I61" s="130">
        <f t="shared" si="62"/>
        <v>0</v>
      </c>
      <c r="J61" s="130">
        <f t="shared" si="62"/>
        <v>0</v>
      </c>
      <c r="K61" s="130">
        <f t="shared" si="62"/>
        <v>0</v>
      </c>
      <c r="L61" s="130">
        <f t="shared" si="62"/>
        <v>0</v>
      </c>
      <c r="M61" s="130">
        <f t="shared" ref="M61" si="63">M132</f>
        <v>0</v>
      </c>
      <c r="N61" s="130">
        <f t="shared" ref="N61:N68" si="64">SUM(B61:F61)</f>
        <v>0</v>
      </c>
      <c r="P61" s="130">
        <f t="shared" si="2"/>
        <v>0</v>
      </c>
      <c r="Q61" s="130">
        <f t="shared" si="3"/>
        <v>0</v>
      </c>
    </row>
    <row r="62" spans="1:17" x14ac:dyDescent="0.25">
      <c r="A62" s="66" t="s">
        <v>45</v>
      </c>
      <c r="B62" s="130">
        <f t="shared" ref="B62:L62" si="65">B143+B175+B148+B149+B187+B178</f>
        <v>57082.080000000009</v>
      </c>
      <c r="C62" s="130">
        <f t="shared" si="65"/>
        <v>43072.58</v>
      </c>
      <c r="D62" s="130">
        <f t="shared" si="65"/>
        <v>59675.47</v>
      </c>
      <c r="E62" s="130">
        <f t="shared" si="65"/>
        <v>4134.2700000000004</v>
      </c>
      <c r="F62" s="130">
        <f t="shared" si="65"/>
        <v>5361.5499999999993</v>
      </c>
      <c r="G62" s="130">
        <f t="shared" si="65"/>
        <v>13894.16</v>
      </c>
      <c r="H62" s="130">
        <f t="shared" si="65"/>
        <v>20530.47</v>
      </c>
      <c r="I62" s="130">
        <f t="shared" si="65"/>
        <v>5400.13</v>
      </c>
      <c r="J62" s="130">
        <f t="shared" si="65"/>
        <v>10087.08</v>
      </c>
      <c r="K62" s="130">
        <f t="shared" si="65"/>
        <v>20598.52</v>
      </c>
      <c r="L62" s="130">
        <f t="shared" si="65"/>
        <v>28536.52</v>
      </c>
      <c r="M62" s="130">
        <f>M143+M175+M148+M149+M187+M178</f>
        <v>218961.68</v>
      </c>
      <c r="N62" s="130">
        <f t="shared" si="64"/>
        <v>169325.94999999998</v>
      </c>
      <c r="P62" s="130">
        <f t="shared" si="2"/>
        <v>-4512.3390909090922</v>
      </c>
      <c r="Q62" s="130">
        <f t="shared" si="3"/>
        <v>223474.01909090907</v>
      </c>
    </row>
    <row r="63" spans="1:17" x14ac:dyDescent="0.25">
      <c r="A63" s="66" t="s">
        <v>46</v>
      </c>
      <c r="B63" s="130">
        <f t="shared" ref="B63:L63" si="66">B145+B147</f>
        <v>162526.82</v>
      </c>
      <c r="C63" s="130">
        <f t="shared" si="66"/>
        <v>186551.2</v>
      </c>
      <c r="D63" s="130">
        <f t="shared" si="66"/>
        <v>121471.26</v>
      </c>
      <c r="E63" s="130">
        <f t="shared" si="66"/>
        <v>104538.95</v>
      </c>
      <c r="F63" s="130">
        <f t="shared" si="66"/>
        <v>112337.33</v>
      </c>
      <c r="G63" s="130">
        <f t="shared" si="66"/>
        <v>58522.59</v>
      </c>
      <c r="H63" s="130">
        <f t="shared" si="66"/>
        <v>142640.88</v>
      </c>
      <c r="I63" s="130">
        <f t="shared" si="66"/>
        <v>302010.69</v>
      </c>
      <c r="J63" s="130">
        <f t="shared" si="66"/>
        <v>148375.73000000001</v>
      </c>
      <c r="K63" s="130">
        <f t="shared" si="66"/>
        <v>124519.01</v>
      </c>
      <c r="L63" s="130">
        <f t="shared" si="66"/>
        <v>101255.08</v>
      </c>
      <c r="M63" s="130">
        <f t="shared" ref="M63" si="67">M145+M147</f>
        <v>137249.42000000001</v>
      </c>
      <c r="N63" s="130">
        <f t="shared" si="64"/>
        <v>687425.55999999994</v>
      </c>
      <c r="P63" s="130">
        <f t="shared" si="2"/>
        <v>50016.012727272719</v>
      </c>
      <c r="Q63" s="130">
        <f t="shared" si="3"/>
        <v>87233.407272727287</v>
      </c>
    </row>
    <row r="64" spans="1:17" x14ac:dyDescent="0.25">
      <c r="A64" s="66" t="s">
        <v>47</v>
      </c>
      <c r="B64" s="130">
        <f t="shared" ref="B64:L64" si="68">B177</f>
        <v>5000</v>
      </c>
      <c r="C64" s="130">
        <f t="shared" si="68"/>
        <v>16772.5</v>
      </c>
      <c r="D64" s="130">
        <f t="shared" si="68"/>
        <v>-6772.5</v>
      </c>
      <c r="E64" s="130">
        <f t="shared" si="68"/>
        <v>5000</v>
      </c>
      <c r="F64" s="130">
        <f t="shared" si="68"/>
        <v>5000</v>
      </c>
      <c r="G64" s="130">
        <f t="shared" si="68"/>
        <v>5000</v>
      </c>
      <c r="H64" s="130">
        <f t="shared" si="68"/>
        <v>5000</v>
      </c>
      <c r="I64" s="130">
        <f t="shared" si="68"/>
        <v>5000</v>
      </c>
      <c r="J64" s="130">
        <f t="shared" si="68"/>
        <v>5000</v>
      </c>
      <c r="K64" s="130">
        <f t="shared" si="68"/>
        <v>5000</v>
      </c>
      <c r="L64" s="130">
        <f t="shared" si="68"/>
        <v>5000</v>
      </c>
      <c r="M64" s="130">
        <f t="shared" ref="M64" si="69">M177</f>
        <v>5000</v>
      </c>
      <c r="N64" s="130">
        <f t="shared" si="64"/>
        <v>25000</v>
      </c>
      <c r="P64" s="130">
        <f t="shared" si="2"/>
        <v>1818.1818181818182</v>
      </c>
      <c r="Q64" s="130">
        <f t="shared" si="3"/>
        <v>3181.818181818182</v>
      </c>
    </row>
    <row r="65" spans="1:17" x14ac:dyDescent="0.25">
      <c r="A65" s="66" t="s">
        <v>48</v>
      </c>
      <c r="B65" s="1">
        <f t="shared" ref="B65:L65" si="70">B184+B188+B189+B183+B185</f>
        <v>15314.77</v>
      </c>
      <c r="C65" s="1">
        <f t="shared" si="70"/>
        <v>24623.15</v>
      </c>
      <c r="D65" s="1">
        <f t="shared" si="70"/>
        <v>20393.25</v>
      </c>
      <c r="E65" s="1">
        <f t="shared" si="70"/>
        <v>17847.68</v>
      </c>
      <c r="F65" s="1">
        <f t="shared" si="70"/>
        <v>17603.449999999997</v>
      </c>
      <c r="G65" s="1">
        <f t="shared" si="70"/>
        <v>14073.55</v>
      </c>
      <c r="H65" s="1">
        <f t="shared" si="70"/>
        <v>12245.060000000001</v>
      </c>
      <c r="I65" s="1">
        <f t="shared" si="70"/>
        <v>18464.39</v>
      </c>
      <c r="J65" s="1">
        <f t="shared" si="70"/>
        <v>6687.04</v>
      </c>
      <c r="K65" s="1">
        <f t="shared" si="70"/>
        <v>29655.07</v>
      </c>
      <c r="L65" s="1">
        <f t="shared" si="70"/>
        <v>19372.400000000001</v>
      </c>
      <c r="M65" s="1">
        <f t="shared" ref="M65" si="71">M184+M188+M189+M183+M185</f>
        <v>9886.5500000000011</v>
      </c>
      <c r="N65" s="130">
        <f t="shared" si="64"/>
        <v>95782.3</v>
      </c>
      <c r="P65" s="130">
        <f t="shared" si="2"/>
        <v>7808.704545454545</v>
      </c>
      <c r="Q65" s="130">
        <f t="shared" si="3"/>
        <v>2077.8454545454561</v>
      </c>
    </row>
    <row r="66" spans="1:17" x14ac:dyDescent="0.25">
      <c r="A66" s="66" t="s">
        <v>49</v>
      </c>
      <c r="B66" s="130">
        <f t="shared" ref="B66:L66" si="72">B181</f>
        <v>28233.33</v>
      </c>
      <c r="C66" s="130">
        <f t="shared" si="72"/>
        <v>28233.33</v>
      </c>
      <c r="D66" s="130">
        <f t="shared" si="72"/>
        <v>28595.83</v>
      </c>
      <c r="E66" s="130">
        <f t="shared" si="72"/>
        <v>28233.33</v>
      </c>
      <c r="F66" s="130">
        <f t="shared" si="72"/>
        <v>28233.33</v>
      </c>
      <c r="G66" s="130">
        <f t="shared" si="72"/>
        <v>7627.91</v>
      </c>
      <c r="H66" s="130">
        <f t="shared" si="72"/>
        <v>28233.33</v>
      </c>
      <c r="I66" s="130">
        <f t="shared" si="72"/>
        <v>28233.33</v>
      </c>
      <c r="J66" s="130">
        <f t="shared" si="72"/>
        <v>28233.33</v>
      </c>
      <c r="K66" s="130">
        <f t="shared" si="72"/>
        <v>28233.33</v>
      </c>
      <c r="L66" s="130">
        <f t="shared" si="72"/>
        <v>24925.040000000001</v>
      </c>
      <c r="M66" s="130">
        <f t="shared" ref="M66" si="73">M181</f>
        <v>24066.46</v>
      </c>
      <c r="N66" s="130">
        <f t="shared" si="64"/>
        <v>141529.15000000002</v>
      </c>
      <c r="P66" s="130">
        <f t="shared" si="2"/>
        <v>10678.426363636367</v>
      </c>
      <c r="Q66" s="130">
        <f t="shared" si="3"/>
        <v>13388.033636363632</v>
      </c>
    </row>
    <row r="67" spans="1:17" x14ac:dyDescent="0.25">
      <c r="A67" s="66" t="s">
        <v>50</v>
      </c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>
        <f t="shared" si="64"/>
        <v>0</v>
      </c>
      <c r="P67" s="130">
        <f t="shared" si="2"/>
        <v>0</v>
      </c>
      <c r="Q67" s="130">
        <f t="shared" si="3"/>
        <v>0</v>
      </c>
    </row>
    <row r="68" spans="1:17" x14ac:dyDescent="0.25">
      <c r="A68" s="66" t="s">
        <v>51</v>
      </c>
      <c r="B68" s="130">
        <f t="shared" ref="B68:L68" si="74">B182</f>
        <v>0</v>
      </c>
      <c r="C68" s="130">
        <f t="shared" si="74"/>
        <v>878</v>
      </c>
      <c r="D68" s="130">
        <f t="shared" si="74"/>
        <v>0</v>
      </c>
      <c r="E68" s="130">
        <f t="shared" si="74"/>
        <v>0</v>
      </c>
      <c r="F68" s="130">
        <f t="shared" si="74"/>
        <v>620</v>
      </c>
      <c r="G68" s="130">
        <f t="shared" si="74"/>
        <v>0</v>
      </c>
      <c r="H68" s="130">
        <f t="shared" si="74"/>
        <v>12</v>
      </c>
      <c r="I68" s="130">
        <f t="shared" si="74"/>
        <v>0</v>
      </c>
      <c r="J68" s="130">
        <f t="shared" si="74"/>
        <v>0</v>
      </c>
      <c r="K68" s="130">
        <f t="shared" si="74"/>
        <v>0</v>
      </c>
      <c r="L68" s="130">
        <f t="shared" si="74"/>
        <v>0</v>
      </c>
      <c r="M68" s="130">
        <f t="shared" ref="M68" si="75">M182</f>
        <v>303.94</v>
      </c>
      <c r="N68" s="130">
        <f t="shared" si="64"/>
        <v>1498</v>
      </c>
      <c r="P68" s="130">
        <f t="shared" si="2"/>
        <v>108.55090909090909</v>
      </c>
      <c r="Q68" s="130">
        <f t="shared" si="3"/>
        <v>195.3890909090909</v>
      </c>
    </row>
    <row r="69" spans="1:17" x14ac:dyDescent="0.25">
      <c r="A69" s="66" t="s">
        <v>52</v>
      </c>
      <c r="B69" s="2">
        <f>SUM(B61:B68)</f>
        <v>268157</v>
      </c>
      <c r="C69" s="2">
        <f t="shared" ref="C69:M69" si="76">SUM(C61:C68)</f>
        <v>300130.76000000007</v>
      </c>
      <c r="D69" s="1">
        <f t="shared" si="76"/>
        <v>223363.31</v>
      </c>
      <c r="E69" s="2">
        <f t="shared" si="76"/>
        <v>159754.22999999998</v>
      </c>
      <c r="F69" s="2">
        <f t="shared" si="76"/>
        <v>169155.66000000003</v>
      </c>
      <c r="G69" s="2">
        <f t="shared" si="76"/>
        <v>99118.21</v>
      </c>
      <c r="H69" s="2">
        <f t="shared" ref="H69" si="77">SUM(H61:H68)</f>
        <v>208661.74</v>
      </c>
      <c r="I69" s="2">
        <f t="shared" si="76"/>
        <v>359108.54000000004</v>
      </c>
      <c r="J69" s="2">
        <f t="shared" si="76"/>
        <v>198383.18</v>
      </c>
      <c r="K69" s="2">
        <f t="shared" si="76"/>
        <v>208005.93</v>
      </c>
      <c r="L69" s="2">
        <f t="shared" si="76"/>
        <v>179089.04</v>
      </c>
      <c r="M69" s="2">
        <f t="shared" si="76"/>
        <v>395468.05</v>
      </c>
      <c r="N69" s="2">
        <f>SUM(N61:N68)</f>
        <v>1120560.96</v>
      </c>
      <c r="P69" s="2">
        <f t="shared" si="2"/>
        <v>65917.537272727262</v>
      </c>
      <c r="Q69" s="2">
        <f t="shared" si="3"/>
        <v>329550.5127272727</v>
      </c>
    </row>
    <row r="70" spans="1:17" x14ac:dyDescent="0.25">
      <c r="A70" s="66" t="s">
        <v>53</v>
      </c>
      <c r="B70" s="3">
        <f t="shared" ref="B70:L70" si="78">+B59-B69</f>
        <v>-179885.99</v>
      </c>
      <c r="C70" s="3">
        <f t="shared" si="78"/>
        <v>-185059.40000000008</v>
      </c>
      <c r="D70" s="3">
        <f t="shared" si="78"/>
        <v>-107826.16</v>
      </c>
      <c r="E70" s="3">
        <f t="shared" si="78"/>
        <v>-112146.59999999998</v>
      </c>
      <c r="F70" s="3">
        <f t="shared" si="78"/>
        <v>-89198.310000000027</v>
      </c>
      <c r="G70" s="3">
        <f t="shared" si="78"/>
        <v>-46955.010000000009</v>
      </c>
      <c r="H70" s="3">
        <f t="shared" si="78"/>
        <v>-89108.409999999989</v>
      </c>
      <c r="I70" s="3">
        <f t="shared" si="78"/>
        <v>-313178.53000000003</v>
      </c>
      <c r="J70" s="3">
        <f t="shared" si="78"/>
        <v>-110694.52999999998</v>
      </c>
      <c r="K70" s="3">
        <f t="shared" si="78"/>
        <v>-141264.22</v>
      </c>
      <c r="L70" s="3">
        <f t="shared" si="78"/>
        <v>-79138.570000000007</v>
      </c>
      <c r="M70" s="3">
        <f t="shared" ref="M70" si="79">+M59-M69</f>
        <v>-108345.86999999994</v>
      </c>
      <c r="N70" s="3">
        <f>+N59-N69</f>
        <v>-674116.46</v>
      </c>
      <c r="P70" s="3">
        <f t="shared" si="2"/>
        <v>-51433.69000000001</v>
      </c>
      <c r="Q70" s="3">
        <f t="shared" si="3"/>
        <v>-56912.179999999928</v>
      </c>
    </row>
    <row r="71" spans="1:17" x14ac:dyDescent="0.25"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6"/>
      <c r="P71" s="136">
        <f t="shared" si="2"/>
        <v>0</v>
      </c>
      <c r="Q71" s="136">
        <f t="shared" si="3"/>
        <v>0</v>
      </c>
    </row>
    <row r="72" spans="1:17" x14ac:dyDescent="0.25">
      <c r="A72" s="66" t="s">
        <v>54</v>
      </c>
      <c r="B72" s="130">
        <f t="shared" ref="B72:L72" si="80">B214</f>
        <v>405193.11</v>
      </c>
      <c r="C72" s="130">
        <f t="shared" si="80"/>
        <v>341937.99000000005</v>
      </c>
      <c r="D72" s="130">
        <f t="shared" si="80"/>
        <v>343625.55</v>
      </c>
      <c r="E72" s="130">
        <f t="shared" si="80"/>
        <v>353871.56</v>
      </c>
      <c r="F72" s="130">
        <f t="shared" si="80"/>
        <v>420339.36000000004</v>
      </c>
      <c r="G72" s="130">
        <f t="shared" si="80"/>
        <v>403802.07</v>
      </c>
      <c r="H72" s="130">
        <f t="shared" si="80"/>
        <v>404965.73</v>
      </c>
      <c r="I72" s="130">
        <f t="shared" si="80"/>
        <v>398996.33</v>
      </c>
      <c r="J72" s="130">
        <f t="shared" si="80"/>
        <v>-774085.3</v>
      </c>
      <c r="K72" s="130">
        <f t="shared" si="80"/>
        <v>288817.17</v>
      </c>
      <c r="L72" s="130">
        <f t="shared" si="80"/>
        <v>212558.63</v>
      </c>
      <c r="M72" s="130">
        <f>M214</f>
        <v>412158.95</v>
      </c>
      <c r="N72" s="130">
        <f t="shared" ref="N72:N76" si="81">SUM(B72:F72)</f>
        <v>1864967.5700000003</v>
      </c>
      <c r="P72" s="130">
        <f t="shared" si="2"/>
        <v>132073.51090909095</v>
      </c>
      <c r="Q72" s="130">
        <f t="shared" si="3"/>
        <v>280085.43909090909</v>
      </c>
    </row>
    <row r="73" spans="1:17" x14ac:dyDescent="0.25">
      <c r="A73" s="66" t="s">
        <v>55</v>
      </c>
      <c r="B73" s="130">
        <f t="shared" ref="B73:L73" si="82">B238</f>
        <v>217438.18</v>
      </c>
      <c r="C73" s="130">
        <f t="shared" si="82"/>
        <v>209198.51</v>
      </c>
      <c r="D73" s="130">
        <f t="shared" si="82"/>
        <v>217237.15000000002</v>
      </c>
      <c r="E73" s="130">
        <f t="shared" si="82"/>
        <v>198728.25999999998</v>
      </c>
      <c r="F73" s="130">
        <f t="shared" si="82"/>
        <v>199475.94999999998</v>
      </c>
      <c r="G73" s="130">
        <f t="shared" si="82"/>
        <v>222170.33999999997</v>
      </c>
      <c r="H73" s="130">
        <f t="shared" si="82"/>
        <v>232432.36999999997</v>
      </c>
      <c r="I73" s="130">
        <f t="shared" si="82"/>
        <v>206199.65</v>
      </c>
      <c r="J73" s="130">
        <f t="shared" si="82"/>
        <v>262615.36</v>
      </c>
      <c r="K73" s="130">
        <f t="shared" si="82"/>
        <v>237014.89</v>
      </c>
      <c r="L73" s="130">
        <f t="shared" si="82"/>
        <v>216333.72999999995</v>
      </c>
      <c r="M73" s="130">
        <f>M238</f>
        <v>239275.96999999997</v>
      </c>
      <c r="N73" s="130">
        <f t="shared" si="81"/>
        <v>1042078.05</v>
      </c>
      <c r="P73" s="130">
        <f t="shared" si="2"/>
        <v>72982.007272727278</v>
      </c>
      <c r="Q73" s="130">
        <f t="shared" si="3"/>
        <v>166293.96272727271</v>
      </c>
    </row>
    <row r="74" spans="1:17" x14ac:dyDescent="0.25">
      <c r="A74" s="66" t="s">
        <v>56</v>
      </c>
      <c r="B74" s="130">
        <f t="shared" ref="B74:L74" si="83">B270</f>
        <v>90442.829999999987</v>
      </c>
      <c r="C74" s="130">
        <f t="shared" si="83"/>
        <v>71415.44</v>
      </c>
      <c r="D74" s="130">
        <f t="shared" si="83"/>
        <v>72804.350000000006</v>
      </c>
      <c r="E74" s="130">
        <f t="shared" si="83"/>
        <v>77596.460000000006</v>
      </c>
      <c r="F74" s="130">
        <f t="shared" si="83"/>
        <v>76368.37</v>
      </c>
      <c r="G74" s="130">
        <f t="shared" si="83"/>
        <v>87260.21</v>
      </c>
      <c r="H74" s="130">
        <f t="shared" si="83"/>
        <v>100682.48999999999</v>
      </c>
      <c r="I74" s="130">
        <f t="shared" si="83"/>
        <v>93622.96</v>
      </c>
      <c r="J74" s="130">
        <f t="shared" si="83"/>
        <v>3254.6100000000069</v>
      </c>
      <c r="K74" s="130">
        <f t="shared" si="83"/>
        <v>90818.64</v>
      </c>
      <c r="L74" s="130">
        <f t="shared" si="83"/>
        <v>66473.72</v>
      </c>
      <c r="M74" s="130">
        <f>M270</f>
        <v>115905.43000000002</v>
      </c>
      <c r="N74" s="130">
        <f t="shared" si="81"/>
        <v>388627.45</v>
      </c>
      <c r="P74" s="130">
        <f t="shared" ref="P74:P144" si="84">(N74-M74)/11</f>
        <v>24792.910909090911</v>
      </c>
      <c r="Q74" s="130">
        <f t="shared" ref="Q74:Q144" si="85">M74-P74</f>
        <v>91112.519090909103</v>
      </c>
    </row>
    <row r="75" spans="1:17" x14ac:dyDescent="0.25">
      <c r="A75" s="66" t="s">
        <v>57</v>
      </c>
      <c r="B75" s="130">
        <f t="shared" ref="B75:L75" si="86">-B285</f>
        <v>-81297.39</v>
      </c>
      <c r="C75" s="130">
        <f t="shared" si="86"/>
        <v>-60573.55</v>
      </c>
      <c r="D75" s="130">
        <f t="shared" si="86"/>
        <v>-54599.840000000004</v>
      </c>
      <c r="E75" s="130">
        <f t="shared" si="86"/>
        <v>-82044.150000000009</v>
      </c>
      <c r="F75" s="130">
        <f t="shared" si="86"/>
        <v>-105834.51000000001</v>
      </c>
      <c r="G75" s="130">
        <f t="shared" si="86"/>
        <v>-92499.849999999991</v>
      </c>
      <c r="H75" s="130">
        <f t="shared" si="86"/>
        <v>-94568.209999999992</v>
      </c>
      <c r="I75" s="130">
        <f t="shared" si="86"/>
        <v>-83366.98</v>
      </c>
      <c r="J75" s="130">
        <f t="shared" si="86"/>
        <v>211658.71</v>
      </c>
      <c r="K75" s="130">
        <f t="shared" si="86"/>
        <v>-66662.75</v>
      </c>
      <c r="L75" s="130">
        <f t="shared" si="86"/>
        <v>-75012.94</v>
      </c>
      <c r="M75" s="130">
        <f>-M285</f>
        <v>-106003.87000000001</v>
      </c>
      <c r="N75" s="130">
        <f t="shared" si="81"/>
        <v>-384349.44</v>
      </c>
      <c r="P75" s="130">
        <f t="shared" si="84"/>
        <v>-25304.142727272727</v>
      </c>
      <c r="Q75" s="130">
        <f t="shared" si="85"/>
        <v>-80699.727272727279</v>
      </c>
    </row>
    <row r="76" spans="1:17" x14ac:dyDescent="0.25">
      <c r="A76" s="66" t="s">
        <v>58</v>
      </c>
      <c r="B76" s="130">
        <f t="shared" ref="B76:L76" si="87">B131</f>
        <v>-3595.4</v>
      </c>
      <c r="C76" s="130">
        <f t="shared" si="87"/>
        <v>-2471.31</v>
      </c>
      <c r="D76" s="130">
        <f t="shared" si="87"/>
        <v>-4621.22</v>
      </c>
      <c r="E76" s="130">
        <f t="shared" si="87"/>
        <v>-5799.91</v>
      </c>
      <c r="F76" s="130">
        <f t="shared" si="87"/>
        <v>-1360.64</v>
      </c>
      <c r="G76" s="130">
        <f t="shared" si="87"/>
        <v>-1536.21</v>
      </c>
      <c r="H76" s="130">
        <f t="shared" si="87"/>
        <v>-2242.15</v>
      </c>
      <c r="I76" s="130">
        <f t="shared" si="87"/>
        <v>-4335.7700000000004</v>
      </c>
      <c r="J76" s="130">
        <f t="shared" si="87"/>
        <v>-2948.83</v>
      </c>
      <c r="K76" s="130">
        <f t="shared" si="87"/>
        <v>-5190.07</v>
      </c>
      <c r="L76" s="130">
        <f t="shared" si="87"/>
        <v>1017.16</v>
      </c>
      <c r="M76" s="130">
        <f t="shared" ref="M76" si="88">M131</f>
        <v>6716.08</v>
      </c>
      <c r="N76" s="130">
        <f t="shared" si="81"/>
        <v>-17848.48</v>
      </c>
      <c r="P76" s="130">
        <f t="shared" si="84"/>
        <v>-2233.1418181818181</v>
      </c>
      <c r="Q76" s="130">
        <f t="shared" si="85"/>
        <v>8949.2218181818171</v>
      </c>
    </row>
    <row r="77" spans="1:17" x14ac:dyDescent="0.25">
      <c r="A77" s="66" t="s">
        <v>59</v>
      </c>
      <c r="B77" s="134">
        <f>SUM(B72:B76)</f>
        <v>628181.32999999996</v>
      </c>
      <c r="C77" s="134">
        <f>SUM(C72:C76)</f>
        <v>559507.07999999984</v>
      </c>
      <c r="D77" s="134">
        <f t="shared" ref="D77:L77" si="89">SUM(D72:D76)</f>
        <v>574445.99</v>
      </c>
      <c r="E77" s="134">
        <f>SUM(E72:E76)</f>
        <v>542352.21999999986</v>
      </c>
      <c r="F77" s="134">
        <f t="shared" si="89"/>
        <v>588988.53</v>
      </c>
      <c r="G77" s="134">
        <f t="shared" si="89"/>
        <v>619196.55999999994</v>
      </c>
      <c r="H77" s="134">
        <f>SUM(H72:H76)</f>
        <v>641270.23</v>
      </c>
      <c r="I77" s="134">
        <f>SUM(I72:I76)</f>
        <v>611116.18999999994</v>
      </c>
      <c r="J77" s="134">
        <f t="shared" si="89"/>
        <v>-299505.45000000013</v>
      </c>
      <c r="K77" s="134">
        <f t="shared" si="89"/>
        <v>544797.88000000012</v>
      </c>
      <c r="L77" s="134">
        <f t="shared" si="89"/>
        <v>421370.29999999993</v>
      </c>
      <c r="M77" s="134">
        <f>SUM(M72:M76)</f>
        <v>668052.55999999994</v>
      </c>
      <c r="N77" s="134">
        <f>SUM(N72:N76)</f>
        <v>2893475.1500000004</v>
      </c>
      <c r="P77" s="134">
        <f t="shared" si="84"/>
        <v>202311.14454545456</v>
      </c>
      <c r="Q77" s="134">
        <f t="shared" si="85"/>
        <v>465741.41545454541</v>
      </c>
    </row>
    <row r="78" spans="1:17" ht="27" customHeight="1" thickBot="1" x14ac:dyDescent="0.3">
      <c r="A78" s="66" t="s">
        <v>60</v>
      </c>
      <c r="B78" s="137">
        <f t="shared" ref="B78:N78" si="90">+B35+B70-B77</f>
        <v>65733.430000119261</v>
      </c>
      <c r="C78" s="137">
        <f t="shared" si="90"/>
        <v>62568.98999979021</v>
      </c>
      <c r="D78" s="137">
        <f t="shared" si="90"/>
        <v>190852.60999993084</v>
      </c>
      <c r="E78" s="137">
        <f t="shared" si="90"/>
        <v>-70572.120000041556</v>
      </c>
      <c r="F78" s="137">
        <f t="shared" si="90"/>
        <v>-203742.99999999651</v>
      </c>
      <c r="G78" s="137">
        <f t="shared" si="90"/>
        <v>-88358.510000057169</v>
      </c>
      <c r="H78" s="137">
        <f t="shared" si="90"/>
        <v>-303625.03999997611</v>
      </c>
      <c r="I78" s="137">
        <f t="shared" si="90"/>
        <v>-208857.14999994752</v>
      </c>
      <c r="J78" s="137">
        <f t="shared" si="90"/>
        <v>624726.29000006453</v>
      </c>
      <c r="K78" s="137">
        <f t="shared" si="90"/>
        <v>-30452.229999876115</v>
      </c>
      <c r="L78" s="137">
        <f t="shared" si="90"/>
        <v>-220404.46999987477</v>
      </c>
      <c r="M78" s="137">
        <f t="shared" si="90"/>
        <v>-388476.5599999355</v>
      </c>
      <c r="N78" s="137">
        <f t="shared" si="90"/>
        <v>44839.909999980591</v>
      </c>
      <c r="P78" s="137">
        <f t="shared" si="84"/>
        <v>39392.406363628739</v>
      </c>
      <c r="Q78" s="137">
        <f t="shared" si="85"/>
        <v>-427868.96636356425</v>
      </c>
    </row>
    <row r="79" spans="1:17" ht="15.75" thickTop="1" x14ac:dyDescent="0.25">
      <c r="C79" s="130"/>
      <c r="D79" s="130"/>
      <c r="E79" s="130"/>
      <c r="F79" s="130"/>
      <c r="G79" s="130"/>
      <c r="H79" s="130"/>
      <c r="I79" s="130"/>
      <c r="J79" s="130"/>
      <c r="K79" s="130"/>
      <c r="L79" s="130"/>
      <c r="M79" s="130"/>
      <c r="P79" s="66">
        <f t="shared" si="84"/>
        <v>0</v>
      </c>
      <c r="Q79" s="66">
        <f t="shared" si="85"/>
        <v>0</v>
      </c>
    </row>
    <row r="80" spans="1:17" x14ac:dyDescent="0.25">
      <c r="A80" s="66" t="s">
        <v>61</v>
      </c>
      <c r="C80" s="130"/>
      <c r="D80" s="130"/>
      <c r="E80" s="130"/>
      <c r="F80" s="130"/>
      <c r="G80" s="130"/>
      <c r="H80" s="130"/>
      <c r="I80" s="130"/>
      <c r="J80" s="130"/>
      <c r="K80" s="130"/>
      <c r="L80" s="130"/>
      <c r="M80" s="130"/>
      <c r="P80" s="66">
        <f t="shared" si="84"/>
        <v>0</v>
      </c>
      <c r="Q80" s="66">
        <f t="shared" si="85"/>
        <v>0</v>
      </c>
    </row>
    <row r="81" spans="1:17" x14ac:dyDescent="0.25">
      <c r="C81" s="130"/>
      <c r="D81" s="130"/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P81" s="130">
        <f t="shared" si="84"/>
        <v>0</v>
      </c>
      <c r="Q81" s="130">
        <f t="shared" si="85"/>
        <v>0</v>
      </c>
    </row>
    <row r="82" spans="1:17" hidden="1" x14ac:dyDescent="0.25">
      <c r="B82" s="130">
        <f t="shared" ref="B82:K82" si="91">+B78-B81</f>
        <v>65733.430000119261</v>
      </c>
      <c r="C82" s="130">
        <f t="shared" si="91"/>
        <v>62568.98999979021</v>
      </c>
      <c r="D82" s="130">
        <f t="shared" si="91"/>
        <v>190852.60999993084</v>
      </c>
      <c r="E82" s="130">
        <f t="shared" si="91"/>
        <v>-70572.120000041556</v>
      </c>
      <c r="F82" s="130">
        <f t="shared" si="91"/>
        <v>-203742.99999999651</v>
      </c>
      <c r="G82" s="130">
        <f t="shared" si="91"/>
        <v>-88358.510000057169</v>
      </c>
      <c r="H82" s="130">
        <f t="shared" ref="H82" si="92">+H78-H81</f>
        <v>-303625.03999997611</v>
      </c>
      <c r="I82" s="130">
        <f t="shared" si="91"/>
        <v>-208857.14999994752</v>
      </c>
      <c r="J82" s="130">
        <f t="shared" si="91"/>
        <v>624726.29000006453</v>
      </c>
      <c r="K82" s="130">
        <f t="shared" si="91"/>
        <v>-30452.229999876115</v>
      </c>
      <c r="L82" s="130">
        <v>0</v>
      </c>
      <c r="M82" s="130"/>
      <c r="N82" s="130">
        <v>0</v>
      </c>
      <c r="P82" s="130">
        <f t="shared" si="84"/>
        <v>0</v>
      </c>
      <c r="Q82" s="130">
        <f t="shared" si="85"/>
        <v>0</v>
      </c>
    </row>
    <row r="83" spans="1:17" ht="15.75" thickBot="1" x14ac:dyDescent="0.3">
      <c r="C83" s="130"/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P83" s="66">
        <f t="shared" si="84"/>
        <v>0</v>
      </c>
      <c r="Q83" s="66">
        <f t="shared" si="85"/>
        <v>0</v>
      </c>
    </row>
    <row r="84" spans="1:17" x14ac:dyDescent="0.25">
      <c r="A84" s="70" t="s">
        <v>62</v>
      </c>
      <c r="B84" s="143"/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143"/>
      <c r="N84" s="144"/>
      <c r="P84" s="144">
        <f t="shared" si="84"/>
        <v>0</v>
      </c>
      <c r="Q84" s="144">
        <f t="shared" si="85"/>
        <v>0</v>
      </c>
    </row>
    <row r="85" spans="1:17" x14ac:dyDescent="0.25">
      <c r="A85" s="71" t="s">
        <v>39</v>
      </c>
      <c r="B85" s="133">
        <f t="shared" ref="B85:L86" si="93">+B55</f>
        <v>0</v>
      </c>
      <c r="C85" s="133">
        <f t="shared" si="93"/>
        <v>0</v>
      </c>
      <c r="D85" s="133">
        <f t="shared" si="93"/>
        <v>0</v>
      </c>
      <c r="E85" s="133">
        <f t="shared" si="93"/>
        <v>0</v>
      </c>
      <c r="F85" s="133">
        <f t="shared" si="93"/>
        <v>0</v>
      </c>
      <c r="G85" s="133">
        <f t="shared" si="93"/>
        <v>0</v>
      </c>
      <c r="H85" s="133">
        <f t="shared" si="93"/>
        <v>0</v>
      </c>
      <c r="I85" s="133">
        <f t="shared" si="93"/>
        <v>0</v>
      </c>
      <c r="J85" s="133">
        <f t="shared" si="93"/>
        <v>0</v>
      </c>
      <c r="K85" s="133">
        <f t="shared" si="93"/>
        <v>0</v>
      </c>
      <c r="L85" s="133">
        <f t="shared" si="93"/>
        <v>0</v>
      </c>
      <c r="M85" s="133">
        <f t="shared" ref="M85" si="94">+M55</f>
        <v>0</v>
      </c>
      <c r="N85" s="130">
        <f>SUM(B85:F85)</f>
        <v>0</v>
      </c>
      <c r="P85" s="145">
        <f t="shared" si="84"/>
        <v>0</v>
      </c>
      <c r="Q85" s="145">
        <f t="shared" si="85"/>
        <v>0</v>
      </c>
    </row>
    <row r="86" spans="1:17" x14ac:dyDescent="0.25">
      <c r="A86" s="71" t="s">
        <v>63</v>
      </c>
      <c r="B86" s="133">
        <f t="shared" si="93"/>
        <v>44174.48</v>
      </c>
      <c r="C86" s="133">
        <f t="shared" si="93"/>
        <v>37026.959999999999</v>
      </c>
      <c r="D86" s="133">
        <f t="shared" si="93"/>
        <v>50952.97</v>
      </c>
      <c r="E86" s="133">
        <f t="shared" si="93"/>
        <v>17383</v>
      </c>
      <c r="F86" s="133">
        <f t="shared" si="93"/>
        <v>6537.5</v>
      </c>
      <c r="G86" s="133">
        <f t="shared" si="93"/>
        <v>12690.5</v>
      </c>
      <c r="H86" s="133">
        <f t="shared" si="93"/>
        <v>14136.99</v>
      </c>
      <c r="I86" s="133">
        <f t="shared" si="93"/>
        <v>3546</v>
      </c>
      <c r="J86" s="133">
        <f t="shared" si="93"/>
        <v>6577.55</v>
      </c>
      <c r="K86" s="133">
        <f t="shared" si="93"/>
        <v>18560.79</v>
      </c>
      <c r="L86" s="133">
        <f t="shared" si="93"/>
        <v>30425.09</v>
      </c>
      <c r="M86" s="133">
        <f t="shared" ref="M86" si="95">+M56</f>
        <v>189608.23</v>
      </c>
      <c r="N86" s="130">
        <f>SUM(B86:F86)</f>
        <v>156074.91</v>
      </c>
      <c r="P86" s="145">
        <f t="shared" si="84"/>
        <v>-3048.4836363636368</v>
      </c>
      <c r="Q86" s="145">
        <f t="shared" si="85"/>
        <v>192656.71363636365</v>
      </c>
    </row>
    <row r="87" spans="1:17" x14ac:dyDescent="0.25">
      <c r="A87" s="71" t="s">
        <v>64</v>
      </c>
      <c r="B87" s="134">
        <f>SUM(B85:B86)</f>
        <v>44174.48</v>
      </c>
      <c r="C87" s="134">
        <f t="shared" ref="C87:J87" si="96">SUM(C85:C86)</f>
        <v>37026.959999999999</v>
      </c>
      <c r="D87" s="134">
        <f t="shared" si="96"/>
        <v>50952.97</v>
      </c>
      <c r="E87" s="134">
        <f t="shared" si="96"/>
        <v>17383</v>
      </c>
      <c r="F87" s="134">
        <f t="shared" si="96"/>
        <v>6537.5</v>
      </c>
      <c r="G87" s="134">
        <f t="shared" si="96"/>
        <v>12690.5</v>
      </c>
      <c r="H87" s="134">
        <f t="shared" ref="H87" si="97">SUM(H85:H86)</f>
        <v>14136.99</v>
      </c>
      <c r="I87" s="134">
        <f t="shared" si="96"/>
        <v>3546</v>
      </c>
      <c r="J87" s="134">
        <f t="shared" si="96"/>
        <v>6577.55</v>
      </c>
      <c r="K87" s="134">
        <f>SUM(K85:K86)</f>
        <v>18560.79</v>
      </c>
      <c r="L87" s="134">
        <f>SUM(L85:L86)</f>
        <v>30425.09</v>
      </c>
      <c r="M87" s="134">
        <f>SUM(M85:M86)</f>
        <v>189608.23</v>
      </c>
      <c r="N87" s="146">
        <f>SUM(N85:N86)</f>
        <v>156074.91</v>
      </c>
      <c r="P87" s="146">
        <f t="shared" si="84"/>
        <v>-3048.4836363636368</v>
      </c>
      <c r="Q87" s="146">
        <f t="shared" si="85"/>
        <v>192656.71363636365</v>
      </c>
    </row>
    <row r="88" spans="1:17" x14ac:dyDescent="0.25">
      <c r="A88" s="71"/>
      <c r="B88" s="133"/>
      <c r="C88" s="133"/>
      <c r="D88" s="133"/>
      <c r="E88" s="133"/>
      <c r="F88" s="133"/>
      <c r="G88" s="133"/>
      <c r="H88" s="133"/>
      <c r="I88" s="133"/>
      <c r="J88" s="133"/>
      <c r="K88" s="133"/>
      <c r="L88" s="133"/>
      <c r="M88" s="133"/>
      <c r="N88" s="147"/>
      <c r="P88" s="147">
        <f t="shared" si="84"/>
        <v>0</v>
      </c>
      <c r="Q88" s="147">
        <f t="shared" si="85"/>
        <v>0</v>
      </c>
    </row>
    <row r="89" spans="1:17" x14ac:dyDescent="0.25">
      <c r="A89" s="71" t="s">
        <v>65</v>
      </c>
      <c r="B89" s="133"/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47"/>
      <c r="P89" s="147">
        <f t="shared" si="84"/>
        <v>0</v>
      </c>
      <c r="Q89" s="147">
        <f t="shared" si="85"/>
        <v>0</v>
      </c>
    </row>
    <row r="90" spans="1:17" x14ac:dyDescent="0.25">
      <c r="A90" s="71" t="s">
        <v>66</v>
      </c>
      <c r="B90" s="133">
        <f>+B61</f>
        <v>0</v>
      </c>
      <c r="C90" s="133">
        <f>+C61</f>
        <v>0</v>
      </c>
      <c r="D90" s="133">
        <f>+D61</f>
        <v>0</v>
      </c>
      <c r="E90" s="133">
        <f>+E61</f>
        <v>0</v>
      </c>
      <c r="F90" s="133">
        <f>F132</f>
        <v>0</v>
      </c>
      <c r="G90" s="133">
        <f t="shared" ref="G90:L90" si="98">+G61</f>
        <v>0</v>
      </c>
      <c r="H90" s="133">
        <f t="shared" ref="H90" si="99">+H61</f>
        <v>0</v>
      </c>
      <c r="I90" s="133">
        <f t="shared" si="98"/>
        <v>0</v>
      </c>
      <c r="J90" s="133">
        <f t="shared" si="98"/>
        <v>0</v>
      </c>
      <c r="K90" s="133">
        <f t="shared" si="98"/>
        <v>0</v>
      </c>
      <c r="L90" s="133">
        <f t="shared" si="98"/>
        <v>0</v>
      </c>
      <c r="M90" s="133">
        <f t="shared" ref="M90" si="100">+M61</f>
        <v>0</v>
      </c>
      <c r="N90" s="130">
        <f>SUM(B90:F90)</f>
        <v>0</v>
      </c>
      <c r="P90" s="145">
        <f t="shared" si="84"/>
        <v>0</v>
      </c>
      <c r="Q90" s="145">
        <f t="shared" si="85"/>
        <v>0</v>
      </c>
    </row>
    <row r="91" spans="1:17" x14ac:dyDescent="0.25">
      <c r="A91" s="71" t="s">
        <v>67</v>
      </c>
      <c r="B91" s="133">
        <f t="shared" ref="B91:G91" si="101">B143</f>
        <v>47744.73</v>
      </c>
      <c r="C91" s="133">
        <f t="shared" si="101"/>
        <v>40318.61</v>
      </c>
      <c r="D91" s="133">
        <f t="shared" si="101"/>
        <v>53566.29</v>
      </c>
      <c r="E91" s="133">
        <f t="shared" si="101"/>
        <v>-3427.84</v>
      </c>
      <c r="F91" s="133">
        <f t="shared" si="101"/>
        <v>5808.03</v>
      </c>
      <c r="G91" s="133">
        <f t="shared" si="101"/>
        <v>11225.63</v>
      </c>
      <c r="H91" s="133">
        <f t="shared" ref="H91:L91" si="102">+H62</f>
        <v>20530.47</v>
      </c>
      <c r="I91" s="133">
        <f t="shared" si="102"/>
        <v>5400.13</v>
      </c>
      <c r="J91" s="133">
        <f t="shared" si="102"/>
        <v>10087.08</v>
      </c>
      <c r="K91" s="133">
        <f t="shared" si="102"/>
        <v>20598.52</v>
      </c>
      <c r="L91" s="133">
        <f t="shared" si="102"/>
        <v>28536.52</v>
      </c>
      <c r="M91" s="133">
        <f t="shared" ref="M91" si="103">+M62</f>
        <v>218961.68</v>
      </c>
      <c r="N91" s="130">
        <f>SUM(B91:F91)</f>
        <v>144009.82</v>
      </c>
      <c r="P91" s="145">
        <f t="shared" si="84"/>
        <v>-6813.8054545454534</v>
      </c>
      <c r="Q91" s="145">
        <f t="shared" si="85"/>
        <v>225775.48545454544</v>
      </c>
    </row>
    <row r="92" spans="1:17" x14ac:dyDescent="0.25">
      <c r="A92" s="71" t="s">
        <v>68</v>
      </c>
      <c r="B92" s="133">
        <f t="shared" ref="B92:L92" si="104">B175</f>
        <v>0</v>
      </c>
      <c r="C92" s="133">
        <f t="shared" si="104"/>
        <v>800</v>
      </c>
      <c r="D92" s="133">
        <f t="shared" si="104"/>
        <v>0</v>
      </c>
      <c r="E92" s="133">
        <f t="shared" si="104"/>
        <v>0</v>
      </c>
      <c r="F92" s="133">
        <f t="shared" si="104"/>
        <v>0</v>
      </c>
      <c r="G92" s="133">
        <f t="shared" si="104"/>
        <v>0</v>
      </c>
      <c r="H92" s="133">
        <f t="shared" ref="H92" si="105">H175</f>
        <v>0</v>
      </c>
      <c r="I92" s="133">
        <f t="shared" si="104"/>
        <v>0</v>
      </c>
      <c r="J92" s="133">
        <f t="shared" si="104"/>
        <v>0</v>
      </c>
      <c r="K92" s="133">
        <f t="shared" si="104"/>
        <v>0</v>
      </c>
      <c r="L92" s="133">
        <f t="shared" si="104"/>
        <v>-6400</v>
      </c>
      <c r="M92" s="133">
        <f t="shared" ref="M92" si="106">M175</f>
        <v>0</v>
      </c>
      <c r="N92" s="130">
        <f>SUM(B92:F92)</f>
        <v>800</v>
      </c>
      <c r="P92" s="145">
        <f t="shared" si="84"/>
        <v>72.727272727272734</v>
      </c>
      <c r="Q92" s="145">
        <f t="shared" si="85"/>
        <v>-72.727272727272734</v>
      </c>
    </row>
    <row r="93" spans="1:17" x14ac:dyDescent="0.25">
      <c r="A93" s="71" t="s">
        <v>69</v>
      </c>
      <c r="B93" s="133">
        <f>B187</f>
        <v>1.87</v>
      </c>
      <c r="C93" s="133">
        <f t="shared" ref="C93:L93" si="107">C187</f>
        <v>0</v>
      </c>
      <c r="D93" s="133">
        <f t="shared" si="107"/>
        <v>-115.12</v>
      </c>
      <c r="E93" s="133">
        <f t="shared" si="107"/>
        <v>3216.06</v>
      </c>
      <c r="F93" s="133">
        <f t="shared" si="107"/>
        <v>-2308</v>
      </c>
      <c r="G93" s="133">
        <f t="shared" si="107"/>
        <v>0</v>
      </c>
      <c r="H93" s="133">
        <f t="shared" ref="H93" si="108">H187</f>
        <v>0</v>
      </c>
      <c r="I93" s="133">
        <f t="shared" si="107"/>
        <v>0</v>
      </c>
      <c r="J93" s="133">
        <f t="shared" si="107"/>
        <v>0</v>
      </c>
      <c r="K93" s="133">
        <f t="shared" si="107"/>
        <v>0</v>
      </c>
      <c r="L93" s="133">
        <f t="shared" si="107"/>
        <v>0.4</v>
      </c>
      <c r="M93" s="133">
        <f t="shared" ref="M93" si="109">M187</f>
        <v>0</v>
      </c>
      <c r="N93" s="130">
        <f>SUM(B93:F93)</f>
        <v>794.81</v>
      </c>
      <c r="P93" s="145">
        <f t="shared" si="84"/>
        <v>72.25545454545454</v>
      </c>
      <c r="Q93" s="145">
        <f t="shared" si="85"/>
        <v>-72.25545454545454</v>
      </c>
    </row>
    <row r="94" spans="1:17" x14ac:dyDescent="0.25">
      <c r="A94" s="71" t="s">
        <v>70</v>
      </c>
      <c r="B94" s="133">
        <f>B68</f>
        <v>0</v>
      </c>
      <c r="C94" s="133">
        <f>C68</f>
        <v>878</v>
      </c>
      <c r="D94" s="133">
        <f>D68</f>
        <v>0</v>
      </c>
      <c r="E94" s="133">
        <f>E68</f>
        <v>0</v>
      </c>
      <c r="F94" s="133">
        <f>F182</f>
        <v>620</v>
      </c>
      <c r="G94" s="133">
        <f t="shared" ref="G94:L94" si="110">G68</f>
        <v>0</v>
      </c>
      <c r="H94" s="133">
        <f t="shared" ref="H94" si="111">H68</f>
        <v>12</v>
      </c>
      <c r="I94" s="133">
        <f t="shared" si="110"/>
        <v>0</v>
      </c>
      <c r="J94" s="133">
        <f t="shared" si="110"/>
        <v>0</v>
      </c>
      <c r="K94" s="133">
        <f t="shared" si="110"/>
        <v>0</v>
      </c>
      <c r="L94" s="133">
        <f t="shared" si="110"/>
        <v>0</v>
      </c>
      <c r="M94" s="133">
        <f t="shared" ref="M94" si="112">M68</f>
        <v>303.94</v>
      </c>
      <c r="N94" s="130">
        <f>SUM(B94:F94)</f>
        <v>1498</v>
      </c>
      <c r="P94" s="145">
        <f t="shared" si="84"/>
        <v>108.55090909090909</v>
      </c>
      <c r="Q94" s="145">
        <f t="shared" si="85"/>
        <v>195.3890909090909</v>
      </c>
    </row>
    <row r="95" spans="1:17" x14ac:dyDescent="0.25">
      <c r="A95" s="71"/>
      <c r="B95" s="134">
        <f>SUM(B90:B94)</f>
        <v>47746.600000000006</v>
      </c>
      <c r="C95" s="134">
        <f t="shared" ref="C95:L95" si="113">SUM(C90:C94)</f>
        <v>41996.61</v>
      </c>
      <c r="D95" s="134">
        <f t="shared" si="113"/>
        <v>53451.17</v>
      </c>
      <c r="E95" s="134">
        <f t="shared" si="113"/>
        <v>-211.7800000000002</v>
      </c>
      <c r="F95" s="134">
        <f t="shared" si="113"/>
        <v>4120.03</v>
      </c>
      <c r="G95" s="134">
        <f t="shared" si="113"/>
        <v>11225.63</v>
      </c>
      <c r="H95" s="134">
        <f t="shared" ref="H95" si="114">SUM(H90:H94)</f>
        <v>20542.47</v>
      </c>
      <c r="I95" s="134">
        <f t="shared" si="113"/>
        <v>5400.13</v>
      </c>
      <c r="J95" s="134">
        <f t="shared" si="113"/>
        <v>10087.08</v>
      </c>
      <c r="K95" s="134">
        <f t="shared" si="113"/>
        <v>20598.52</v>
      </c>
      <c r="L95" s="134">
        <f t="shared" si="113"/>
        <v>22136.920000000002</v>
      </c>
      <c r="M95" s="134">
        <f>SUM(M90:M94)</f>
        <v>219265.62</v>
      </c>
      <c r="N95" s="146">
        <f>SUM(N90:N94)</f>
        <v>147102.63</v>
      </c>
      <c r="P95" s="146">
        <f t="shared" si="84"/>
        <v>-6560.2718181818173</v>
      </c>
      <c r="Q95" s="146">
        <f t="shared" si="85"/>
        <v>225825.89181818182</v>
      </c>
    </row>
    <row r="96" spans="1:17" ht="27" customHeight="1" thickBot="1" x14ac:dyDescent="0.3">
      <c r="A96" s="71"/>
      <c r="B96" s="137">
        <f>+B87-B95</f>
        <v>-3572.1200000000026</v>
      </c>
      <c r="C96" s="137">
        <f t="shared" ref="C96:L96" si="115">+C87-C95</f>
        <v>-4969.6500000000015</v>
      </c>
      <c r="D96" s="137">
        <f t="shared" si="115"/>
        <v>-2498.1999999999971</v>
      </c>
      <c r="E96" s="137">
        <f t="shared" si="115"/>
        <v>17594.78</v>
      </c>
      <c r="F96" s="137">
        <f t="shared" si="115"/>
        <v>2417.4700000000003</v>
      </c>
      <c r="G96" s="137">
        <f t="shared" si="115"/>
        <v>1464.8700000000008</v>
      </c>
      <c r="H96" s="137">
        <f t="shared" ref="H96" si="116">+H87-H95</f>
        <v>-6405.4800000000014</v>
      </c>
      <c r="I96" s="137">
        <f t="shared" si="115"/>
        <v>-1854.13</v>
      </c>
      <c r="J96" s="137">
        <f t="shared" si="115"/>
        <v>-3509.5299999999997</v>
      </c>
      <c r="K96" s="137">
        <f t="shared" si="115"/>
        <v>-2037.7299999999996</v>
      </c>
      <c r="L96" s="137">
        <f t="shared" si="115"/>
        <v>8288.1699999999983</v>
      </c>
      <c r="M96" s="137">
        <f>+M87-M95</f>
        <v>-29657.389999999985</v>
      </c>
      <c r="N96" s="148">
        <f>+N87-N95</f>
        <v>8972.2799999999988</v>
      </c>
      <c r="P96" s="148">
        <f t="shared" si="84"/>
        <v>3511.7881818181804</v>
      </c>
      <c r="Q96" s="148">
        <f t="shared" si="85"/>
        <v>-33169.178181818163</v>
      </c>
    </row>
    <row r="97" spans="1:17" ht="16.5" thickTop="1" thickBot="1" x14ac:dyDescent="0.3">
      <c r="A97" s="72"/>
      <c r="B97" s="149"/>
      <c r="C97" s="149"/>
      <c r="D97" s="149"/>
      <c r="E97" s="149"/>
      <c r="F97" s="149"/>
      <c r="G97" s="149"/>
      <c r="H97" s="149"/>
      <c r="I97" s="149"/>
      <c r="J97" s="149"/>
      <c r="K97" s="149"/>
      <c r="L97" s="149"/>
      <c r="M97" s="149"/>
      <c r="N97" s="150"/>
      <c r="P97" s="150">
        <f t="shared" si="84"/>
        <v>0</v>
      </c>
      <c r="Q97" s="150">
        <f t="shared" si="85"/>
        <v>0</v>
      </c>
    </row>
    <row r="98" spans="1:17" x14ac:dyDescent="0.25"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P98" s="66">
        <f t="shared" si="84"/>
        <v>0</v>
      </c>
      <c r="Q98" s="66">
        <f t="shared" si="85"/>
        <v>0</v>
      </c>
    </row>
    <row r="99" spans="1:17" x14ac:dyDescent="0.25"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P99" s="66">
        <f t="shared" si="84"/>
        <v>0</v>
      </c>
      <c r="Q99" s="66">
        <f t="shared" si="85"/>
        <v>0</v>
      </c>
    </row>
    <row r="100" spans="1:17" s="68" customFormat="1" ht="30.75" customHeight="1" x14ac:dyDescent="0.25">
      <c r="A100" s="68" t="s">
        <v>71</v>
      </c>
      <c r="B100" s="133"/>
      <c r="C100" s="133"/>
      <c r="D100" s="133"/>
      <c r="E100" s="133"/>
      <c r="F100" s="133"/>
      <c r="G100" s="133"/>
      <c r="H100" s="133"/>
      <c r="I100" s="133"/>
      <c r="J100" s="133"/>
      <c r="K100" s="133"/>
      <c r="L100" s="133"/>
      <c r="M100" s="133"/>
      <c r="N100" s="136">
        <f>SUM(B100:M100)</f>
        <v>0</v>
      </c>
      <c r="P100" s="136">
        <f t="shared" si="84"/>
        <v>0</v>
      </c>
      <c r="Q100" s="136">
        <f t="shared" si="85"/>
        <v>0</v>
      </c>
    </row>
    <row r="101" spans="1:17" x14ac:dyDescent="0.25">
      <c r="C101" s="130"/>
      <c r="D101" s="130"/>
      <c r="E101" s="130"/>
      <c r="F101" s="130"/>
      <c r="G101" s="130"/>
      <c r="H101" s="130"/>
      <c r="I101" s="130"/>
      <c r="J101" s="130"/>
      <c r="K101" s="130"/>
      <c r="L101" s="130"/>
      <c r="M101" s="130"/>
      <c r="P101" s="66">
        <f t="shared" si="84"/>
        <v>0</v>
      </c>
      <c r="Q101" s="66">
        <f t="shared" si="85"/>
        <v>0</v>
      </c>
    </row>
    <row r="102" spans="1:17" x14ac:dyDescent="0.25">
      <c r="C102" s="130"/>
      <c r="D102" s="130"/>
      <c r="E102" s="130"/>
      <c r="F102" s="130"/>
      <c r="G102" s="130"/>
      <c r="H102" s="130"/>
      <c r="I102" s="130"/>
      <c r="J102" s="130"/>
      <c r="K102" s="130"/>
      <c r="L102" s="130"/>
      <c r="M102" s="130"/>
      <c r="P102" s="66">
        <f t="shared" si="84"/>
        <v>0</v>
      </c>
      <c r="Q102" s="66">
        <f t="shared" si="85"/>
        <v>0</v>
      </c>
    </row>
    <row r="103" spans="1:17" x14ac:dyDescent="0.25">
      <c r="C103" s="130"/>
      <c r="D103" s="130"/>
      <c r="E103" s="130"/>
      <c r="F103" s="130"/>
      <c r="G103" s="130"/>
      <c r="H103" s="130"/>
      <c r="I103" s="130"/>
      <c r="J103" s="130"/>
      <c r="K103" s="130"/>
      <c r="L103" s="130"/>
      <c r="M103" s="130"/>
      <c r="P103" s="66">
        <f t="shared" si="84"/>
        <v>0</v>
      </c>
      <c r="Q103" s="66">
        <f t="shared" si="85"/>
        <v>0</v>
      </c>
    </row>
    <row r="104" spans="1:17" s="73" customFormat="1" ht="15.75" thickBot="1" x14ac:dyDescent="0.3">
      <c r="B104" s="149"/>
      <c r="C104" s="149"/>
      <c r="D104" s="149"/>
      <c r="E104" s="149"/>
      <c r="F104" s="149"/>
      <c r="G104" s="149"/>
      <c r="H104" s="149"/>
      <c r="I104" s="149"/>
      <c r="J104" s="149"/>
      <c r="K104" s="149"/>
      <c r="L104" s="149"/>
      <c r="M104" s="149"/>
      <c r="P104" s="73">
        <f t="shared" si="84"/>
        <v>0</v>
      </c>
      <c r="Q104" s="73">
        <f t="shared" si="85"/>
        <v>0</v>
      </c>
    </row>
    <row r="105" spans="1:17" x14ac:dyDescent="0.25">
      <c r="A105" s="94"/>
      <c r="C105" s="130"/>
      <c r="D105" s="130"/>
      <c r="E105" s="130"/>
      <c r="F105" s="130"/>
      <c r="G105" s="130"/>
      <c r="H105" s="130"/>
      <c r="I105" s="130"/>
      <c r="J105" s="130"/>
      <c r="K105" s="130"/>
      <c r="L105" s="130"/>
      <c r="M105" s="130"/>
      <c r="P105" s="66">
        <f t="shared" si="84"/>
        <v>0</v>
      </c>
      <c r="Q105" s="66">
        <f t="shared" si="85"/>
        <v>0</v>
      </c>
    </row>
    <row r="106" spans="1:17" x14ac:dyDescent="0.25">
      <c r="A106" s="66" t="s">
        <v>72</v>
      </c>
      <c r="B106" s="130">
        <v>0</v>
      </c>
      <c r="C106" s="130">
        <v>0</v>
      </c>
      <c r="D106" s="130">
        <v>0</v>
      </c>
      <c r="E106" s="130"/>
      <c r="F106" s="130"/>
      <c r="G106" s="130">
        <v>0</v>
      </c>
      <c r="H106" s="130">
        <v>0</v>
      </c>
      <c r="I106" s="130">
        <v>0</v>
      </c>
      <c r="J106" s="130">
        <v>0</v>
      </c>
      <c r="K106" s="130"/>
      <c r="L106" s="130"/>
      <c r="M106" s="130"/>
      <c r="N106" s="130">
        <f>SUM(B106:F106)</f>
        <v>0</v>
      </c>
      <c r="P106" s="130">
        <f t="shared" si="84"/>
        <v>0</v>
      </c>
      <c r="Q106" s="130">
        <f t="shared" si="85"/>
        <v>0</v>
      </c>
    </row>
    <row r="107" spans="1:17" x14ac:dyDescent="0.25">
      <c r="A107" s="66" t="s">
        <v>73</v>
      </c>
      <c r="B107" s="130">
        <v>154744703.27000001</v>
      </c>
      <c r="C107" s="130">
        <v>123954975.27</v>
      </c>
      <c r="D107" s="130">
        <v>101935013.19</v>
      </c>
      <c r="E107" s="130">
        <v>92863307.959999993</v>
      </c>
      <c r="F107" s="130">
        <v>94258757.019999996</v>
      </c>
      <c r="G107" s="130">
        <v>97605649.239999995</v>
      </c>
      <c r="H107" s="130">
        <v>123097958.22</v>
      </c>
      <c r="I107" s="130">
        <v>127862684.09999999</v>
      </c>
      <c r="J107" s="130">
        <v>96885769.400000006</v>
      </c>
      <c r="K107" s="130">
        <v>91117545.120000005</v>
      </c>
      <c r="L107" s="130">
        <v>79237235.719999999</v>
      </c>
      <c r="M107" s="130">
        <v>58673935.979999997</v>
      </c>
      <c r="N107" s="130">
        <f>SUM(B107:F107)</f>
        <v>567756756.71000004</v>
      </c>
      <c r="P107" s="130">
        <f t="shared" si="84"/>
        <v>46280256.43</v>
      </c>
      <c r="Q107" s="130">
        <f t="shared" si="85"/>
        <v>12393679.549999997</v>
      </c>
    </row>
    <row r="108" spans="1:17" x14ac:dyDescent="0.25">
      <c r="A108" s="66" t="s">
        <v>74</v>
      </c>
      <c r="B108" s="130">
        <v>474420383.94999999</v>
      </c>
      <c r="C108" s="130">
        <v>1272769788.22</v>
      </c>
      <c r="D108" s="130">
        <v>305526926.99000001</v>
      </c>
      <c r="E108" s="130">
        <v>46941731.32</v>
      </c>
      <c r="F108" s="130">
        <v>115118797.62</v>
      </c>
      <c r="G108" s="130">
        <v>261188870.69</v>
      </c>
      <c r="H108" s="130">
        <v>167224902.31999999</v>
      </c>
      <c r="I108" s="130">
        <v>334958641.80000001</v>
      </c>
      <c r="J108" s="130">
        <v>240211825.59</v>
      </c>
      <c r="K108" s="130">
        <v>61729895.789999999</v>
      </c>
      <c r="L108" s="130">
        <v>139453291.03999999</v>
      </c>
      <c r="M108" s="130">
        <v>124654741.83</v>
      </c>
      <c r="N108" s="130">
        <f>SUM(B108:F108)</f>
        <v>2214777628.0999999</v>
      </c>
      <c r="P108" s="130">
        <f t="shared" si="84"/>
        <v>190011171.4790909</v>
      </c>
      <c r="Q108" s="130">
        <f t="shared" si="85"/>
        <v>-65356429.649090901</v>
      </c>
    </row>
    <row r="109" spans="1:17" x14ac:dyDescent="0.25">
      <c r="A109" s="66" t="s">
        <v>75</v>
      </c>
      <c r="B109" s="130">
        <v>2898099.37</v>
      </c>
      <c r="C109" s="130">
        <v>2610105.7200000002</v>
      </c>
      <c r="D109" s="130">
        <v>622399.88</v>
      </c>
      <c r="E109" s="130">
        <v>1945746.84</v>
      </c>
      <c r="F109" s="130">
        <v>1927944.8</v>
      </c>
      <c r="G109" s="130">
        <v>474866.98</v>
      </c>
      <c r="H109" s="130">
        <v>1059505.05</v>
      </c>
      <c r="I109" s="130">
        <v>1458942.34</v>
      </c>
      <c r="J109" s="130">
        <v>319490.71999999997</v>
      </c>
      <c r="K109" s="130">
        <v>210539.64</v>
      </c>
      <c r="L109" s="130">
        <v>2119802.66</v>
      </c>
      <c r="M109" s="130">
        <v>1160065.28</v>
      </c>
      <c r="N109" s="130">
        <f>SUM(B109:F109)</f>
        <v>10004296.609999999</v>
      </c>
      <c r="P109" s="130">
        <f t="shared" si="84"/>
        <v>804021.03</v>
      </c>
      <c r="Q109" s="130">
        <f t="shared" si="85"/>
        <v>356044.25</v>
      </c>
    </row>
    <row r="110" spans="1:17" x14ac:dyDescent="0.25">
      <c r="A110" s="66" t="s">
        <v>76</v>
      </c>
      <c r="B110" s="130">
        <v>3238349</v>
      </c>
      <c r="C110" s="130">
        <v>1478660.42</v>
      </c>
      <c r="D110" s="130">
        <v>1427673</v>
      </c>
      <c r="E110" s="130">
        <v>2167697.4500000002</v>
      </c>
      <c r="F110" s="130">
        <v>847867.6</v>
      </c>
      <c r="G110" s="130">
        <v>844240.5</v>
      </c>
      <c r="H110" s="130">
        <v>518684.94</v>
      </c>
      <c r="I110" s="130">
        <v>749745</v>
      </c>
      <c r="J110" s="130">
        <v>593767</v>
      </c>
      <c r="K110" s="130">
        <v>2838661.13</v>
      </c>
      <c r="L110" s="130">
        <v>1687433.35</v>
      </c>
      <c r="M110" s="130">
        <v>5351119</v>
      </c>
      <c r="N110" s="130">
        <f t="shared" ref="N110:N128" si="117">SUM(B110:F110)</f>
        <v>9160247.4700000007</v>
      </c>
      <c r="P110" s="130">
        <f t="shared" si="84"/>
        <v>346284.40636363643</v>
      </c>
      <c r="Q110" s="130">
        <f t="shared" si="85"/>
        <v>5004834.5936363637</v>
      </c>
    </row>
    <row r="111" spans="1:17" x14ac:dyDescent="0.25">
      <c r="A111" s="66" t="s">
        <v>77</v>
      </c>
      <c r="B111" s="130">
        <v>0</v>
      </c>
      <c r="C111" s="130">
        <v>0</v>
      </c>
      <c r="D111" s="130">
        <v>0</v>
      </c>
      <c r="E111" s="130">
        <v>0</v>
      </c>
      <c r="F111" s="130">
        <v>100</v>
      </c>
      <c r="G111" s="130">
        <v>0</v>
      </c>
      <c r="H111" s="130">
        <v>100</v>
      </c>
      <c r="I111" s="130">
        <v>275</v>
      </c>
      <c r="J111" s="130">
        <v>780</v>
      </c>
      <c r="K111" s="130">
        <v>145</v>
      </c>
      <c r="L111" s="130">
        <v>800</v>
      </c>
      <c r="M111" s="130">
        <v>9658.44</v>
      </c>
      <c r="N111" s="130">
        <f t="shared" si="117"/>
        <v>100</v>
      </c>
      <c r="P111" s="130">
        <f t="shared" si="84"/>
        <v>-868.94909090909096</v>
      </c>
      <c r="Q111" s="130">
        <f t="shared" si="85"/>
        <v>10527.389090909091</v>
      </c>
    </row>
    <row r="112" spans="1:17" x14ac:dyDescent="0.25">
      <c r="A112" s="66" t="s">
        <v>78</v>
      </c>
      <c r="B112" s="130">
        <v>44174.48</v>
      </c>
      <c r="C112" s="130">
        <v>37026.959999999999</v>
      </c>
      <c r="D112" s="130">
        <v>50952.97</v>
      </c>
      <c r="E112" s="130">
        <v>17383</v>
      </c>
      <c r="F112" s="130">
        <v>6537.5</v>
      </c>
      <c r="G112" s="130">
        <v>12690.5</v>
      </c>
      <c r="H112" s="130">
        <v>14136.99</v>
      </c>
      <c r="I112" s="130">
        <v>3631</v>
      </c>
      <c r="J112" s="130">
        <v>6577.55</v>
      </c>
      <c r="K112" s="130">
        <v>18560.79</v>
      </c>
      <c r="L112" s="130">
        <v>30425.09</v>
      </c>
      <c r="M112" s="130">
        <v>189608.23</v>
      </c>
      <c r="N112" s="130">
        <f t="shared" si="117"/>
        <v>156074.91</v>
      </c>
      <c r="P112" s="130">
        <f t="shared" si="84"/>
        <v>-3048.4836363636368</v>
      </c>
      <c r="Q112" s="130">
        <f t="shared" si="85"/>
        <v>192656.71363636365</v>
      </c>
    </row>
    <row r="113" spans="1:17" x14ac:dyDescent="0.25">
      <c r="A113" s="66" t="s">
        <v>79</v>
      </c>
      <c r="B113" s="130">
        <v>0</v>
      </c>
      <c r="C113" s="130">
        <v>40000</v>
      </c>
      <c r="D113" s="130">
        <v>0</v>
      </c>
      <c r="E113" s="130">
        <v>0</v>
      </c>
      <c r="F113" s="130">
        <v>0</v>
      </c>
      <c r="G113" s="130">
        <v>0</v>
      </c>
      <c r="H113" s="130">
        <v>10000</v>
      </c>
      <c r="I113" s="130">
        <v>0</v>
      </c>
      <c r="J113" s="130">
        <v>0</v>
      </c>
      <c r="K113" s="130">
        <v>10700</v>
      </c>
      <c r="L113" s="130">
        <v>1800</v>
      </c>
      <c r="M113" s="130">
        <v>0</v>
      </c>
      <c r="N113" s="130">
        <f t="shared" si="117"/>
        <v>40000</v>
      </c>
      <c r="P113" s="130">
        <f t="shared" si="84"/>
        <v>3636.3636363636365</v>
      </c>
      <c r="Q113" s="130">
        <f t="shared" si="85"/>
        <v>-3636.3636363636365</v>
      </c>
    </row>
    <row r="114" spans="1:17" x14ac:dyDescent="0.25">
      <c r="A114" s="66" t="s">
        <v>80</v>
      </c>
      <c r="B114" s="130">
        <v>85825</v>
      </c>
      <c r="C114" s="130">
        <v>579872.5</v>
      </c>
      <c r="D114" s="130">
        <v>108078.75</v>
      </c>
      <c r="E114" s="130">
        <v>961999.14</v>
      </c>
      <c r="F114" s="130">
        <v>349854.6</v>
      </c>
      <c r="G114" s="130">
        <v>1360150.98</v>
      </c>
      <c r="H114" s="130">
        <v>454175</v>
      </c>
      <c r="I114" s="130">
        <v>875445</v>
      </c>
      <c r="J114" s="130">
        <v>461025</v>
      </c>
      <c r="K114" s="130">
        <v>664960</v>
      </c>
      <c r="L114" s="130">
        <v>720675</v>
      </c>
      <c r="M114" s="130">
        <v>423015</v>
      </c>
      <c r="N114" s="130">
        <f t="shared" si="117"/>
        <v>2085629.9900000002</v>
      </c>
      <c r="P114" s="130">
        <f t="shared" si="84"/>
        <v>151146.81727272729</v>
      </c>
      <c r="Q114" s="130">
        <f t="shared" si="85"/>
        <v>271868.18272727274</v>
      </c>
    </row>
    <row r="115" spans="1:17" x14ac:dyDescent="0.25">
      <c r="A115" s="66" t="s">
        <v>81</v>
      </c>
      <c r="B115" s="130">
        <v>26781.78</v>
      </c>
      <c r="C115" s="130">
        <v>27848.98</v>
      </c>
      <c r="D115" s="130">
        <v>17975.66</v>
      </c>
      <c r="E115" s="130">
        <v>19219.95</v>
      </c>
      <c r="F115" s="130">
        <v>22546.73</v>
      </c>
      <c r="G115" s="130">
        <v>22323.95</v>
      </c>
      <c r="H115" s="130">
        <v>27263.29</v>
      </c>
      <c r="I115" s="130">
        <v>23494.07</v>
      </c>
      <c r="J115" s="130">
        <v>23850.720000000001</v>
      </c>
      <c r="K115" s="130">
        <v>18433.18</v>
      </c>
      <c r="L115" s="130">
        <v>12973.45</v>
      </c>
      <c r="M115" s="130">
        <v>37047.33</v>
      </c>
      <c r="N115" s="130">
        <f t="shared" si="117"/>
        <v>114373.09999999999</v>
      </c>
      <c r="P115" s="130">
        <f t="shared" si="84"/>
        <v>7029.6154545454538</v>
      </c>
      <c r="Q115" s="130">
        <f t="shared" si="85"/>
        <v>30017.714545454546</v>
      </c>
    </row>
    <row r="116" spans="1:17" x14ac:dyDescent="0.25">
      <c r="A116" s="66" t="s">
        <v>82</v>
      </c>
      <c r="B116" s="130">
        <v>5348.08</v>
      </c>
      <c r="C116" s="130">
        <v>3319.45</v>
      </c>
      <c r="D116" s="130">
        <v>4134.66</v>
      </c>
      <c r="E116" s="130">
        <v>2672.3</v>
      </c>
      <c r="F116" s="130">
        <v>3055.3</v>
      </c>
      <c r="G116" s="130">
        <v>3045.54</v>
      </c>
      <c r="H116" s="130">
        <v>4022.15</v>
      </c>
      <c r="I116" s="130">
        <v>6517.32</v>
      </c>
      <c r="J116" s="130">
        <v>4329.42</v>
      </c>
      <c r="K116" s="130">
        <v>5529.92</v>
      </c>
      <c r="L116" s="130">
        <v>3482.32</v>
      </c>
      <c r="M116" s="130">
        <v>7679.17</v>
      </c>
      <c r="N116" s="130">
        <f t="shared" si="117"/>
        <v>18529.789999999997</v>
      </c>
      <c r="P116" s="130">
        <f t="shared" si="84"/>
        <v>986.41999999999973</v>
      </c>
      <c r="Q116" s="130">
        <f t="shared" si="85"/>
        <v>6692.75</v>
      </c>
    </row>
    <row r="117" spans="1:17" x14ac:dyDescent="0.25">
      <c r="A117" s="66" t="s">
        <v>83</v>
      </c>
      <c r="B117" s="130">
        <v>11966.67</v>
      </c>
      <c r="C117" s="130">
        <v>6875.97</v>
      </c>
      <c r="D117" s="130">
        <v>42473.86</v>
      </c>
      <c r="E117" s="130">
        <v>8332.3799999999992</v>
      </c>
      <c r="F117" s="130">
        <v>47717.82</v>
      </c>
      <c r="G117" s="130">
        <v>14103.21</v>
      </c>
      <c r="H117" s="130">
        <v>64030.9</v>
      </c>
      <c r="I117" s="130">
        <v>12097.62</v>
      </c>
      <c r="J117" s="130">
        <v>52150.96</v>
      </c>
      <c r="K117" s="130">
        <v>13372.82</v>
      </c>
      <c r="L117" s="130">
        <v>50469.61</v>
      </c>
      <c r="M117" s="130">
        <v>43129.01</v>
      </c>
      <c r="N117" s="130">
        <f t="shared" si="117"/>
        <v>117366.70000000001</v>
      </c>
      <c r="P117" s="130">
        <f t="shared" si="84"/>
        <v>6748.880909090909</v>
      </c>
      <c r="Q117" s="130">
        <f t="shared" si="85"/>
        <v>36380.129090909089</v>
      </c>
    </row>
    <row r="118" spans="1:17" x14ac:dyDescent="0.25">
      <c r="A118" s="66" t="s">
        <v>84</v>
      </c>
      <c r="B118" s="130">
        <v>-181274.6</v>
      </c>
      <c r="C118" s="130">
        <v>-14353247.48</v>
      </c>
      <c r="D118" s="130">
        <v>-865145</v>
      </c>
      <c r="E118" s="130">
        <v>-191768.9</v>
      </c>
      <c r="F118" s="130">
        <v>0</v>
      </c>
      <c r="G118" s="130">
        <v>-4824560.62</v>
      </c>
      <c r="H118" s="130">
        <v>-481109.16</v>
      </c>
      <c r="I118" s="130">
        <v>-1464419.23</v>
      </c>
      <c r="J118" s="130">
        <v>-3207158.47</v>
      </c>
      <c r="K118" s="130">
        <v>-7212416.5499999998</v>
      </c>
      <c r="L118" s="130">
        <v>-555999.32999999996</v>
      </c>
      <c r="M118" s="130">
        <v>-118638.58</v>
      </c>
      <c r="N118" s="130">
        <f t="shared" si="117"/>
        <v>-15591435.98</v>
      </c>
      <c r="P118" s="130">
        <f t="shared" si="84"/>
        <v>-1406617.9454545456</v>
      </c>
      <c r="Q118" s="130">
        <f t="shared" si="85"/>
        <v>1287979.3654545455</v>
      </c>
    </row>
    <row r="119" spans="1:17" x14ac:dyDescent="0.25">
      <c r="A119" s="66" t="s">
        <v>85</v>
      </c>
      <c r="B119" s="130">
        <v>-49890630.729999997</v>
      </c>
      <c r="C119" s="130">
        <v>-60452389.869999997</v>
      </c>
      <c r="D119" s="130">
        <v>-214404.86</v>
      </c>
      <c r="E119" s="130">
        <v>0</v>
      </c>
      <c r="F119" s="130">
        <v>-57992.4</v>
      </c>
      <c r="G119" s="130">
        <v>-225137.37</v>
      </c>
      <c r="H119" s="130">
        <v>-521496.35</v>
      </c>
      <c r="I119" s="130">
        <v>-10192938.970000001</v>
      </c>
      <c r="J119" s="130">
        <v>-826272.24</v>
      </c>
      <c r="K119" s="130">
        <v>-723408.49</v>
      </c>
      <c r="L119" s="130">
        <v>-111920</v>
      </c>
      <c r="M119" s="130">
        <v>-250369.24</v>
      </c>
      <c r="N119" s="130">
        <f t="shared" si="117"/>
        <v>-110615417.86</v>
      </c>
      <c r="P119" s="130">
        <f t="shared" si="84"/>
        <v>-10033186.238181818</v>
      </c>
      <c r="Q119" s="130">
        <f t="shared" si="85"/>
        <v>9782816.9981818181</v>
      </c>
    </row>
    <row r="120" spans="1:17" x14ac:dyDescent="0.25">
      <c r="A120" s="66" t="s">
        <v>86</v>
      </c>
      <c r="B120" s="130">
        <v>-13395</v>
      </c>
      <c r="C120" s="130">
        <v>-13570</v>
      </c>
      <c r="D120" s="130">
        <v>0</v>
      </c>
      <c r="E120" s="130">
        <v>0</v>
      </c>
      <c r="F120" s="130">
        <v>0</v>
      </c>
      <c r="G120" s="130">
        <v>0</v>
      </c>
      <c r="H120" s="130">
        <v>0</v>
      </c>
      <c r="I120" s="130">
        <v>-8300</v>
      </c>
      <c r="J120" s="130">
        <v>0</v>
      </c>
      <c r="K120" s="130"/>
      <c r="L120" s="130"/>
      <c r="M120" s="130">
        <v>-9053.58</v>
      </c>
      <c r="N120" s="130">
        <f t="shared" si="117"/>
        <v>-26965</v>
      </c>
      <c r="P120" s="130">
        <f t="shared" si="84"/>
        <v>-1628.310909090909</v>
      </c>
      <c r="Q120" s="130">
        <f t="shared" si="85"/>
        <v>-7425.2690909090907</v>
      </c>
    </row>
    <row r="121" spans="1:17" x14ac:dyDescent="0.25">
      <c r="A121" s="66" t="s">
        <v>87</v>
      </c>
      <c r="B121" s="130">
        <v>0</v>
      </c>
      <c r="C121" s="130">
        <v>0</v>
      </c>
      <c r="D121" s="130">
        <v>0</v>
      </c>
      <c r="E121" s="130">
        <v>0</v>
      </c>
      <c r="F121" s="130">
        <v>0</v>
      </c>
      <c r="G121" s="130">
        <v>-59280</v>
      </c>
      <c r="H121" s="130">
        <v>0</v>
      </c>
      <c r="I121" s="130">
        <v>0</v>
      </c>
      <c r="J121" s="130">
        <v>0</v>
      </c>
      <c r="K121" s="130"/>
      <c r="L121" s="130"/>
      <c r="M121" s="130">
        <v>0</v>
      </c>
      <c r="N121" s="130">
        <f t="shared" si="117"/>
        <v>0</v>
      </c>
      <c r="P121" s="130">
        <f t="shared" si="84"/>
        <v>0</v>
      </c>
      <c r="Q121" s="130">
        <f t="shared" si="85"/>
        <v>0</v>
      </c>
    </row>
    <row r="122" spans="1:17" x14ac:dyDescent="0.25">
      <c r="A122" s="66" t="s">
        <v>88</v>
      </c>
      <c r="B122" s="130">
        <v>0</v>
      </c>
      <c r="C122" s="130">
        <v>0</v>
      </c>
      <c r="D122" s="130">
        <v>0</v>
      </c>
      <c r="E122" s="130">
        <v>0</v>
      </c>
      <c r="F122" s="130">
        <v>0</v>
      </c>
      <c r="G122" s="130">
        <v>0</v>
      </c>
      <c r="H122" s="130">
        <v>0</v>
      </c>
      <c r="I122" s="130">
        <v>0</v>
      </c>
      <c r="J122" s="130">
        <v>0</v>
      </c>
      <c r="K122" s="130"/>
      <c r="L122" s="130"/>
      <c r="M122" s="130">
        <v>0</v>
      </c>
      <c r="N122" s="130">
        <f t="shared" si="117"/>
        <v>0</v>
      </c>
      <c r="P122" s="130">
        <f t="shared" si="84"/>
        <v>0</v>
      </c>
      <c r="Q122" s="130">
        <f t="shared" si="85"/>
        <v>0</v>
      </c>
    </row>
    <row r="123" spans="1:17" x14ac:dyDescent="0.25">
      <c r="A123" s="66" t="s">
        <v>89</v>
      </c>
      <c r="B123" s="130">
        <v>0</v>
      </c>
      <c r="C123" s="130">
        <v>0</v>
      </c>
      <c r="D123" s="130">
        <v>0</v>
      </c>
      <c r="E123" s="130">
        <v>0</v>
      </c>
      <c r="F123" s="130">
        <v>0</v>
      </c>
      <c r="G123" s="130">
        <v>0</v>
      </c>
      <c r="H123" s="130">
        <v>0</v>
      </c>
      <c r="I123" s="130">
        <v>-85</v>
      </c>
      <c r="J123" s="130">
        <v>0</v>
      </c>
      <c r="K123" s="130"/>
      <c r="L123" s="130"/>
      <c r="M123" s="130"/>
      <c r="N123" s="130">
        <f t="shared" si="117"/>
        <v>0</v>
      </c>
      <c r="P123" s="130">
        <f t="shared" si="84"/>
        <v>0</v>
      </c>
      <c r="Q123" s="130">
        <f t="shared" si="85"/>
        <v>0</v>
      </c>
    </row>
    <row r="124" spans="1:17" x14ac:dyDescent="0.25">
      <c r="A124" s="66" t="s">
        <v>90</v>
      </c>
      <c r="B124" s="130">
        <v>0</v>
      </c>
      <c r="C124" s="130">
        <v>0</v>
      </c>
      <c r="D124" s="130">
        <v>0</v>
      </c>
      <c r="E124" s="130">
        <v>-58450</v>
      </c>
      <c r="F124" s="130">
        <v>-38855</v>
      </c>
      <c r="G124" s="130">
        <v>-113930</v>
      </c>
      <c r="H124" s="130">
        <v>0</v>
      </c>
      <c r="I124" s="130">
        <v>0</v>
      </c>
      <c r="J124" s="130">
        <v>-2460</v>
      </c>
      <c r="K124" s="130"/>
      <c r="L124" s="130">
        <v>-100000</v>
      </c>
      <c r="M124" s="130">
        <v>-5800</v>
      </c>
      <c r="N124" s="130">
        <f t="shared" si="117"/>
        <v>-97305</v>
      </c>
      <c r="P124" s="130">
        <f t="shared" si="84"/>
        <v>-8318.636363636364</v>
      </c>
      <c r="Q124" s="130">
        <f t="shared" si="85"/>
        <v>2518.636363636364</v>
      </c>
    </row>
    <row r="125" spans="1:17" x14ac:dyDescent="0.25">
      <c r="A125" s="66" t="s">
        <v>91</v>
      </c>
      <c r="B125" s="130">
        <v>0</v>
      </c>
      <c r="C125" s="130">
        <v>0</v>
      </c>
      <c r="D125" s="130">
        <v>0</v>
      </c>
      <c r="E125" s="130">
        <v>279000</v>
      </c>
      <c r="F125" s="130">
        <v>0</v>
      </c>
      <c r="G125" s="130">
        <v>1845</v>
      </c>
      <c r="H125" s="130">
        <v>1346.78</v>
      </c>
      <c r="I125" s="130">
        <v>132.93</v>
      </c>
      <c r="J125" s="130">
        <v>3076.12</v>
      </c>
      <c r="K125" s="130">
        <v>336</v>
      </c>
      <c r="L125" s="130">
        <v>2943.62</v>
      </c>
      <c r="M125" s="130">
        <v>586.33000000000004</v>
      </c>
      <c r="N125" s="130">
        <f t="shared" si="117"/>
        <v>279000</v>
      </c>
      <c r="P125" s="130"/>
      <c r="Q125" s="130"/>
    </row>
    <row r="126" spans="1:17" x14ac:dyDescent="0.25">
      <c r="A126" s="66" t="s">
        <v>451</v>
      </c>
      <c r="B126" s="130">
        <v>0</v>
      </c>
      <c r="C126" s="130">
        <v>0</v>
      </c>
      <c r="D126" s="130">
        <v>0</v>
      </c>
      <c r="E126" s="130">
        <v>0</v>
      </c>
      <c r="F126" s="130">
        <v>0</v>
      </c>
      <c r="G126" s="130">
        <v>0</v>
      </c>
      <c r="H126" s="130">
        <v>0</v>
      </c>
      <c r="I126" s="130">
        <v>3720</v>
      </c>
      <c r="J126" s="130">
        <v>3720</v>
      </c>
      <c r="K126" s="130"/>
      <c r="L126" s="130">
        <v>0</v>
      </c>
      <c r="M126" s="130">
        <v>4960</v>
      </c>
      <c r="N126" s="130">
        <f t="shared" si="117"/>
        <v>0</v>
      </c>
      <c r="O126" s="130"/>
      <c r="P126" s="130"/>
    </row>
    <row r="127" spans="1:17" x14ac:dyDescent="0.25">
      <c r="A127" s="66" t="s">
        <v>92</v>
      </c>
      <c r="B127" s="130">
        <v>0</v>
      </c>
      <c r="C127" s="130">
        <v>0</v>
      </c>
      <c r="D127" s="130">
        <v>0</v>
      </c>
      <c r="E127" s="130">
        <v>13312.5</v>
      </c>
      <c r="F127" s="130">
        <v>0</v>
      </c>
      <c r="G127" s="130">
        <v>0</v>
      </c>
      <c r="H127" s="130">
        <v>160130</v>
      </c>
      <c r="I127" s="130">
        <v>231818.9</v>
      </c>
      <c r="J127" s="130">
        <v>2021243.69</v>
      </c>
      <c r="K127" s="130">
        <v>1627165.6</v>
      </c>
      <c r="L127" s="130">
        <v>3275736.56</v>
      </c>
      <c r="M127" s="130">
        <v>3028544.53</v>
      </c>
      <c r="N127" s="130">
        <f t="shared" si="117"/>
        <v>13312.5</v>
      </c>
      <c r="P127" s="130"/>
      <c r="Q127" s="130"/>
    </row>
    <row r="128" spans="1:17" x14ac:dyDescent="0.25">
      <c r="A128" s="66" t="s">
        <v>452</v>
      </c>
      <c r="B128" s="130">
        <v>0</v>
      </c>
      <c r="C128" s="130">
        <v>0</v>
      </c>
      <c r="D128" s="130">
        <v>0</v>
      </c>
      <c r="E128" s="130">
        <v>0</v>
      </c>
      <c r="F128" s="130">
        <v>0</v>
      </c>
      <c r="G128" s="130">
        <v>0</v>
      </c>
      <c r="H128" s="130">
        <v>0</v>
      </c>
      <c r="I128" s="130">
        <v>-96720</v>
      </c>
      <c r="J128" s="130">
        <v>0</v>
      </c>
      <c r="K128" s="130">
        <v>-17990</v>
      </c>
      <c r="L128" s="130">
        <v>-145050</v>
      </c>
      <c r="M128" s="130">
        <v>0</v>
      </c>
      <c r="N128" s="130">
        <f t="shared" si="117"/>
        <v>0</v>
      </c>
      <c r="O128" s="130"/>
      <c r="P128" s="130"/>
    </row>
    <row r="129" spans="1:17" s="74" customFormat="1" ht="15.75" thickBot="1" x14ac:dyDescent="0.3">
      <c r="A129" s="74" t="s">
        <v>93</v>
      </c>
      <c r="B129" s="151">
        <f>SUM(B106:B127)</f>
        <v>585390331.26999998</v>
      </c>
      <c r="C129" s="151">
        <f t="shared" ref="C129:F129" si="118">SUM(C106:C127)</f>
        <v>1326689266.1400003</v>
      </c>
      <c r="D129" s="151">
        <f t="shared" si="118"/>
        <v>408656079.10000008</v>
      </c>
      <c r="E129" s="151">
        <f t="shared" si="118"/>
        <v>144970183.93999997</v>
      </c>
      <c r="F129" s="151">
        <f t="shared" si="118"/>
        <v>212486331.58999997</v>
      </c>
      <c r="G129" s="151">
        <f>SUM(G106:G127)</f>
        <v>356304878.60000002</v>
      </c>
      <c r="H129" s="151">
        <f t="shared" ref="H129" si="119">SUM(H106:H127)</f>
        <v>291633650.12999988</v>
      </c>
      <c r="I129" s="151">
        <f t="shared" ref="I129:M129" si="120">SUM(I106:I128)</f>
        <v>454424681.87999988</v>
      </c>
      <c r="J129" s="151">
        <f t="shared" si="120"/>
        <v>336551715.46000004</v>
      </c>
      <c r="K129" s="151">
        <f t="shared" si="120"/>
        <v>150302029.94999993</v>
      </c>
      <c r="L129" s="151">
        <f t="shared" si="120"/>
        <v>225684099.08999997</v>
      </c>
      <c r="M129" s="151">
        <f t="shared" si="120"/>
        <v>193200228.72999996</v>
      </c>
      <c r="N129" s="151">
        <f>SUM(N106:N128)</f>
        <v>2678192192.039999</v>
      </c>
      <c r="P129" s="151">
        <f t="shared" si="84"/>
        <v>225908360.30090901</v>
      </c>
      <c r="Q129" s="151">
        <f t="shared" si="85"/>
        <v>-32708131.570909053</v>
      </c>
    </row>
    <row r="130" spans="1:17" ht="15.75" thickTop="1" x14ac:dyDescent="0.25">
      <c r="C130" s="130"/>
      <c r="D130" s="130"/>
      <c r="E130" s="130"/>
      <c r="F130" s="130"/>
      <c r="G130" s="130"/>
      <c r="H130" s="130"/>
      <c r="I130" s="130"/>
      <c r="J130" s="130"/>
      <c r="K130" s="130"/>
      <c r="L130" s="130"/>
      <c r="M130" s="130"/>
      <c r="N130" s="130"/>
      <c r="P130" s="130">
        <f t="shared" si="84"/>
        <v>0</v>
      </c>
      <c r="Q130" s="130">
        <f t="shared" si="85"/>
        <v>0</v>
      </c>
    </row>
    <row r="131" spans="1:17" x14ac:dyDescent="0.25">
      <c r="A131" s="66" t="s">
        <v>94</v>
      </c>
      <c r="B131" s="130">
        <v>-3595.4</v>
      </c>
      <c r="C131" s="130">
        <v>-2471.31</v>
      </c>
      <c r="D131" s="1">
        <v>-4621.22</v>
      </c>
      <c r="E131" s="130">
        <v>-5799.91</v>
      </c>
      <c r="F131" s="130">
        <v>-1360.64</v>
      </c>
      <c r="G131" s="130">
        <v>-1536.21</v>
      </c>
      <c r="H131" s="130">
        <v>-2242.15</v>
      </c>
      <c r="I131" s="130">
        <v>-4335.7700000000004</v>
      </c>
      <c r="J131" s="130">
        <v>-2948.83</v>
      </c>
      <c r="K131" s="130">
        <v>-5190.07</v>
      </c>
      <c r="L131" s="130">
        <v>1017.16</v>
      </c>
      <c r="M131" s="130">
        <v>6716.08</v>
      </c>
      <c r="N131" s="130">
        <f>SUM(B131:F131)</f>
        <v>-17848.48</v>
      </c>
      <c r="P131" s="130">
        <f t="shared" si="84"/>
        <v>-2233.1418181818181</v>
      </c>
      <c r="Q131" s="130">
        <f t="shared" si="85"/>
        <v>8949.2218181818171</v>
      </c>
    </row>
    <row r="132" spans="1:17" x14ac:dyDescent="0.25">
      <c r="A132" s="66" t="s">
        <v>95</v>
      </c>
      <c r="B132" s="130">
        <v>0</v>
      </c>
      <c r="C132" s="130">
        <v>0</v>
      </c>
      <c r="D132" s="1">
        <v>0</v>
      </c>
      <c r="E132" s="130"/>
      <c r="F132" s="130">
        <v>0</v>
      </c>
      <c r="G132" s="130">
        <v>0</v>
      </c>
      <c r="H132" s="130">
        <v>0</v>
      </c>
      <c r="I132" s="130">
        <v>0</v>
      </c>
      <c r="J132" s="130">
        <v>0</v>
      </c>
      <c r="K132" s="130"/>
      <c r="L132" s="130"/>
      <c r="M132" s="130"/>
      <c r="N132" s="130">
        <f t="shared" ref="N132:N195" si="121">SUM(B132:F132)</f>
        <v>0</v>
      </c>
      <c r="P132" s="130">
        <f t="shared" si="84"/>
        <v>0</v>
      </c>
      <c r="Q132" s="130">
        <f t="shared" si="85"/>
        <v>0</v>
      </c>
    </row>
    <row r="133" spans="1:17" x14ac:dyDescent="0.25">
      <c r="A133" s="66" t="s">
        <v>466</v>
      </c>
      <c r="C133" s="130"/>
      <c r="D133" s="1"/>
      <c r="E133" s="130"/>
      <c r="F133" s="130"/>
      <c r="G133" s="130"/>
      <c r="H133" s="130"/>
      <c r="I133" s="130"/>
      <c r="J133" s="130">
        <v>15588272.5</v>
      </c>
      <c r="K133" s="130">
        <v>1472539.23</v>
      </c>
      <c r="L133" s="130">
        <v>250102.1</v>
      </c>
      <c r="M133" s="130">
        <v>1881554.37</v>
      </c>
      <c r="N133" s="130">
        <f t="shared" si="121"/>
        <v>0</v>
      </c>
      <c r="P133" s="130"/>
      <c r="Q133" s="130"/>
    </row>
    <row r="134" spans="1:17" x14ac:dyDescent="0.25">
      <c r="A134" s="66" t="s">
        <v>467</v>
      </c>
      <c r="C134" s="130"/>
      <c r="D134" s="1"/>
      <c r="E134" s="130"/>
      <c r="F134" s="130"/>
      <c r="G134" s="130"/>
      <c r="H134" s="130"/>
      <c r="I134" s="130"/>
      <c r="J134" s="130">
        <v>-6396769.0099999998</v>
      </c>
      <c r="K134" s="130">
        <v>4760717.22</v>
      </c>
      <c r="L134" s="130">
        <v>-2945718.42</v>
      </c>
      <c r="M134" s="130">
        <v>-4676521.18</v>
      </c>
      <c r="N134" s="130">
        <f t="shared" si="121"/>
        <v>0</v>
      </c>
      <c r="P134" s="130"/>
      <c r="Q134" s="130"/>
    </row>
    <row r="135" spans="1:17" x14ac:dyDescent="0.25">
      <c r="A135" s="66" t="s">
        <v>468</v>
      </c>
      <c r="C135" s="130"/>
      <c r="D135" s="1"/>
      <c r="E135" s="130"/>
      <c r="F135" s="130"/>
      <c r="G135" s="130"/>
      <c r="H135" s="130"/>
      <c r="I135" s="130"/>
      <c r="J135" s="130">
        <v>-689871.66</v>
      </c>
      <c r="K135" s="130">
        <v>12519.79</v>
      </c>
      <c r="L135" s="130">
        <v>162218.01</v>
      </c>
      <c r="M135" s="130">
        <v>-292745.15000000002</v>
      </c>
      <c r="N135" s="130">
        <f t="shared" si="121"/>
        <v>0</v>
      </c>
      <c r="P135" s="130"/>
      <c r="Q135" s="130"/>
    </row>
    <row r="136" spans="1:17" x14ac:dyDescent="0.25">
      <c r="A136" s="66" t="s">
        <v>469</v>
      </c>
      <c r="C136" s="130"/>
      <c r="D136" s="1"/>
      <c r="E136" s="130"/>
      <c r="F136" s="130"/>
      <c r="G136" s="130"/>
      <c r="H136" s="130"/>
      <c r="I136" s="130"/>
      <c r="J136" s="130">
        <v>-374194.7</v>
      </c>
      <c r="K136" s="130">
        <v>54321.4</v>
      </c>
      <c r="L136" s="130">
        <v>-8364.91</v>
      </c>
      <c r="M136" s="130">
        <v>131053.75999999999</v>
      </c>
      <c r="N136" s="130">
        <f t="shared" si="121"/>
        <v>0</v>
      </c>
      <c r="P136" s="130"/>
      <c r="Q136" s="130"/>
    </row>
    <row r="137" spans="1:17" x14ac:dyDescent="0.25">
      <c r="A137" s="66" t="s">
        <v>470</v>
      </c>
      <c r="C137" s="130"/>
      <c r="D137" s="1"/>
      <c r="E137" s="130"/>
      <c r="F137" s="130"/>
      <c r="G137" s="130"/>
      <c r="H137" s="130"/>
      <c r="I137" s="130"/>
      <c r="J137" s="130">
        <v>-38467.15</v>
      </c>
      <c r="K137" s="130">
        <v>-6789.17</v>
      </c>
      <c r="L137" s="130">
        <v>-9793.51</v>
      </c>
      <c r="M137" s="130">
        <v>17799.5</v>
      </c>
      <c r="N137" s="130">
        <f t="shared" si="121"/>
        <v>0</v>
      </c>
      <c r="P137" s="130"/>
      <c r="Q137" s="130"/>
    </row>
    <row r="138" spans="1:17" x14ac:dyDescent="0.25">
      <c r="A138" s="66" t="s">
        <v>96</v>
      </c>
      <c r="B138" s="130">
        <v>155441266.31</v>
      </c>
      <c r="C138" s="130">
        <v>109044152.26000001</v>
      </c>
      <c r="D138" s="1">
        <v>100539266.20999999</v>
      </c>
      <c r="E138" s="130">
        <v>91915243.909999996</v>
      </c>
      <c r="F138" s="130">
        <v>94245288.590000004</v>
      </c>
      <c r="G138" s="130">
        <v>92942665.650000006</v>
      </c>
      <c r="H138" s="130">
        <v>124203449.56999999</v>
      </c>
      <c r="I138" s="130">
        <v>128282249.83</v>
      </c>
      <c r="J138" s="130">
        <v>93706532.980000004</v>
      </c>
      <c r="K138" s="130">
        <v>82976594.870000005</v>
      </c>
      <c r="L138" s="130">
        <v>78235202.469999999</v>
      </c>
      <c r="M138" s="130">
        <v>57611994.840000004</v>
      </c>
      <c r="N138" s="130">
        <f t="shared" si="121"/>
        <v>551185217.27999997</v>
      </c>
      <c r="P138" s="130">
        <f t="shared" si="84"/>
        <v>44870292.949090905</v>
      </c>
      <c r="Q138" s="130">
        <f t="shared" si="85"/>
        <v>12741701.890909098</v>
      </c>
    </row>
    <row r="139" spans="1:17" x14ac:dyDescent="0.25">
      <c r="A139" s="66" t="s">
        <v>97</v>
      </c>
      <c r="B139" s="130">
        <v>422458884.52999997</v>
      </c>
      <c r="C139" s="130">
        <v>1215702481.6500001</v>
      </c>
      <c r="D139" s="1">
        <v>305866481.80000001</v>
      </c>
      <c r="E139" s="130">
        <v>46984540.060000002</v>
      </c>
      <c r="F139" s="130">
        <v>116527400.42</v>
      </c>
      <c r="G139" s="130">
        <v>262829543.78999999</v>
      </c>
      <c r="H139" s="130">
        <v>170093292.22</v>
      </c>
      <c r="I139" s="130">
        <v>328155648.12</v>
      </c>
      <c r="J139" s="130">
        <v>244306582.47999999</v>
      </c>
      <c r="K139" s="130">
        <v>118310445.38</v>
      </c>
      <c r="L139" s="130">
        <v>141465570.94999999</v>
      </c>
      <c r="M139" s="130">
        <v>124632849.33</v>
      </c>
      <c r="N139" s="130">
        <f t="shared" si="121"/>
        <v>2107539788.46</v>
      </c>
      <c r="P139" s="130">
        <f t="shared" si="84"/>
        <v>180264267.19363639</v>
      </c>
      <c r="Q139" s="130">
        <f t="shared" si="85"/>
        <v>-55631417.863636389</v>
      </c>
    </row>
    <row r="140" spans="1:17" x14ac:dyDescent="0.25">
      <c r="A140" s="66" t="s">
        <v>98</v>
      </c>
      <c r="B140" s="130">
        <v>2776246.68</v>
      </c>
      <c r="C140" s="130">
        <v>2484320.38</v>
      </c>
      <c r="D140" s="1">
        <v>617771.9</v>
      </c>
      <c r="E140" s="130">
        <v>1936970.97</v>
      </c>
      <c r="F140" s="130">
        <v>2008716.84</v>
      </c>
      <c r="G140" s="130">
        <v>489895.91</v>
      </c>
      <c r="H140" s="130">
        <v>1072423.6100000001</v>
      </c>
      <c r="I140" s="130">
        <v>1487745.77</v>
      </c>
      <c r="J140" s="130">
        <v>330283.58</v>
      </c>
      <c r="K140" s="130">
        <v>212260.13</v>
      </c>
      <c r="L140" s="130">
        <v>1950809.67</v>
      </c>
      <c r="M140" s="130">
        <v>1166206.8899999999</v>
      </c>
      <c r="N140" s="130">
        <f t="shared" si="121"/>
        <v>9824026.7700000014</v>
      </c>
      <c r="P140" s="130">
        <f t="shared" si="84"/>
        <v>787074.53454545466</v>
      </c>
      <c r="Q140" s="130">
        <f t="shared" si="85"/>
        <v>379132.35545454524</v>
      </c>
    </row>
    <row r="141" spans="1:17" x14ac:dyDescent="0.25">
      <c r="A141" s="66" t="s">
        <v>99</v>
      </c>
      <c r="B141" s="130">
        <v>3078499.21</v>
      </c>
      <c r="C141" s="130">
        <v>1513901.47</v>
      </c>
      <c r="D141" s="1">
        <v>1441767.82</v>
      </c>
      <c r="E141" s="130">
        <v>2113636.39</v>
      </c>
      <c r="F141" s="130">
        <v>844764.25</v>
      </c>
      <c r="G141" s="130">
        <v>760350.9</v>
      </c>
      <c r="H141" s="130">
        <v>520958.08</v>
      </c>
      <c r="I141" s="130">
        <v>746076.51</v>
      </c>
      <c r="J141" s="130">
        <v>593567</v>
      </c>
      <c r="K141" s="130">
        <v>2796158.3</v>
      </c>
      <c r="L141" s="130">
        <v>1671669.22</v>
      </c>
      <c r="M141" s="130">
        <v>5312269.22</v>
      </c>
      <c r="N141" s="130">
        <f t="shared" si="121"/>
        <v>8992569.1400000006</v>
      </c>
      <c r="P141" s="130">
        <f t="shared" si="84"/>
        <v>334572.72000000009</v>
      </c>
      <c r="Q141" s="130">
        <f t="shared" si="85"/>
        <v>4977696.5</v>
      </c>
    </row>
    <row r="142" spans="1:17" x14ac:dyDescent="0.25">
      <c r="A142" s="66" t="s">
        <v>100</v>
      </c>
      <c r="B142" s="130">
        <v>0</v>
      </c>
      <c r="C142" s="130">
        <v>0</v>
      </c>
      <c r="D142" s="1">
        <v>0</v>
      </c>
      <c r="E142" s="130">
        <v>0</v>
      </c>
      <c r="F142" s="130">
        <v>72</v>
      </c>
      <c r="G142" s="130">
        <v>0</v>
      </c>
      <c r="H142" s="130">
        <v>72</v>
      </c>
      <c r="I142" s="130">
        <v>198</v>
      </c>
      <c r="J142" s="130">
        <v>396</v>
      </c>
      <c r="K142" s="130">
        <v>107.2</v>
      </c>
      <c r="L142" s="130">
        <v>630</v>
      </c>
      <c r="M142" s="130">
        <v>9600.9500000000007</v>
      </c>
      <c r="N142" s="130">
        <f t="shared" si="121"/>
        <v>72</v>
      </c>
      <c r="P142" s="130">
        <f t="shared" si="84"/>
        <v>-866.26818181818192</v>
      </c>
      <c r="Q142" s="130">
        <f t="shared" si="85"/>
        <v>10467.218181818183</v>
      </c>
    </row>
    <row r="143" spans="1:17" x14ac:dyDescent="0.25">
      <c r="A143" s="66" t="s">
        <v>101</v>
      </c>
      <c r="B143" s="130">
        <v>47744.73</v>
      </c>
      <c r="C143" s="130">
        <v>40318.61</v>
      </c>
      <c r="D143" s="1">
        <v>53566.29</v>
      </c>
      <c r="E143" s="130">
        <v>-3427.84</v>
      </c>
      <c r="F143" s="130">
        <v>5808.03</v>
      </c>
      <c r="G143" s="130">
        <v>11225.63</v>
      </c>
      <c r="H143" s="130">
        <v>11757.35</v>
      </c>
      <c r="I143" s="130">
        <v>2887.52</v>
      </c>
      <c r="J143" s="130">
        <v>5270.91</v>
      </c>
      <c r="K143" s="130">
        <v>20141.43</v>
      </c>
      <c r="L143" s="130">
        <v>34705.21</v>
      </c>
      <c r="M143" s="130">
        <v>217346.57</v>
      </c>
      <c r="N143" s="130">
        <f t="shared" si="121"/>
        <v>144009.82</v>
      </c>
      <c r="P143" s="130">
        <f t="shared" si="84"/>
        <v>-6666.977272727273</v>
      </c>
      <c r="Q143" s="130">
        <f t="shared" si="85"/>
        <v>224013.54727272727</v>
      </c>
    </row>
    <row r="144" spans="1:17" x14ac:dyDescent="0.25">
      <c r="A144" s="66" t="s">
        <v>102</v>
      </c>
      <c r="B144" s="130">
        <v>82580.429999999993</v>
      </c>
      <c r="C144" s="130">
        <v>556415.63</v>
      </c>
      <c r="D144" s="1">
        <v>104546.19</v>
      </c>
      <c r="E144" s="130">
        <v>891459.31</v>
      </c>
      <c r="F144" s="130">
        <v>309417.95</v>
      </c>
      <c r="G144" s="130">
        <v>1066421.99</v>
      </c>
      <c r="H144" s="130">
        <v>438557.16</v>
      </c>
      <c r="I144" s="130">
        <v>839710.44</v>
      </c>
      <c r="J144" s="130">
        <v>439830.71</v>
      </c>
      <c r="K144" s="130">
        <v>651036.23</v>
      </c>
      <c r="L144" s="130">
        <v>611668.13</v>
      </c>
      <c r="M144" s="130">
        <v>370711.13</v>
      </c>
      <c r="N144" s="130">
        <f t="shared" si="121"/>
        <v>1944419.51</v>
      </c>
      <c r="P144" s="130">
        <f t="shared" si="84"/>
        <v>143064.39818181816</v>
      </c>
      <c r="Q144" s="130">
        <f t="shared" si="85"/>
        <v>227646.73181818184</v>
      </c>
    </row>
    <row r="145" spans="1:17" x14ac:dyDescent="0.25">
      <c r="A145" s="66" t="s">
        <v>103</v>
      </c>
      <c r="B145" s="130">
        <v>162526.82</v>
      </c>
      <c r="C145" s="130">
        <v>186551.2</v>
      </c>
      <c r="D145" s="1">
        <f>120971.26+500</f>
        <v>121471.26</v>
      </c>
      <c r="E145" s="130">
        <v>104538.95</v>
      </c>
      <c r="F145" s="130">
        <f>108837.33+3500</f>
        <v>112337.33</v>
      </c>
      <c r="G145" s="130">
        <v>58522.59</v>
      </c>
      <c r="H145" s="130">
        <v>142640.88</v>
      </c>
      <c r="I145" s="130">
        <v>302010.69</v>
      </c>
      <c r="J145" s="130">
        <v>148375.73000000001</v>
      </c>
      <c r="K145" s="130">
        <v>124519.01</v>
      </c>
      <c r="L145" s="130">
        <v>101255.08</v>
      </c>
      <c r="M145" s="130">
        <v>137249.42000000001</v>
      </c>
      <c r="N145" s="130">
        <f t="shared" si="121"/>
        <v>687425.55999999994</v>
      </c>
      <c r="P145" s="130">
        <f t="shared" ref="P145:P215" si="122">(N145-M145)/11</f>
        <v>50016.012727272719</v>
      </c>
      <c r="Q145" s="130">
        <f t="shared" ref="Q145:Q215" si="123">M145-P145</f>
        <v>87233.407272727287</v>
      </c>
    </row>
    <row r="146" spans="1:17" x14ac:dyDescent="0.25">
      <c r="A146" s="66" t="s">
        <v>104</v>
      </c>
      <c r="B146" s="130">
        <v>0</v>
      </c>
      <c r="C146" s="130">
        <v>0</v>
      </c>
      <c r="D146" s="1">
        <v>0</v>
      </c>
      <c r="E146" s="130">
        <v>0</v>
      </c>
      <c r="F146" s="130">
        <v>0</v>
      </c>
      <c r="G146" s="130">
        <v>0</v>
      </c>
      <c r="H146" s="130">
        <v>0</v>
      </c>
      <c r="I146" s="130">
        <v>0</v>
      </c>
      <c r="J146" s="130">
        <v>0</v>
      </c>
      <c r="K146" s="130"/>
      <c r="L146" s="130"/>
      <c r="M146" s="130"/>
      <c r="N146" s="130">
        <f t="shared" si="121"/>
        <v>0</v>
      </c>
      <c r="P146" s="130">
        <f t="shared" si="122"/>
        <v>0</v>
      </c>
      <c r="Q146" s="130">
        <f t="shared" si="123"/>
        <v>0</v>
      </c>
    </row>
    <row r="147" spans="1:17" x14ac:dyDescent="0.25">
      <c r="A147" s="66" t="s">
        <v>105</v>
      </c>
      <c r="B147" s="130">
        <v>0</v>
      </c>
      <c r="C147" s="130">
        <v>0</v>
      </c>
      <c r="D147" s="1">
        <v>0</v>
      </c>
      <c r="E147" s="130">
        <v>0</v>
      </c>
      <c r="F147" s="130">
        <v>0</v>
      </c>
      <c r="G147" s="130">
        <v>0</v>
      </c>
      <c r="H147" s="130">
        <v>0</v>
      </c>
      <c r="I147" s="130">
        <v>0</v>
      </c>
      <c r="J147" s="130">
        <v>0</v>
      </c>
      <c r="K147" s="130"/>
      <c r="L147" s="130"/>
      <c r="M147" s="130"/>
      <c r="N147" s="130">
        <f t="shared" si="121"/>
        <v>0</v>
      </c>
      <c r="P147" s="130">
        <f t="shared" si="122"/>
        <v>0</v>
      </c>
      <c r="Q147" s="130">
        <f t="shared" si="123"/>
        <v>0</v>
      </c>
    </row>
    <row r="148" spans="1:17" x14ac:dyDescent="0.25">
      <c r="A148" s="66" t="s">
        <v>106</v>
      </c>
      <c r="B148" s="130">
        <v>9335.48</v>
      </c>
      <c r="C148" s="130">
        <v>703.97</v>
      </c>
      <c r="D148" s="1">
        <v>6224.3</v>
      </c>
      <c r="E148" s="130">
        <v>4346.05</v>
      </c>
      <c r="F148" s="130">
        <v>1861.52</v>
      </c>
      <c r="G148" s="130">
        <v>2668.53</v>
      </c>
      <c r="H148" s="130">
        <v>8773.1200000000008</v>
      </c>
      <c r="I148" s="130">
        <v>2512.61</v>
      </c>
      <c r="J148" s="130">
        <v>4656.17</v>
      </c>
      <c r="K148" s="130">
        <v>457.09</v>
      </c>
      <c r="L148" s="130">
        <v>230.91</v>
      </c>
      <c r="M148" s="130">
        <v>854.81</v>
      </c>
      <c r="N148" s="130">
        <f t="shared" si="121"/>
        <v>22471.32</v>
      </c>
      <c r="P148" s="130">
        <f t="shared" si="122"/>
        <v>1965.1372727272726</v>
      </c>
      <c r="Q148" s="130">
        <f t="shared" si="123"/>
        <v>-1110.3272727272727</v>
      </c>
    </row>
    <row r="149" spans="1:17" x14ac:dyDescent="0.25">
      <c r="A149" s="66" t="s">
        <v>107</v>
      </c>
      <c r="B149" s="130">
        <v>0</v>
      </c>
      <c r="C149" s="130">
        <v>1250</v>
      </c>
      <c r="D149" s="1">
        <v>0</v>
      </c>
      <c r="E149" s="130">
        <v>0</v>
      </c>
      <c r="F149" s="130">
        <v>0</v>
      </c>
      <c r="G149" s="130">
        <v>0</v>
      </c>
      <c r="H149" s="130">
        <v>0</v>
      </c>
      <c r="I149" s="130">
        <v>0</v>
      </c>
      <c r="J149" s="130">
        <v>0</v>
      </c>
      <c r="K149" s="130"/>
      <c r="L149" s="130"/>
      <c r="M149" s="130">
        <v>760.3</v>
      </c>
      <c r="N149" s="130">
        <f t="shared" si="121"/>
        <v>1250</v>
      </c>
      <c r="P149" s="130">
        <f t="shared" si="122"/>
        <v>44.518181818181823</v>
      </c>
      <c r="Q149" s="130">
        <f t="shared" si="123"/>
        <v>715.78181818181815</v>
      </c>
    </row>
    <row r="150" spans="1:17" x14ac:dyDescent="0.25">
      <c r="A150" s="66" t="s">
        <v>108</v>
      </c>
      <c r="B150" s="130">
        <v>93164865.799999997</v>
      </c>
      <c r="C150" s="130">
        <v>43694992.5</v>
      </c>
      <c r="D150" s="1">
        <v>49872500</v>
      </c>
      <c r="E150" s="130">
        <v>37423820</v>
      </c>
      <c r="F150" s="130">
        <v>33390470</v>
      </c>
      <c r="G150" s="130">
        <v>18213000</v>
      </c>
      <c r="H150" s="130">
        <v>40236590</v>
      </c>
      <c r="I150" s="130">
        <v>27854150</v>
      </c>
      <c r="J150" s="130">
        <v>13967680</v>
      </c>
      <c r="K150" s="130">
        <v>26154870</v>
      </c>
      <c r="L150" s="130">
        <v>56299240</v>
      </c>
      <c r="M150" s="130">
        <v>5024860</v>
      </c>
      <c r="N150" s="130">
        <f t="shared" si="121"/>
        <v>257546648.30000001</v>
      </c>
      <c r="P150" s="130">
        <f t="shared" si="122"/>
        <v>22956526.209090911</v>
      </c>
      <c r="Q150" s="130">
        <f t="shared" si="123"/>
        <v>-17931666.209090911</v>
      </c>
    </row>
    <row r="151" spans="1:17" x14ac:dyDescent="0.25">
      <c r="A151" s="66" t="s">
        <v>109</v>
      </c>
      <c r="B151" s="130">
        <v>39860269.659999996</v>
      </c>
      <c r="C151" s="130">
        <v>50039912.299999997</v>
      </c>
      <c r="D151" s="1">
        <v>119070965.51000001</v>
      </c>
      <c r="E151" s="130">
        <v>32569174</v>
      </c>
      <c r="F151" s="130">
        <v>104415723.54000001</v>
      </c>
      <c r="G151" s="130">
        <v>53384233</v>
      </c>
      <c r="H151" s="130">
        <v>102371087</v>
      </c>
      <c r="I151" s="130">
        <v>40532974</v>
      </c>
      <c r="J151" s="130">
        <v>73873420</v>
      </c>
      <c r="K151" s="130">
        <v>28642758.5</v>
      </c>
      <c r="L151" s="130">
        <v>128282994</v>
      </c>
      <c r="M151" s="130">
        <v>74304840.25</v>
      </c>
      <c r="N151" s="130">
        <f t="shared" si="121"/>
        <v>345956045.00999999</v>
      </c>
      <c r="P151" s="130">
        <f t="shared" si="122"/>
        <v>24695564.069090907</v>
      </c>
      <c r="Q151" s="130">
        <f t="shared" si="123"/>
        <v>49609276.180909097</v>
      </c>
    </row>
    <row r="152" spans="1:17" x14ac:dyDescent="0.25">
      <c r="A152" s="66" t="s">
        <v>110</v>
      </c>
      <c r="B152" s="130">
        <v>0</v>
      </c>
      <c r="C152" s="130">
        <v>252635</v>
      </c>
      <c r="D152" s="1">
        <v>333245</v>
      </c>
      <c r="E152" s="130">
        <v>95125</v>
      </c>
      <c r="F152" s="130">
        <v>0</v>
      </c>
      <c r="G152" s="130">
        <v>45375</v>
      </c>
      <c r="H152" s="130">
        <v>0</v>
      </c>
      <c r="I152" s="130">
        <v>0</v>
      </c>
      <c r="J152" s="130">
        <v>0</v>
      </c>
      <c r="K152" s="130">
        <v>-450</v>
      </c>
      <c r="L152" s="130">
        <v>42150</v>
      </c>
      <c r="M152" s="130">
        <v>0</v>
      </c>
      <c r="N152" s="130">
        <f t="shared" si="121"/>
        <v>681005</v>
      </c>
      <c r="P152" s="130">
        <f t="shared" si="122"/>
        <v>61909.545454545456</v>
      </c>
      <c r="Q152" s="130">
        <f t="shared" si="123"/>
        <v>-61909.545454545456</v>
      </c>
    </row>
    <row r="153" spans="1:17" x14ac:dyDescent="0.25">
      <c r="A153" s="94" t="s">
        <v>111</v>
      </c>
      <c r="B153" s="130">
        <v>0</v>
      </c>
      <c r="C153" s="130">
        <v>0</v>
      </c>
      <c r="D153" s="1">
        <v>0</v>
      </c>
      <c r="E153" s="130">
        <v>0</v>
      </c>
      <c r="F153" s="130">
        <v>0</v>
      </c>
      <c r="G153" s="130">
        <v>0</v>
      </c>
      <c r="H153" s="130">
        <v>187220</v>
      </c>
      <c r="I153" s="130">
        <v>0</v>
      </c>
      <c r="J153" s="130">
        <v>0</v>
      </c>
      <c r="K153" s="130">
        <v>0</v>
      </c>
      <c r="L153" s="130">
        <v>0</v>
      </c>
      <c r="M153" s="130">
        <v>0</v>
      </c>
      <c r="N153" s="130">
        <f t="shared" si="121"/>
        <v>0</v>
      </c>
      <c r="P153" s="130">
        <f t="shared" si="122"/>
        <v>0</v>
      </c>
      <c r="Q153" s="130">
        <f t="shared" si="123"/>
        <v>0</v>
      </c>
    </row>
    <row r="154" spans="1:17" x14ac:dyDescent="0.25">
      <c r="A154" s="66" t="s">
        <v>112</v>
      </c>
      <c r="B154" s="130">
        <v>-250773118.75999999</v>
      </c>
      <c r="C154" s="130">
        <v>-106292010.51000001</v>
      </c>
      <c r="D154" s="1">
        <v>-199926459.47999999</v>
      </c>
      <c r="E154" s="130">
        <v>-102886856.97</v>
      </c>
      <c r="F154" s="130">
        <v>-60969608.149999999</v>
      </c>
      <c r="G154" s="130">
        <v>-168909239.22</v>
      </c>
      <c r="H154" s="130">
        <v>-211950197.00999999</v>
      </c>
      <c r="I154" s="130">
        <v>-284906461.36000001</v>
      </c>
      <c r="J154" s="130">
        <v>-412764522.29000002</v>
      </c>
      <c r="K154" s="130">
        <v>-121881132.84</v>
      </c>
      <c r="L154" s="130">
        <v>-236276556.91999999</v>
      </c>
      <c r="M154" s="130">
        <v>-658083390.33000004</v>
      </c>
      <c r="N154" s="130">
        <f t="shared" si="121"/>
        <v>-720848053.87</v>
      </c>
      <c r="P154" s="130">
        <f t="shared" si="122"/>
        <v>-5705878.5036363602</v>
      </c>
      <c r="Q154" s="130">
        <f t="shared" si="123"/>
        <v>-652377511.82636368</v>
      </c>
    </row>
    <row r="155" spans="1:17" x14ac:dyDescent="0.25">
      <c r="A155" s="66" t="s">
        <v>113</v>
      </c>
      <c r="B155" s="130">
        <v>-94616255.870000005</v>
      </c>
      <c r="C155" s="130">
        <v>-43709010</v>
      </c>
      <c r="D155" s="1">
        <v>-50522100</v>
      </c>
      <c r="E155" s="130">
        <v>-37084810</v>
      </c>
      <c r="F155" s="130">
        <v>-33297790</v>
      </c>
      <c r="G155" s="130">
        <v>-17687220</v>
      </c>
      <c r="H155" s="130">
        <v>-39772170</v>
      </c>
      <c r="I155" s="130">
        <v>-27463660</v>
      </c>
      <c r="J155" s="130">
        <v>-13825040</v>
      </c>
      <c r="K155" s="130">
        <v>-26658310</v>
      </c>
      <c r="L155" s="130">
        <v>-56305290</v>
      </c>
      <c r="M155" s="130">
        <v>-4762590</v>
      </c>
      <c r="N155" s="130">
        <f t="shared" si="121"/>
        <v>-259229965.87</v>
      </c>
      <c r="P155" s="130">
        <f t="shared" si="122"/>
        <v>-23133397.806363638</v>
      </c>
      <c r="Q155" s="130">
        <f t="shared" si="123"/>
        <v>18370807.806363638</v>
      </c>
    </row>
    <row r="156" spans="1:17" x14ac:dyDescent="0.25">
      <c r="A156" s="66" t="s">
        <v>114</v>
      </c>
      <c r="B156" s="130">
        <v>-39572318.009999998</v>
      </c>
      <c r="C156" s="130">
        <v>-54501789.609999999</v>
      </c>
      <c r="D156" s="1">
        <v>-119003409.98</v>
      </c>
      <c r="E156" s="130">
        <v>-35983600</v>
      </c>
      <c r="F156" s="130">
        <v>-104443889</v>
      </c>
      <c r="G156" s="130">
        <v>-60159775</v>
      </c>
      <c r="H156" s="130">
        <v>-104982039</v>
      </c>
      <c r="I156" s="130">
        <v>-44639850</v>
      </c>
      <c r="J156" s="130">
        <v>-74748600</v>
      </c>
      <c r="K156" s="130">
        <v>-34621450</v>
      </c>
      <c r="L156" s="130">
        <v>-129360225</v>
      </c>
      <c r="M156" s="130">
        <v>-65600074</v>
      </c>
      <c r="N156" s="130">
        <f t="shared" si="121"/>
        <v>-353505006.60000002</v>
      </c>
      <c r="P156" s="130">
        <f t="shared" si="122"/>
        <v>-26173175.690909091</v>
      </c>
      <c r="Q156" s="130">
        <f t="shared" si="123"/>
        <v>-39426898.309090912</v>
      </c>
    </row>
    <row r="157" spans="1:17" x14ac:dyDescent="0.25">
      <c r="A157" s="66" t="s">
        <v>115</v>
      </c>
      <c r="B157" s="130">
        <v>0</v>
      </c>
      <c r="C157" s="130">
        <v>-248100</v>
      </c>
      <c r="D157" s="1">
        <v>-337135</v>
      </c>
      <c r="E157" s="130">
        <v>-95680</v>
      </c>
      <c r="F157" s="130">
        <v>0</v>
      </c>
      <c r="G157" s="130">
        <v>-43600</v>
      </c>
      <c r="H157" s="130">
        <v>0</v>
      </c>
      <c r="I157" s="130">
        <v>0</v>
      </c>
      <c r="J157" s="130">
        <v>0</v>
      </c>
      <c r="K157" s="130"/>
      <c r="L157" s="130">
        <v>-43830</v>
      </c>
      <c r="M157" s="130">
        <v>0</v>
      </c>
      <c r="N157" s="130">
        <f t="shared" si="121"/>
        <v>-680915</v>
      </c>
      <c r="P157" s="130">
        <f t="shared" si="122"/>
        <v>-61901.36363636364</v>
      </c>
      <c r="Q157" s="130">
        <f t="shared" si="123"/>
        <v>61901.36363636364</v>
      </c>
    </row>
    <row r="158" spans="1:17" x14ac:dyDescent="0.25">
      <c r="A158" s="94" t="s">
        <v>116</v>
      </c>
      <c r="B158" s="130">
        <v>0</v>
      </c>
      <c r="C158" s="130">
        <v>0</v>
      </c>
      <c r="D158" s="1">
        <v>0</v>
      </c>
      <c r="E158" s="130">
        <v>0</v>
      </c>
      <c r="F158" s="130">
        <v>0</v>
      </c>
      <c r="G158" s="130">
        <v>0</v>
      </c>
      <c r="H158" s="130">
        <v>-188100</v>
      </c>
      <c r="I158" s="130">
        <v>0</v>
      </c>
      <c r="J158" s="130">
        <v>0</v>
      </c>
      <c r="K158" s="130"/>
      <c r="L158" s="130">
        <v>0</v>
      </c>
      <c r="M158" s="130">
        <v>0</v>
      </c>
      <c r="N158" s="130">
        <f t="shared" si="121"/>
        <v>0</v>
      </c>
      <c r="P158" s="130">
        <f t="shared" si="122"/>
        <v>0</v>
      </c>
      <c r="Q158" s="130">
        <f t="shared" si="123"/>
        <v>0</v>
      </c>
    </row>
    <row r="159" spans="1:17" x14ac:dyDescent="0.25">
      <c r="A159" s="66" t="s">
        <v>117</v>
      </c>
      <c r="B159" s="130">
        <v>246469534.72</v>
      </c>
      <c r="C159" s="130">
        <v>106061841.73</v>
      </c>
      <c r="D159" s="1">
        <v>199824413.44</v>
      </c>
      <c r="E159" s="130">
        <v>102901638.84999999</v>
      </c>
      <c r="F159" s="130">
        <v>61067887.670000002</v>
      </c>
      <c r="G159" s="130">
        <v>169335911.84</v>
      </c>
      <c r="H159" s="130">
        <v>212243315.12</v>
      </c>
      <c r="I159" s="130">
        <v>285234425.79000002</v>
      </c>
      <c r="J159" s="130">
        <v>413041926.32999998</v>
      </c>
      <c r="K159" s="130">
        <v>121510314.61</v>
      </c>
      <c r="L159" s="130">
        <v>236012919.81</v>
      </c>
      <c r="M159" s="130">
        <v>656076653.62</v>
      </c>
      <c r="N159" s="130">
        <f t="shared" si="121"/>
        <v>716325316.40999997</v>
      </c>
      <c r="P159" s="130">
        <f t="shared" si="122"/>
        <v>5477151.1627272693</v>
      </c>
      <c r="Q159" s="130">
        <f t="shared" si="123"/>
        <v>650599502.45727277</v>
      </c>
    </row>
    <row r="160" spans="1:17" x14ac:dyDescent="0.25">
      <c r="A160" s="66" t="s">
        <v>118</v>
      </c>
      <c r="B160" s="130">
        <v>57035597.560000002</v>
      </c>
      <c r="C160" s="130">
        <v>15207183.189999999</v>
      </c>
      <c r="D160" s="1">
        <v>56539241.420000002</v>
      </c>
      <c r="E160" s="130">
        <v>530220449.82999998</v>
      </c>
      <c r="F160" s="130">
        <v>504763748.92000002</v>
      </c>
      <c r="G160" s="130">
        <v>868361816.95000005</v>
      </c>
      <c r="H160" s="130">
        <v>303826130.91000003</v>
      </c>
      <c r="I160" s="130">
        <v>310975719.51999998</v>
      </c>
      <c r="J160" s="130">
        <v>122798210.73</v>
      </c>
      <c r="K160" s="130">
        <v>1251003800.6199999</v>
      </c>
      <c r="L160" s="130">
        <v>2039732956.0699999</v>
      </c>
      <c r="M160" s="130">
        <v>1007992414.4400001</v>
      </c>
      <c r="N160" s="130">
        <f t="shared" si="121"/>
        <v>1163766220.9200001</v>
      </c>
      <c r="P160" s="130">
        <f t="shared" si="122"/>
        <v>14161255.134545457</v>
      </c>
      <c r="Q160" s="130">
        <f t="shared" si="123"/>
        <v>993831159.30545461</v>
      </c>
    </row>
    <row r="161" spans="1:17" x14ac:dyDescent="0.25">
      <c r="A161" s="66" t="s">
        <v>119</v>
      </c>
      <c r="B161" s="130">
        <v>598572.09</v>
      </c>
      <c r="C161" s="130">
        <v>1754577.38</v>
      </c>
      <c r="D161" s="1">
        <v>588811.42000000004</v>
      </c>
      <c r="E161" s="130">
        <v>283948.55</v>
      </c>
      <c r="F161" s="130">
        <v>707796.87</v>
      </c>
      <c r="G161" s="130">
        <v>1284752.46</v>
      </c>
      <c r="H161" s="130">
        <v>497824.77</v>
      </c>
      <c r="I161" s="130">
        <v>795083.58</v>
      </c>
      <c r="J161" s="130">
        <v>408056.53</v>
      </c>
      <c r="K161" s="130">
        <v>560986.71</v>
      </c>
      <c r="L161" s="130">
        <v>594157.51</v>
      </c>
      <c r="M161" s="130">
        <v>3123403.79</v>
      </c>
      <c r="N161" s="130">
        <f t="shared" si="121"/>
        <v>3933706.3099999996</v>
      </c>
      <c r="P161" s="130">
        <f t="shared" si="122"/>
        <v>73663.865454545419</v>
      </c>
      <c r="Q161" s="130">
        <f t="shared" si="123"/>
        <v>3049739.9245454548</v>
      </c>
    </row>
    <row r="162" spans="1:17" x14ac:dyDescent="0.25">
      <c r="A162" s="66" t="s">
        <v>120</v>
      </c>
      <c r="B162" s="130">
        <v>223864.49</v>
      </c>
      <c r="C162" s="130">
        <v>0</v>
      </c>
      <c r="D162" s="1">
        <v>6537.06</v>
      </c>
      <c r="E162" s="130">
        <v>918411.8</v>
      </c>
      <c r="F162" s="130">
        <v>48550</v>
      </c>
      <c r="G162" s="130">
        <v>0</v>
      </c>
      <c r="H162" s="130">
        <v>28932.61</v>
      </c>
      <c r="I162" s="130">
        <v>247481.95</v>
      </c>
      <c r="J162" s="130">
        <v>1006564.16</v>
      </c>
      <c r="K162" s="130">
        <v>1706376.64</v>
      </c>
      <c r="L162" s="130">
        <v>344926</v>
      </c>
      <c r="M162" s="130">
        <v>1243974.78</v>
      </c>
      <c r="N162" s="130">
        <f t="shared" si="121"/>
        <v>1197363.3500000001</v>
      </c>
      <c r="P162" s="130">
        <f t="shared" si="122"/>
        <v>-4237.4027272727217</v>
      </c>
      <c r="Q162" s="130">
        <f t="shared" si="123"/>
        <v>1248212.1827272729</v>
      </c>
    </row>
    <row r="163" spans="1:17" x14ac:dyDescent="0.25">
      <c r="A163" s="66" t="s">
        <v>121</v>
      </c>
      <c r="B163" s="130">
        <v>170622.29</v>
      </c>
      <c r="C163" s="130">
        <v>-355074.95</v>
      </c>
      <c r="D163" s="1">
        <v>93202.33</v>
      </c>
      <c r="E163" s="130">
        <v>151429.5</v>
      </c>
      <c r="F163" s="130">
        <v>472954.71</v>
      </c>
      <c r="G163" s="130">
        <v>-437756.06</v>
      </c>
      <c r="H163" s="130">
        <v>118154.22</v>
      </c>
      <c r="I163" s="130">
        <v>-187544.92</v>
      </c>
      <c r="J163" s="130">
        <v>302364.55</v>
      </c>
      <c r="K163" s="130">
        <v>-12638.04</v>
      </c>
      <c r="L163" s="130">
        <v>36948.42</v>
      </c>
      <c r="M163" s="130">
        <v>41838.61</v>
      </c>
      <c r="N163" s="130">
        <f t="shared" si="121"/>
        <v>533133.88</v>
      </c>
      <c r="P163" s="130">
        <f t="shared" si="122"/>
        <v>44663.206363636367</v>
      </c>
      <c r="Q163" s="130">
        <f t="shared" si="123"/>
        <v>-2824.5963636363667</v>
      </c>
    </row>
    <row r="164" spans="1:17" x14ac:dyDescent="0.25">
      <c r="A164" s="66" t="s">
        <v>122</v>
      </c>
      <c r="B164" s="130">
        <v>-126361.61</v>
      </c>
      <c r="C164" s="130">
        <v>-158081.74</v>
      </c>
      <c r="D164" s="1">
        <v>-293026.18</v>
      </c>
      <c r="E164" s="130">
        <v>10452.620000000001</v>
      </c>
      <c r="F164" s="130">
        <v>175404.24</v>
      </c>
      <c r="G164" s="130">
        <v>14443.59</v>
      </c>
      <c r="H164" s="130">
        <v>-416683.86</v>
      </c>
      <c r="I164" s="130">
        <v>-13303.72</v>
      </c>
      <c r="J164" s="130">
        <v>102066.31</v>
      </c>
      <c r="K164" s="130">
        <v>-57904306.450000003</v>
      </c>
      <c r="L164" s="130">
        <v>-91416.320000000007</v>
      </c>
      <c r="M164" s="130">
        <v>-935275.77</v>
      </c>
      <c r="N164" s="130">
        <f t="shared" si="121"/>
        <v>-391612.67000000004</v>
      </c>
      <c r="P164" s="130">
        <f t="shared" si="122"/>
        <v>49423.918181818182</v>
      </c>
      <c r="Q164" s="130">
        <f t="shared" si="123"/>
        <v>-984699.68818181823</v>
      </c>
    </row>
    <row r="165" spans="1:17" x14ac:dyDescent="0.25">
      <c r="A165" s="66" t="s">
        <v>123</v>
      </c>
      <c r="B165" s="130">
        <v>18221.580000000002</v>
      </c>
      <c r="C165" s="130">
        <v>-143.22</v>
      </c>
      <c r="D165" s="1">
        <v>554.66999999999996</v>
      </c>
      <c r="E165" s="130">
        <v>-4571.0200000000004</v>
      </c>
      <c r="F165" s="130">
        <v>42.88</v>
      </c>
      <c r="G165" s="130">
        <v>-5187.8100000000004</v>
      </c>
      <c r="H165" s="130">
        <v>-12485.88</v>
      </c>
      <c r="I165" s="130">
        <v>-3196.33</v>
      </c>
      <c r="J165" s="130">
        <v>50315.040000000001</v>
      </c>
      <c r="K165" s="130">
        <v>-2189.91</v>
      </c>
      <c r="L165" s="130">
        <v>0</v>
      </c>
      <c r="M165" s="130">
        <v>664.23</v>
      </c>
      <c r="N165" s="130">
        <f t="shared" si="121"/>
        <v>14104.889999999998</v>
      </c>
      <c r="P165" s="130">
        <f t="shared" si="122"/>
        <v>1221.8781818181817</v>
      </c>
      <c r="Q165" s="130">
        <f t="shared" si="123"/>
        <v>-557.64818181818168</v>
      </c>
    </row>
    <row r="166" spans="1:17" x14ac:dyDescent="0.25">
      <c r="A166" s="66" t="s">
        <v>124</v>
      </c>
      <c r="B166" s="130">
        <v>5399.7</v>
      </c>
      <c r="C166" s="130">
        <v>-3149.21</v>
      </c>
      <c r="D166" s="1">
        <v>6568.13</v>
      </c>
      <c r="E166" s="130">
        <v>405.19</v>
      </c>
      <c r="F166" s="130">
        <v>-182869.11</v>
      </c>
      <c r="G166" s="130">
        <v>-387.53</v>
      </c>
      <c r="H166" s="130">
        <v>-158271.75</v>
      </c>
      <c r="I166" s="130">
        <v>0</v>
      </c>
      <c r="J166" s="130">
        <v>-1562</v>
      </c>
      <c r="K166" s="130">
        <v>0</v>
      </c>
      <c r="L166" s="130">
        <v>-225652.85</v>
      </c>
      <c r="M166" s="130">
        <v>-2314.9299999999998</v>
      </c>
      <c r="N166" s="130">
        <f t="shared" si="121"/>
        <v>-173645.3</v>
      </c>
      <c r="P166" s="130">
        <f t="shared" si="122"/>
        <v>-15575.488181818182</v>
      </c>
      <c r="Q166" s="130">
        <f t="shared" si="123"/>
        <v>13260.558181818182</v>
      </c>
    </row>
    <row r="167" spans="1:17" x14ac:dyDescent="0.25">
      <c r="A167" s="66" t="s">
        <v>125</v>
      </c>
      <c r="B167" s="130">
        <v>-57233909.109999999</v>
      </c>
      <c r="C167" s="130">
        <v>-15348255</v>
      </c>
      <c r="D167" s="1">
        <v>-56465326.530000001</v>
      </c>
      <c r="E167" s="130">
        <v>-529777770.38</v>
      </c>
      <c r="F167" s="130">
        <v>-504081581.20999998</v>
      </c>
      <c r="G167" s="130">
        <v>-867014981.53999996</v>
      </c>
      <c r="H167" s="130">
        <v>-299329589.75</v>
      </c>
      <c r="I167" s="130">
        <v>-310814046.86000001</v>
      </c>
      <c r="J167" s="130">
        <v>-122133504.51000001</v>
      </c>
      <c r="K167" s="130">
        <v>-1249266848.22</v>
      </c>
      <c r="L167" s="130">
        <v>-2037846333.24</v>
      </c>
      <c r="M167" s="130">
        <v>-1011004312.12</v>
      </c>
      <c r="N167" s="130">
        <f t="shared" si="121"/>
        <v>-1162906842.23</v>
      </c>
      <c r="P167" s="130">
        <f t="shared" si="122"/>
        <v>-13809320.91909091</v>
      </c>
      <c r="Q167" s="130">
        <f t="shared" si="123"/>
        <v>-997194991.20090914</v>
      </c>
    </row>
    <row r="168" spans="1:17" x14ac:dyDescent="0.25">
      <c r="A168" s="66" t="s">
        <v>429</v>
      </c>
      <c r="B168" s="130">
        <v>0</v>
      </c>
      <c r="C168" s="130">
        <v>0</v>
      </c>
      <c r="D168" s="1">
        <v>0</v>
      </c>
      <c r="E168" s="130">
        <v>0</v>
      </c>
      <c r="F168" s="130">
        <v>0</v>
      </c>
      <c r="G168" s="130">
        <v>-3537.84</v>
      </c>
      <c r="H168" s="130">
        <v>-1594.95</v>
      </c>
      <c r="I168" s="130">
        <v>1143.75</v>
      </c>
      <c r="J168" s="130">
        <v>182.18</v>
      </c>
      <c r="K168" s="130">
        <v>3603.34</v>
      </c>
      <c r="L168" s="130">
        <v>-888.71</v>
      </c>
      <c r="M168" s="130">
        <v>-9720</v>
      </c>
      <c r="N168" s="130">
        <f t="shared" si="121"/>
        <v>0</v>
      </c>
      <c r="P168" s="130"/>
      <c r="Q168" s="130"/>
    </row>
    <row r="169" spans="1:17" x14ac:dyDescent="0.25">
      <c r="A169" s="66" t="s">
        <v>126</v>
      </c>
      <c r="B169" s="130">
        <v>-626650</v>
      </c>
      <c r="C169" s="130">
        <v>-1795920</v>
      </c>
      <c r="D169" s="1">
        <v>-616939.36</v>
      </c>
      <c r="E169" s="130">
        <v>-282900</v>
      </c>
      <c r="F169" s="130">
        <v>-694270</v>
      </c>
      <c r="G169" s="130">
        <v>-1256000</v>
      </c>
      <c r="H169" s="130">
        <v>-513970.45</v>
      </c>
      <c r="I169" s="130">
        <v>-801420</v>
      </c>
      <c r="J169" s="130">
        <v>-444817</v>
      </c>
      <c r="K169" s="130">
        <v>-573800</v>
      </c>
      <c r="L169" s="130">
        <v>-598707.5</v>
      </c>
      <c r="M169" s="130">
        <v>-2909207.01</v>
      </c>
      <c r="N169" s="130">
        <f t="shared" si="121"/>
        <v>-4016679.36</v>
      </c>
      <c r="P169" s="130">
        <f t="shared" si="122"/>
        <v>-100679.30454545455</v>
      </c>
      <c r="Q169" s="130">
        <f t="shared" si="123"/>
        <v>-2808527.7054545451</v>
      </c>
    </row>
    <row r="170" spans="1:17" x14ac:dyDescent="0.25">
      <c r="A170" s="66" t="s">
        <v>127</v>
      </c>
      <c r="B170" s="130">
        <v>2230495.09</v>
      </c>
      <c r="C170" s="130">
        <v>157077.15</v>
      </c>
      <c r="D170" s="1">
        <v>273729.07</v>
      </c>
      <c r="E170" s="130">
        <v>307005.37</v>
      </c>
      <c r="F170" s="130">
        <v>-462524.73</v>
      </c>
      <c r="G170" s="130">
        <v>-239021.09</v>
      </c>
      <c r="H170" s="130">
        <v>-273397.37</v>
      </c>
      <c r="I170" s="130">
        <v>-459773.78</v>
      </c>
      <c r="J170" s="130">
        <v>-12461.47</v>
      </c>
      <c r="K170" s="130">
        <v>44458.32</v>
      </c>
      <c r="L170" s="130">
        <v>322491.38</v>
      </c>
      <c r="M170" s="130">
        <v>582402.27</v>
      </c>
      <c r="N170" s="130">
        <f t="shared" si="121"/>
        <v>2505781.9499999997</v>
      </c>
      <c r="P170" s="130">
        <f t="shared" si="122"/>
        <v>174852.69818181815</v>
      </c>
      <c r="Q170" s="130">
        <f t="shared" si="123"/>
        <v>407549.5718181819</v>
      </c>
    </row>
    <row r="171" spans="1:17" x14ac:dyDescent="0.25">
      <c r="A171" s="66" t="s">
        <v>128</v>
      </c>
      <c r="B171" s="130">
        <v>132999.03</v>
      </c>
      <c r="C171" s="130">
        <v>1861.72</v>
      </c>
      <c r="D171" s="1">
        <v>104613.37</v>
      </c>
      <c r="E171" s="130">
        <v>1487036.54</v>
      </c>
      <c r="F171" s="130">
        <v>-195552.97</v>
      </c>
      <c r="G171" s="130">
        <v>-463703.41</v>
      </c>
      <c r="H171" s="130">
        <v>-388902.1</v>
      </c>
      <c r="I171" s="130">
        <v>-516832.24</v>
      </c>
      <c r="J171" s="130">
        <v>-517332.49</v>
      </c>
      <c r="K171" s="130">
        <v>-228957.51</v>
      </c>
      <c r="L171" s="130">
        <v>72.64</v>
      </c>
      <c r="M171" s="130">
        <v>-392210.65</v>
      </c>
      <c r="N171" s="130">
        <f t="shared" si="121"/>
        <v>1530957.6900000002</v>
      </c>
      <c r="P171" s="130">
        <f t="shared" si="122"/>
        <v>174833.48545454547</v>
      </c>
      <c r="Q171" s="130">
        <f t="shared" si="123"/>
        <v>-567044.1354545455</v>
      </c>
    </row>
    <row r="172" spans="1:17" x14ac:dyDescent="0.25">
      <c r="A172" s="66" t="s">
        <v>129</v>
      </c>
      <c r="B172" s="130">
        <v>48155.93</v>
      </c>
      <c r="C172" s="130">
        <v>51045.58</v>
      </c>
      <c r="D172" s="1">
        <v>0</v>
      </c>
      <c r="E172" s="130">
        <v>12980.84</v>
      </c>
      <c r="F172" s="130">
        <v>75.5</v>
      </c>
      <c r="G172" s="130">
        <v>0</v>
      </c>
      <c r="H172" s="130">
        <v>-13005.34</v>
      </c>
      <c r="I172" s="130">
        <v>20986.639999999999</v>
      </c>
      <c r="J172" s="130">
        <v>20965.86</v>
      </c>
      <c r="K172" s="130">
        <v>25.8</v>
      </c>
      <c r="L172" s="130">
        <v>1200</v>
      </c>
      <c r="M172" s="130">
        <v>34642.01</v>
      </c>
      <c r="N172" s="130">
        <f t="shared" si="121"/>
        <v>112257.85</v>
      </c>
      <c r="P172" s="130">
        <f t="shared" si="122"/>
        <v>7055.9854545454546</v>
      </c>
      <c r="Q172" s="130">
        <f t="shared" si="123"/>
        <v>27586.024545454547</v>
      </c>
    </row>
    <row r="173" spans="1:17" x14ac:dyDescent="0.25">
      <c r="A173" s="66" t="s">
        <v>130</v>
      </c>
      <c r="B173" s="130">
        <v>888979.59</v>
      </c>
      <c r="C173" s="130">
        <v>5499.6</v>
      </c>
      <c r="D173" s="1">
        <v>-2025.65</v>
      </c>
      <c r="E173" s="130">
        <v>-2516.61</v>
      </c>
      <c r="F173" s="130">
        <v>174609.93</v>
      </c>
      <c r="G173" s="130">
        <v>-356.02</v>
      </c>
      <c r="H173" s="130">
        <v>108192.24</v>
      </c>
      <c r="I173" s="130">
        <v>23422.84</v>
      </c>
      <c r="J173" s="130">
        <v>40194.65</v>
      </c>
      <c r="K173" s="130">
        <v>21708.07</v>
      </c>
      <c r="L173" s="130">
        <v>230585.81</v>
      </c>
      <c r="M173" s="130">
        <v>39089.47</v>
      </c>
      <c r="N173" s="130">
        <f t="shared" si="121"/>
        <v>1064546.8599999999</v>
      </c>
      <c r="P173" s="130">
        <f t="shared" si="122"/>
        <v>93223.399090909079</v>
      </c>
      <c r="Q173" s="130">
        <f t="shared" si="123"/>
        <v>-54133.929090909078</v>
      </c>
    </row>
    <row r="174" spans="1:17" x14ac:dyDescent="0.25">
      <c r="A174" s="66" t="s">
        <v>131</v>
      </c>
      <c r="B174" s="130">
        <v>-241780</v>
      </c>
      <c r="C174" s="130">
        <v>0</v>
      </c>
      <c r="D174" s="1">
        <v>-42034.45</v>
      </c>
      <c r="E174" s="130">
        <f>-916350</f>
        <v>-916350</v>
      </c>
      <c r="F174" s="130">
        <v>-48550</v>
      </c>
      <c r="G174" s="130">
        <v>0</v>
      </c>
      <c r="H174" s="130">
        <v>-48901.66</v>
      </c>
      <c r="I174" s="130">
        <v>-228900</v>
      </c>
      <c r="J174" s="130">
        <v>-1036340</v>
      </c>
      <c r="K174" s="130">
        <v>-1764374.14</v>
      </c>
      <c r="L174" s="130">
        <v>-344926</v>
      </c>
      <c r="M174" s="130">
        <v>-1433743.6</v>
      </c>
      <c r="N174" s="130">
        <f t="shared" si="121"/>
        <v>-1248714.45</v>
      </c>
      <c r="P174" s="130">
        <f t="shared" si="122"/>
        <v>16820.831818181832</v>
      </c>
      <c r="Q174" s="130">
        <f t="shared" si="123"/>
        <v>-1450564.4318181819</v>
      </c>
    </row>
    <row r="175" spans="1:17" x14ac:dyDescent="0.25">
      <c r="A175" s="66" t="s">
        <v>132</v>
      </c>
      <c r="B175" s="130">
        <v>0</v>
      </c>
      <c r="C175" s="130">
        <v>800</v>
      </c>
      <c r="D175" s="1">
        <v>0</v>
      </c>
      <c r="E175" s="130">
        <v>0</v>
      </c>
      <c r="F175" s="130">
        <v>0</v>
      </c>
      <c r="G175" s="130">
        <v>0</v>
      </c>
      <c r="H175" s="130">
        <v>0</v>
      </c>
      <c r="I175" s="130">
        <v>0</v>
      </c>
      <c r="J175" s="130">
        <v>0</v>
      </c>
      <c r="K175" s="130">
        <v>0</v>
      </c>
      <c r="L175" s="130">
        <v>-6400</v>
      </c>
      <c r="M175" s="130">
        <v>0</v>
      </c>
      <c r="N175" s="130">
        <f t="shared" si="121"/>
        <v>800</v>
      </c>
      <c r="P175" s="130">
        <f t="shared" si="122"/>
        <v>72.727272727272734</v>
      </c>
      <c r="Q175" s="130">
        <f t="shared" si="123"/>
        <v>-72.727272727272734</v>
      </c>
    </row>
    <row r="176" spans="1:17" x14ac:dyDescent="0.25">
      <c r="A176" s="66" t="s">
        <v>133</v>
      </c>
      <c r="B176" s="130">
        <v>2682.05</v>
      </c>
      <c r="C176" s="130">
        <v>-1617.38</v>
      </c>
      <c r="D176" s="1">
        <v>5756.07</v>
      </c>
      <c r="E176" s="130">
        <v>9048.32</v>
      </c>
      <c r="F176" s="130">
        <v>11168.19</v>
      </c>
      <c r="G176" s="130">
        <v>3721.59</v>
      </c>
      <c r="H176" s="130">
        <v>6172.25</v>
      </c>
      <c r="I176" s="130">
        <v>7102.98</v>
      </c>
      <c r="J176" s="130">
        <v>7169.65</v>
      </c>
      <c r="K176" s="130">
        <v>9614.02</v>
      </c>
      <c r="L176" s="130">
        <v>6881.28</v>
      </c>
      <c r="M176" s="130">
        <v>8685.4500000000007</v>
      </c>
      <c r="N176" s="130">
        <f t="shared" si="121"/>
        <v>27037.25</v>
      </c>
      <c r="P176" s="130">
        <f t="shared" si="122"/>
        <v>1668.3454545454545</v>
      </c>
      <c r="Q176" s="130">
        <f t="shared" si="123"/>
        <v>7017.1045454545465</v>
      </c>
    </row>
    <row r="177" spans="1:17" x14ac:dyDescent="0.25">
      <c r="A177" s="66" t="s">
        <v>134</v>
      </c>
      <c r="B177" s="130">
        <v>5000</v>
      </c>
      <c r="C177" s="130">
        <v>16772.5</v>
      </c>
      <c r="D177" s="1">
        <v>-6772.5</v>
      </c>
      <c r="E177" s="130">
        <v>5000</v>
      </c>
      <c r="F177" s="130">
        <v>5000</v>
      </c>
      <c r="G177" s="130">
        <v>5000</v>
      </c>
      <c r="H177" s="130">
        <v>5000</v>
      </c>
      <c r="I177" s="130">
        <v>5000</v>
      </c>
      <c r="J177" s="130">
        <v>5000</v>
      </c>
      <c r="K177" s="130">
        <v>5000</v>
      </c>
      <c r="L177" s="130">
        <v>5000</v>
      </c>
      <c r="M177" s="130">
        <v>5000</v>
      </c>
      <c r="N177" s="130">
        <f t="shared" si="121"/>
        <v>25000</v>
      </c>
      <c r="P177" s="130">
        <f t="shared" si="122"/>
        <v>1818.1818181818182</v>
      </c>
      <c r="Q177" s="130">
        <f t="shared" si="123"/>
        <v>3181.818181818182</v>
      </c>
    </row>
    <row r="178" spans="1:17" x14ac:dyDescent="0.25">
      <c r="A178" s="66" t="s">
        <v>135</v>
      </c>
      <c r="B178" s="130">
        <v>0</v>
      </c>
      <c r="C178" s="130">
        <v>0</v>
      </c>
      <c r="D178" s="1">
        <v>0</v>
      </c>
      <c r="E178" s="130">
        <v>0</v>
      </c>
      <c r="F178" s="130">
        <v>0</v>
      </c>
      <c r="G178" s="130">
        <v>0</v>
      </c>
      <c r="H178" s="130">
        <v>0</v>
      </c>
      <c r="I178" s="130">
        <v>0</v>
      </c>
      <c r="J178" s="130">
        <v>160</v>
      </c>
      <c r="K178" s="130"/>
      <c r="L178" s="130">
        <v>0</v>
      </c>
      <c r="M178" s="130">
        <v>0</v>
      </c>
      <c r="N178" s="130">
        <f t="shared" si="121"/>
        <v>0</v>
      </c>
      <c r="P178" s="130">
        <f t="shared" si="122"/>
        <v>0</v>
      </c>
      <c r="Q178" s="130">
        <f t="shared" si="123"/>
        <v>0</v>
      </c>
    </row>
    <row r="179" spans="1:17" x14ac:dyDescent="0.25">
      <c r="A179" s="66" t="s">
        <v>136</v>
      </c>
      <c r="B179" s="130">
        <v>20620</v>
      </c>
      <c r="C179" s="130">
        <v>1150</v>
      </c>
      <c r="D179" s="1">
        <v>0</v>
      </c>
      <c r="E179" s="130">
        <v>0</v>
      </c>
      <c r="F179" s="130">
        <v>158944.68</v>
      </c>
      <c r="G179" s="130">
        <v>1357.06</v>
      </c>
      <c r="H179" s="130">
        <v>-3040</v>
      </c>
      <c r="I179" s="130">
        <v>10319.799999999999</v>
      </c>
      <c r="J179" s="130">
        <v>1091.1099999999999</v>
      </c>
      <c r="K179" s="130">
        <v>294.55</v>
      </c>
      <c r="L179" s="130">
        <v>-499.08</v>
      </c>
      <c r="M179" s="130">
        <v>30446.91</v>
      </c>
      <c r="N179" s="130">
        <f t="shared" si="121"/>
        <v>180714.68</v>
      </c>
      <c r="P179" s="130">
        <f t="shared" si="122"/>
        <v>13660.706363636362</v>
      </c>
      <c r="Q179" s="130">
        <f t="shared" si="123"/>
        <v>16786.203636363636</v>
      </c>
    </row>
    <row r="180" spans="1:17" x14ac:dyDescent="0.25">
      <c r="A180" s="66" t="s">
        <v>137</v>
      </c>
      <c r="B180" s="130">
        <v>2910296.13</v>
      </c>
      <c r="C180" s="130">
        <v>1651163.39</v>
      </c>
      <c r="D180" s="1">
        <v>-414097.59</v>
      </c>
      <c r="E180" s="135">
        <v>959937.83</v>
      </c>
      <c r="F180" s="135">
        <v>-3014399.59</v>
      </c>
      <c r="G180" s="130">
        <v>3160990.11</v>
      </c>
      <c r="H180" s="130">
        <v>-6973390.4900000002</v>
      </c>
      <c r="I180" s="130">
        <v>-1655327.37</v>
      </c>
      <c r="J180" s="130">
        <v>-13587496.02</v>
      </c>
      <c r="K180" s="130">
        <v>0</v>
      </c>
      <c r="L180" s="130">
        <v>0</v>
      </c>
      <c r="M180" s="130">
        <v>0</v>
      </c>
      <c r="N180" s="130">
        <f t="shared" si="121"/>
        <v>2092900.17</v>
      </c>
      <c r="P180" s="152">
        <f t="shared" si="122"/>
        <v>190263.65181818182</v>
      </c>
      <c r="Q180" s="152">
        <f t="shared" si="123"/>
        <v>-190263.65181818182</v>
      </c>
    </row>
    <row r="181" spans="1:17" x14ac:dyDescent="0.25">
      <c r="A181" s="66" t="s">
        <v>138</v>
      </c>
      <c r="B181" s="130">
        <v>28233.33</v>
      </c>
      <c r="C181" s="130">
        <v>28233.33</v>
      </c>
      <c r="D181" s="1">
        <v>28595.83</v>
      </c>
      <c r="E181" s="130">
        <v>28233.33</v>
      </c>
      <c r="F181" s="130">
        <v>28233.33</v>
      </c>
      <c r="G181" s="130">
        <v>7627.91</v>
      </c>
      <c r="H181" s="130">
        <v>28233.33</v>
      </c>
      <c r="I181" s="130">
        <v>28233.33</v>
      </c>
      <c r="J181" s="130">
        <v>28233.33</v>
      </c>
      <c r="K181" s="130">
        <v>28233.33</v>
      </c>
      <c r="L181" s="130">
        <v>24925.040000000001</v>
      </c>
      <c r="M181" s="130">
        <v>24066.46</v>
      </c>
      <c r="N181" s="130">
        <f t="shared" si="121"/>
        <v>141529.15000000002</v>
      </c>
      <c r="P181" s="130">
        <f t="shared" si="122"/>
        <v>10678.426363636367</v>
      </c>
      <c r="Q181" s="130">
        <f t="shared" si="123"/>
        <v>13388.033636363632</v>
      </c>
    </row>
    <row r="182" spans="1:17" x14ac:dyDescent="0.25">
      <c r="A182" s="66" t="s">
        <v>139</v>
      </c>
      <c r="B182" s="130">
        <v>0</v>
      </c>
      <c r="C182" s="130">
        <v>878</v>
      </c>
      <c r="D182" s="1">
        <v>0</v>
      </c>
      <c r="E182" s="130">
        <v>0</v>
      </c>
      <c r="F182" s="130">
        <v>620</v>
      </c>
      <c r="G182" s="130">
        <v>0</v>
      </c>
      <c r="H182" s="130">
        <v>12</v>
      </c>
      <c r="I182" s="130">
        <v>0</v>
      </c>
      <c r="J182" s="130">
        <v>0</v>
      </c>
      <c r="K182" s="130">
        <v>0</v>
      </c>
      <c r="L182" s="130">
        <v>0</v>
      </c>
      <c r="M182" s="130">
        <v>303.94</v>
      </c>
      <c r="N182" s="130">
        <f t="shared" si="121"/>
        <v>1498</v>
      </c>
      <c r="P182" s="130">
        <f t="shared" si="122"/>
        <v>108.55090909090909</v>
      </c>
      <c r="Q182" s="130">
        <f t="shared" si="123"/>
        <v>195.3890909090909</v>
      </c>
    </row>
    <row r="183" spans="1:17" x14ac:dyDescent="0.25">
      <c r="A183" s="66" t="s">
        <v>140</v>
      </c>
      <c r="B183" s="130">
        <v>935.34</v>
      </c>
      <c r="C183" s="130">
        <v>6097.82</v>
      </c>
      <c r="D183" s="1">
        <v>0</v>
      </c>
      <c r="E183" s="130">
        <v>924</v>
      </c>
      <c r="F183" s="130">
        <v>0</v>
      </c>
      <c r="G183" s="130">
        <v>0</v>
      </c>
      <c r="H183" s="130">
        <v>0</v>
      </c>
      <c r="I183" s="130">
        <v>6764.11</v>
      </c>
      <c r="J183" s="130">
        <v>0</v>
      </c>
      <c r="K183" s="130">
        <v>6256.21</v>
      </c>
      <c r="L183" s="130">
        <v>0</v>
      </c>
      <c r="M183" s="130">
        <v>0</v>
      </c>
      <c r="N183" s="130">
        <f t="shared" si="121"/>
        <v>7957.16</v>
      </c>
      <c r="P183" s="130">
        <f t="shared" si="122"/>
        <v>723.37818181818182</v>
      </c>
      <c r="Q183" s="130">
        <f t="shared" si="123"/>
        <v>-723.37818181818182</v>
      </c>
    </row>
    <row r="184" spans="1:17" x14ac:dyDescent="0.25">
      <c r="A184" s="66" t="s">
        <v>141</v>
      </c>
      <c r="B184" s="130">
        <v>13984.01</v>
      </c>
      <c r="C184" s="130">
        <v>16090.71</v>
      </c>
      <c r="D184" s="1">
        <v>17832.23</v>
      </c>
      <c r="E184" s="130">
        <v>16363.64</v>
      </c>
      <c r="F184" s="130">
        <v>18902.009999999998</v>
      </c>
      <c r="G184" s="130">
        <v>15846.75</v>
      </c>
      <c r="H184" s="130">
        <v>13522.84</v>
      </c>
      <c r="I184" s="130">
        <v>14007.24</v>
      </c>
      <c r="J184" s="130">
        <v>8848.61</v>
      </c>
      <c r="K184" s="130">
        <v>22497</v>
      </c>
      <c r="L184" s="130">
        <v>14362.47</v>
      </c>
      <c r="M184" s="130">
        <v>8554.26</v>
      </c>
      <c r="N184" s="130">
        <f t="shared" si="121"/>
        <v>83172.599999999991</v>
      </c>
      <c r="P184" s="130">
        <f t="shared" si="122"/>
        <v>6783.4854545454546</v>
      </c>
      <c r="Q184" s="130">
        <f t="shared" si="123"/>
        <v>1770.7745454545457</v>
      </c>
    </row>
    <row r="185" spans="1:17" x14ac:dyDescent="0.25">
      <c r="A185" s="66" t="s">
        <v>142</v>
      </c>
      <c r="B185" s="130">
        <v>0</v>
      </c>
      <c r="C185" s="130">
        <v>2779.92</v>
      </c>
      <c r="D185" s="1">
        <v>3901.48</v>
      </c>
      <c r="E185" s="130">
        <v>3738.32</v>
      </c>
      <c r="F185" s="130">
        <v>2514.86</v>
      </c>
      <c r="G185" s="130">
        <v>3378.54</v>
      </c>
      <c r="H185" s="130">
        <v>1013.2</v>
      </c>
      <c r="I185" s="130">
        <v>2380.56</v>
      </c>
      <c r="J185" s="130">
        <v>1769.04</v>
      </c>
      <c r="K185" s="130">
        <v>5497</v>
      </c>
      <c r="L185" s="130">
        <v>5210.08</v>
      </c>
      <c r="M185" s="130">
        <v>4461.68</v>
      </c>
      <c r="N185" s="130">
        <f t="shared" si="121"/>
        <v>12934.58</v>
      </c>
      <c r="P185" s="130">
        <f t="shared" si="122"/>
        <v>770.26363636363635</v>
      </c>
      <c r="Q185" s="130">
        <f t="shared" si="123"/>
        <v>3691.4163636363637</v>
      </c>
    </row>
    <row r="186" spans="1:17" x14ac:dyDescent="0.25">
      <c r="A186" s="66" t="s">
        <v>143</v>
      </c>
      <c r="B186" s="130">
        <v>0</v>
      </c>
      <c r="C186" s="130">
        <v>0</v>
      </c>
      <c r="D186" s="1">
        <v>0</v>
      </c>
      <c r="E186" s="130">
        <v>0</v>
      </c>
      <c r="F186" s="130">
        <v>-72</v>
      </c>
      <c r="G186" s="130">
        <v>0</v>
      </c>
      <c r="H186" s="130">
        <v>-72</v>
      </c>
      <c r="I186" s="130">
        <v>-198</v>
      </c>
      <c r="J186" s="130">
        <v>-309.95999999999998</v>
      </c>
      <c r="K186" s="130">
        <v>-250</v>
      </c>
      <c r="L186" s="130">
        <v>-1122</v>
      </c>
      <c r="M186" s="130">
        <v>-180</v>
      </c>
      <c r="N186" s="130">
        <f t="shared" si="121"/>
        <v>-72</v>
      </c>
      <c r="P186" s="130">
        <f t="shared" si="122"/>
        <v>9.8181818181818183</v>
      </c>
      <c r="Q186" s="130">
        <f t="shared" si="123"/>
        <v>-189.81818181818181</v>
      </c>
    </row>
    <row r="187" spans="1:17" x14ac:dyDescent="0.25">
      <c r="A187" s="66" t="s">
        <v>144</v>
      </c>
      <c r="B187" s="130">
        <v>1.87</v>
      </c>
      <c r="C187" s="130">
        <v>0</v>
      </c>
      <c r="D187" s="130">
        <v>-115.12</v>
      </c>
      <c r="E187" s="130">
        <v>3216.06</v>
      </c>
      <c r="F187" s="130">
        <v>-2308</v>
      </c>
      <c r="G187" s="130">
        <v>0</v>
      </c>
      <c r="H187" s="130">
        <v>0</v>
      </c>
      <c r="I187" s="130">
        <v>0</v>
      </c>
      <c r="J187" s="130">
        <v>0</v>
      </c>
      <c r="K187" s="130">
        <v>0</v>
      </c>
      <c r="L187" s="130">
        <v>0.4</v>
      </c>
      <c r="M187" s="130">
        <v>0</v>
      </c>
      <c r="N187" s="130">
        <f t="shared" si="121"/>
        <v>794.81</v>
      </c>
      <c r="P187" s="130">
        <f t="shared" si="122"/>
        <v>72.25545454545454</v>
      </c>
      <c r="Q187" s="130">
        <f t="shared" si="123"/>
        <v>-72.25545454545454</v>
      </c>
    </row>
    <row r="188" spans="1:17" x14ac:dyDescent="0.25">
      <c r="A188" s="66" t="s">
        <v>145</v>
      </c>
      <c r="B188" s="130">
        <v>655.42</v>
      </c>
      <c r="C188" s="130">
        <v>-345.3</v>
      </c>
      <c r="D188" s="130">
        <v>-1325.46</v>
      </c>
      <c r="E188" s="130">
        <v>-3163.28</v>
      </c>
      <c r="F188" s="130">
        <v>-3813.42</v>
      </c>
      <c r="G188" s="130">
        <v>-5151.74</v>
      </c>
      <c r="H188" s="130">
        <v>-2238.48</v>
      </c>
      <c r="I188" s="130">
        <v>-4687.5200000000004</v>
      </c>
      <c r="J188" s="130">
        <v>-3915.61</v>
      </c>
      <c r="K188" s="130">
        <v>-4595.1400000000003</v>
      </c>
      <c r="L188" s="130">
        <v>-200.15</v>
      </c>
      <c r="M188" s="130">
        <v>-3129.39</v>
      </c>
      <c r="N188" s="130">
        <f t="shared" si="121"/>
        <v>-7992.0400000000009</v>
      </c>
      <c r="P188" s="130">
        <f t="shared" si="122"/>
        <v>-442.05909090909103</v>
      </c>
      <c r="Q188" s="130">
        <f t="shared" si="123"/>
        <v>-2687.3309090909088</v>
      </c>
    </row>
    <row r="189" spans="1:17" ht="15.6" customHeight="1" x14ac:dyDescent="0.25">
      <c r="A189" s="66" t="s">
        <v>146</v>
      </c>
      <c r="B189" s="130">
        <v>-260</v>
      </c>
      <c r="C189" s="130">
        <v>0</v>
      </c>
      <c r="D189" s="130">
        <v>-15</v>
      </c>
      <c r="E189" s="130">
        <f>-15</f>
        <v>-15</v>
      </c>
      <c r="F189" s="130">
        <v>0</v>
      </c>
      <c r="G189" s="130">
        <v>0</v>
      </c>
      <c r="H189" s="130">
        <v>-52.5</v>
      </c>
      <c r="I189" s="130">
        <v>0</v>
      </c>
      <c r="J189" s="130">
        <v>-15</v>
      </c>
      <c r="K189" s="130">
        <v>0</v>
      </c>
      <c r="L189" s="130">
        <v>0</v>
      </c>
      <c r="M189" s="130">
        <v>0</v>
      </c>
      <c r="N189" s="130">
        <f t="shared" si="121"/>
        <v>-290</v>
      </c>
      <c r="P189" s="130">
        <f t="shared" si="122"/>
        <v>-26.363636363636363</v>
      </c>
      <c r="Q189" s="130">
        <f t="shared" si="123"/>
        <v>26.363636363636363</v>
      </c>
    </row>
    <row r="190" spans="1:17" ht="15.6" customHeight="1" x14ac:dyDescent="0.25">
      <c r="A190" s="66" t="s">
        <v>147</v>
      </c>
      <c r="B190" s="130">
        <v>0</v>
      </c>
      <c r="C190" s="130">
        <v>0</v>
      </c>
      <c r="D190" s="130">
        <v>0</v>
      </c>
      <c r="E190" s="130">
        <v>168314.67</v>
      </c>
      <c r="F190" s="130">
        <v>0</v>
      </c>
      <c r="G190" s="130">
        <v>1178.56</v>
      </c>
      <c r="H190" s="130">
        <v>707.78</v>
      </c>
      <c r="I190" s="130">
        <v>73.5</v>
      </c>
      <c r="J190" s="130">
        <v>3004.54</v>
      </c>
      <c r="K190" s="130">
        <v>336</v>
      </c>
      <c r="L190" s="130">
        <v>1452.89</v>
      </c>
      <c r="M190" s="130">
        <v>180.51</v>
      </c>
      <c r="N190" s="130">
        <f t="shared" si="121"/>
        <v>168314.67</v>
      </c>
      <c r="P190" s="130"/>
      <c r="Q190" s="130"/>
    </row>
    <row r="191" spans="1:17" ht="15.6" customHeight="1" x14ac:dyDescent="0.25">
      <c r="A191" s="66" t="s">
        <v>453</v>
      </c>
      <c r="C191" s="130"/>
      <c r="D191" s="130"/>
      <c r="E191" s="130"/>
      <c r="F191" s="130"/>
      <c r="G191" s="130">
        <v>0</v>
      </c>
      <c r="H191" s="130">
        <v>0</v>
      </c>
      <c r="I191" s="130">
        <v>3682.32</v>
      </c>
      <c r="J191" s="130">
        <v>3682.32</v>
      </c>
      <c r="K191" s="130">
        <v>0</v>
      </c>
      <c r="L191" s="130">
        <v>-3.46</v>
      </c>
      <c r="M191" s="130">
        <v>4909.76</v>
      </c>
      <c r="N191" s="130">
        <f t="shared" si="121"/>
        <v>0</v>
      </c>
      <c r="O191" s="153"/>
      <c r="P191" s="130"/>
      <c r="Q191" s="130"/>
    </row>
    <row r="192" spans="1:17" ht="15.6" customHeight="1" x14ac:dyDescent="0.25">
      <c r="A192" s="66" t="s">
        <v>148</v>
      </c>
      <c r="B192" s="130">
        <v>0</v>
      </c>
      <c r="C192" s="130">
        <v>0</v>
      </c>
      <c r="D192" s="130">
        <v>0</v>
      </c>
      <c r="E192" s="130">
        <v>12675.04</v>
      </c>
      <c r="F192" s="130">
        <v>-0.02</v>
      </c>
      <c r="G192" s="130">
        <v>0</v>
      </c>
      <c r="H192" s="130">
        <v>164595.71</v>
      </c>
      <c r="I192" s="130">
        <v>146739.68</v>
      </c>
      <c r="J192" s="130">
        <v>2220349.09</v>
      </c>
      <c r="K192" s="130">
        <v>1271914.67</v>
      </c>
      <c r="L192" s="130">
        <v>3238726.03</v>
      </c>
      <c r="M192" s="130">
        <v>2984512.66</v>
      </c>
      <c r="N192" s="130">
        <f t="shared" si="121"/>
        <v>12675.02</v>
      </c>
      <c r="P192" s="130"/>
      <c r="Q192" s="130"/>
    </row>
    <row r="193" spans="1:17" ht="15.6" customHeight="1" x14ac:dyDescent="0.25">
      <c r="A193" s="66" t="s">
        <v>447</v>
      </c>
      <c r="B193" s="130">
        <v>0</v>
      </c>
      <c r="C193" s="130">
        <v>0</v>
      </c>
      <c r="D193" s="130">
        <v>0</v>
      </c>
      <c r="E193" s="130">
        <v>0</v>
      </c>
      <c r="F193" s="130">
        <v>0</v>
      </c>
      <c r="G193" s="130">
        <v>0</v>
      </c>
      <c r="H193" s="130">
        <v>-4850.6000000000004</v>
      </c>
      <c r="I193" s="130">
        <v>-8842.1</v>
      </c>
      <c r="J193" s="130">
        <v>-211499.92</v>
      </c>
      <c r="K193" s="130">
        <v>324145.44</v>
      </c>
      <c r="L193" s="130">
        <v>-140290.01</v>
      </c>
      <c r="M193" s="130">
        <v>-3866.63</v>
      </c>
      <c r="N193" s="130">
        <f t="shared" si="121"/>
        <v>0</v>
      </c>
      <c r="P193" s="130"/>
      <c r="Q193" s="130"/>
    </row>
    <row r="194" spans="1:17" ht="15.6" customHeight="1" x14ac:dyDescent="0.25">
      <c r="A194" s="66" t="s">
        <v>454</v>
      </c>
      <c r="C194" s="130"/>
      <c r="D194" s="130"/>
      <c r="E194" s="130"/>
      <c r="F194" s="130"/>
      <c r="G194" s="130">
        <v>0</v>
      </c>
      <c r="H194" s="130">
        <v>0</v>
      </c>
      <c r="I194" s="130">
        <v>-686.87</v>
      </c>
      <c r="J194" s="130">
        <v>-1890.15</v>
      </c>
      <c r="K194" s="130">
        <v>0</v>
      </c>
      <c r="L194" s="130">
        <v>8135.59</v>
      </c>
      <c r="M194" s="130">
        <v>4008.97</v>
      </c>
      <c r="N194" s="130">
        <f t="shared" si="121"/>
        <v>0</v>
      </c>
      <c r="O194" s="153"/>
      <c r="P194" s="130"/>
      <c r="Q194" s="130"/>
    </row>
    <row r="195" spans="1:17" ht="15.6" customHeight="1" x14ac:dyDescent="0.25">
      <c r="A195" s="66" t="s">
        <v>427</v>
      </c>
      <c r="B195" s="130">
        <v>0</v>
      </c>
      <c r="C195" s="130">
        <v>0</v>
      </c>
      <c r="D195" s="130">
        <v>0</v>
      </c>
      <c r="E195" s="130">
        <v>0</v>
      </c>
      <c r="F195" s="130">
        <v>0</v>
      </c>
      <c r="G195" s="130">
        <v>29.46</v>
      </c>
      <c r="H195" s="130">
        <v>61.84</v>
      </c>
      <c r="I195" s="130">
        <v>0</v>
      </c>
      <c r="J195" s="130">
        <v>0</v>
      </c>
      <c r="K195" s="130">
        <v>0</v>
      </c>
      <c r="L195" s="130">
        <v>0</v>
      </c>
      <c r="M195" s="130">
        <v>0</v>
      </c>
      <c r="N195" s="130">
        <f t="shared" si="121"/>
        <v>0</v>
      </c>
      <c r="P195" s="130"/>
      <c r="Q195" s="130"/>
    </row>
    <row r="196" spans="1:17" ht="15.6" customHeight="1" x14ac:dyDescent="0.25">
      <c r="A196" s="66" t="s">
        <v>428</v>
      </c>
      <c r="B196" s="130">
        <v>0</v>
      </c>
      <c r="C196" s="130">
        <v>0</v>
      </c>
      <c r="D196" s="130">
        <v>0</v>
      </c>
      <c r="E196" s="130">
        <v>0</v>
      </c>
      <c r="F196" s="130">
        <v>0</v>
      </c>
      <c r="G196" s="130">
        <v>0</v>
      </c>
      <c r="H196" s="130">
        <v>100.32</v>
      </c>
      <c r="I196" s="130">
        <v>-1577.17</v>
      </c>
      <c r="J196" s="130">
        <v>81.47</v>
      </c>
      <c r="K196" s="130">
        <v>-732.39</v>
      </c>
      <c r="L196" s="130">
        <v>0</v>
      </c>
      <c r="M196" s="130">
        <v>-382.57</v>
      </c>
      <c r="N196" s="130">
        <f t="shared" ref="N196:N198" si="124">SUM(B196:F196)</f>
        <v>0</v>
      </c>
      <c r="P196" s="130"/>
      <c r="Q196" s="130"/>
    </row>
    <row r="197" spans="1:17" ht="15.6" customHeight="1" x14ac:dyDescent="0.25">
      <c r="A197" s="66" t="s">
        <v>443</v>
      </c>
      <c r="B197" s="130">
        <v>0</v>
      </c>
      <c r="C197" s="130">
        <v>0</v>
      </c>
      <c r="D197" s="130">
        <v>0</v>
      </c>
      <c r="E197" s="130">
        <v>0</v>
      </c>
      <c r="F197" s="130">
        <v>0</v>
      </c>
      <c r="G197" s="130">
        <v>0</v>
      </c>
      <c r="H197" s="130">
        <v>168</v>
      </c>
      <c r="I197" s="130">
        <v>0</v>
      </c>
      <c r="J197" s="130">
        <v>0</v>
      </c>
      <c r="K197" s="130">
        <v>0</v>
      </c>
      <c r="L197" s="130">
        <v>0</v>
      </c>
      <c r="M197" s="130">
        <v>0</v>
      </c>
      <c r="N197" s="130">
        <f t="shared" si="124"/>
        <v>0</v>
      </c>
      <c r="P197" s="130"/>
      <c r="Q197" s="130"/>
    </row>
    <row r="198" spans="1:17" ht="15.6" customHeight="1" x14ac:dyDescent="0.25">
      <c r="A198" s="66" t="s">
        <v>532</v>
      </c>
      <c r="B198" s="130">
        <v>0</v>
      </c>
      <c r="C198" s="130">
        <v>0</v>
      </c>
      <c r="D198" s="130">
        <v>0</v>
      </c>
      <c r="E198" s="130">
        <v>0</v>
      </c>
      <c r="F198" s="130">
        <v>0</v>
      </c>
      <c r="G198" s="130">
        <v>0</v>
      </c>
      <c r="H198" s="130">
        <v>0</v>
      </c>
      <c r="I198" s="130">
        <v>0</v>
      </c>
      <c r="J198" s="130">
        <v>0</v>
      </c>
      <c r="K198" s="130">
        <v>0</v>
      </c>
      <c r="L198" s="130">
        <v>-45.83</v>
      </c>
      <c r="M198" s="130">
        <v>150.9</v>
      </c>
      <c r="N198" s="130">
        <f t="shared" si="124"/>
        <v>0</v>
      </c>
      <c r="P198" s="130"/>
      <c r="Q198" s="130"/>
    </row>
    <row r="199" spans="1:17" s="74" customFormat="1" x14ac:dyDescent="0.25">
      <c r="A199" s="74" t="s">
        <v>149</v>
      </c>
      <c r="B199" s="154">
        <f>SUM(B131:B198)</f>
        <v>584692821.1099999</v>
      </c>
      <c r="C199" s="154">
        <f t="shared" ref="C199:F199" si="125">SUM(C131:C196)</f>
        <v>1326064718.7600005</v>
      </c>
      <c r="D199" s="154">
        <f t="shared" si="125"/>
        <v>407886159.28000009</v>
      </c>
      <c r="E199" s="154">
        <f>SUM(E131:E198)</f>
        <v>144492603.92999986</v>
      </c>
      <c r="F199" s="154">
        <f t="shared" si="125"/>
        <v>212099725.4200002</v>
      </c>
      <c r="G199" s="154">
        <f t="shared" ref="G199:L199" si="126">SUM(G131:G198)</f>
        <v>355772504.34000009</v>
      </c>
      <c r="H199" s="154">
        <f t="shared" si="126"/>
        <v>291293762.78999996</v>
      </c>
      <c r="I199" s="154">
        <f t="shared" si="126"/>
        <v>454018087.06999999</v>
      </c>
      <c r="J199" s="154">
        <f t="shared" si="126"/>
        <v>336223545.79000008</v>
      </c>
      <c r="K199" s="154">
        <f t="shared" si="126"/>
        <v>149782494.22999993</v>
      </c>
      <c r="L199" s="154">
        <f t="shared" si="126"/>
        <v>225484150.4199999</v>
      </c>
      <c r="M199" s="154">
        <f>SUM(M131:M198)</f>
        <v>192927368.80999973</v>
      </c>
      <c r="N199" s="154">
        <f>SUM(N131:N198)</f>
        <v>2675236028.5</v>
      </c>
      <c r="P199" s="154">
        <f t="shared" si="122"/>
        <v>225664423.60818183</v>
      </c>
      <c r="Q199" s="154">
        <f t="shared" si="123"/>
        <v>-32737054.7981821</v>
      </c>
    </row>
    <row r="200" spans="1:17" s="74" customFormat="1" ht="15.75" thickBot="1" x14ac:dyDescent="0.3">
      <c r="A200" s="74" t="s">
        <v>150</v>
      </c>
      <c r="B200" s="151">
        <f t="shared" ref="B200:G200" si="127">B129-B199</f>
        <v>697510.16000008583</v>
      </c>
      <c r="C200" s="151">
        <f t="shared" si="127"/>
        <v>624547.37999987602</v>
      </c>
      <c r="D200" s="151">
        <f t="shared" si="127"/>
        <v>769919.81999999285</v>
      </c>
      <c r="E200" s="151">
        <f t="shared" si="127"/>
        <v>477580.01000010967</v>
      </c>
      <c r="F200" s="151">
        <f t="shared" si="127"/>
        <v>386606.16999977827</v>
      </c>
      <c r="G200" s="151">
        <f t="shared" si="127"/>
        <v>532374.25999993086</v>
      </c>
      <c r="H200" s="151">
        <f t="shared" ref="H200" si="128">H129-H199</f>
        <v>339887.33999991417</v>
      </c>
      <c r="I200" s="151">
        <f>I129-I199</f>
        <v>406594.80999988317</v>
      </c>
      <c r="J200" s="151">
        <f>J129-J199</f>
        <v>328169.66999995708</v>
      </c>
      <c r="K200" s="151">
        <f>K129-K199</f>
        <v>519535.71999999881</v>
      </c>
      <c r="L200" s="151">
        <f>L129-L199</f>
        <v>199948.67000007629</v>
      </c>
      <c r="M200" s="151">
        <f>M129-M199</f>
        <v>272859.92000022531</v>
      </c>
      <c r="N200" s="151">
        <f>SUM(B200:F200)</f>
        <v>2956163.5399998426</v>
      </c>
      <c r="P200" s="151">
        <f t="shared" si="122"/>
        <v>243936.69272723794</v>
      </c>
      <c r="Q200" s="151">
        <f t="shared" si="123"/>
        <v>28923.227272987366</v>
      </c>
    </row>
    <row r="201" spans="1:17" ht="15.75" thickTop="1" x14ac:dyDescent="0.25">
      <c r="C201" s="130"/>
      <c r="D201" s="130"/>
      <c r="E201" s="130"/>
      <c r="F201" s="130"/>
      <c r="G201" s="130"/>
      <c r="H201" s="130"/>
      <c r="I201" s="130"/>
      <c r="J201" s="130"/>
      <c r="K201" s="130"/>
      <c r="L201" s="130"/>
      <c r="M201" s="130"/>
      <c r="N201" s="130"/>
      <c r="P201" s="130">
        <f t="shared" si="122"/>
        <v>0</v>
      </c>
      <c r="Q201" s="130">
        <f t="shared" si="123"/>
        <v>0</v>
      </c>
    </row>
    <row r="202" spans="1:17" x14ac:dyDescent="0.25">
      <c r="A202" s="66" t="s">
        <v>151</v>
      </c>
      <c r="B202" s="158">
        <v>321540.08</v>
      </c>
      <c r="C202" s="130">
        <v>265057.82</v>
      </c>
      <c r="D202" s="130">
        <v>284816.11</v>
      </c>
      <c r="E202" s="130">
        <v>286945.63</v>
      </c>
      <c r="F202" s="130">
        <v>338930.51</v>
      </c>
      <c r="G202" s="130">
        <v>336452.67</v>
      </c>
      <c r="H202" s="130">
        <v>332380.34000000003</v>
      </c>
      <c r="I202" s="130">
        <v>332790.09000000003</v>
      </c>
      <c r="J202" s="130">
        <v>-648016.48</v>
      </c>
      <c r="K202" s="130">
        <v>241846.34</v>
      </c>
      <c r="L202" s="130">
        <v>170686.83</v>
      </c>
      <c r="M202" s="130">
        <v>343312.31</v>
      </c>
      <c r="N202" s="130">
        <f>SUM(B202:F202)</f>
        <v>1497290.1500000001</v>
      </c>
      <c r="P202" s="130">
        <f t="shared" si="122"/>
        <v>104907.07636363637</v>
      </c>
      <c r="Q202" s="130">
        <f t="shared" si="123"/>
        <v>238405.23363636364</v>
      </c>
    </row>
    <row r="203" spans="1:17" x14ac:dyDescent="0.25">
      <c r="A203" s="66" t="s">
        <v>152</v>
      </c>
      <c r="B203" s="158">
        <v>0</v>
      </c>
      <c r="C203" s="130">
        <v>0</v>
      </c>
      <c r="D203" s="130">
        <v>0</v>
      </c>
      <c r="E203" s="130">
        <v>0</v>
      </c>
      <c r="F203" s="130">
        <v>0</v>
      </c>
      <c r="G203" s="130">
        <v>0</v>
      </c>
      <c r="H203" s="130">
        <v>0</v>
      </c>
      <c r="I203" s="130">
        <v>0</v>
      </c>
      <c r="J203" s="130">
        <v>0</v>
      </c>
      <c r="K203" s="130"/>
      <c r="L203" s="130">
        <v>0</v>
      </c>
      <c r="M203" s="130">
        <v>286.27999999999997</v>
      </c>
      <c r="N203" s="130">
        <f t="shared" ref="N203:N213" si="129">SUM(B203:F203)</f>
        <v>0</v>
      </c>
      <c r="P203" s="130">
        <f t="shared" si="122"/>
        <v>-26.025454545454544</v>
      </c>
      <c r="Q203" s="130">
        <f t="shared" si="123"/>
        <v>312.3054545454545</v>
      </c>
    </row>
    <row r="204" spans="1:17" x14ac:dyDescent="0.25">
      <c r="A204" s="66" t="s">
        <v>153</v>
      </c>
      <c r="B204" s="158">
        <v>0</v>
      </c>
      <c r="C204" s="130">
        <v>4088</v>
      </c>
      <c r="D204" s="1">
        <v>4088</v>
      </c>
      <c r="E204" s="130">
        <v>4088</v>
      </c>
      <c r="F204" s="130">
        <v>4088</v>
      </c>
      <c r="G204" s="130">
        <v>-2599</v>
      </c>
      <c r="H204" s="130">
        <f>[6]Sheet1!$R$95</f>
        <v>4088</v>
      </c>
      <c r="I204" s="130">
        <v>4088</v>
      </c>
      <c r="J204" s="130">
        <v>4088</v>
      </c>
      <c r="K204" s="130">
        <v>4088</v>
      </c>
      <c r="L204" s="130">
        <v>4088</v>
      </c>
      <c r="M204" s="130">
        <v>4088</v>
      </c>
      <c r="N204" s="130">
        <f t="shared" si="129"/>
        <v>16352</v>
      </c>
      <c r="P204" s="130">
        <f t="shared" si="122"/>
        <v>1114.909090909091</v>
      </c>
      <c r="Q204" s="130">
        <f t="shared" si="123"/>
        <v>2973.090909090909</v>
      </c>
    </row>
    <row r="205" spans="1:17" x14ac:dyDescent="0.25">
      <c r="A205" s="66" t="s">
        <v>154</v>
      </c>
      <c r="B205" s="158">
        <v>34485.919999999998</v>
      </c>
      <c r="C205" s="130">
        <v>25848.55</v>
      </c>
      <c r="D205" s="1">
        <v>25451.64</v>
      </c>
      <c r="E205" s="130">
        <v>26482.85</v>
      </c>
      <c r="F205" s="130">
        <v>27594.59</v>
      </c>
      <c r="G205" s="130">
        <v>26155.119999999999</v>
      </c>
      <c r="H205" s="130">
        <f>[6]Sheet1!$R$96</f>
        <v>24572.799999999999</v>
      </c>
      <c r="I205" s="130">
        <v>24177.29</v>
      </c>
      <c r="J205" s="130">
        <v>-60236.23</v>
      </c>
      <c r="K205" s="130">
        <v>15408.87</v>
      </c>
      <c r="L205" s="130">
        <v>10816.19</v>
      </c>
      <c r="M205" s="130">
        <v>29012.720000000001</v>
      </c>
      <c r="N205" s="130">
        <f t="shared" si="129"/>
        <v>139863.54999999999</v>
      </c>
      <c r="P205" s="130">
        <f t="shared" si="122"/>
        <v>10077.348181818181</v>
      </c>
      <c r="Q205" s="130">
        <f t="shared" si="123"/>
        <v>18935.371818181819</v>
      </c>
    </row>
    <row r="206" spans="1:17" x14ac:dyDescent="0.25">
      <c r="A206" s="66" t="s">
        <v>155</v>
      </c>
      <c r="B206" s="158">
        <v>34701.300000000003</v>
      </c>
      <c r="C206" s="130">
        <v>29078.31</v>
      </c>
      <c r="D206" s="1">
        <v>14776.7</v>
      </c>
      <c r="E206" s="130">
        <v>22093.19</v>
      </c>
      <c r="F206" s="130">
        <v>36544.94</v>
      </c>
      <c r="G206" s="130">
        <v>29148.65</v>
      </c>
      <c r="H206" s="130">
        <f>[6]Sheet1!$R$97</f>
        <v>26044.41</v>
      </c>
      <c r="I206" s="130">
        <v>23927.88</v>
      </c>
      <c r="J206" s="130">
        <v>-43787.11</v>
      </c>
      <c r="K206" s="130">
        <v>17362.52</v>
      </c>
      <c r="L206" s="130">
        <v>16364.54</v>
      </c>
      <c r="M206" s="130">
        <v>17151.37</v>
      </c>
      <c r="N206" s="130">
        <f t="shared" si="129"/>
        <v>137194.44</v>
      </c>
      <c r="P206" s="130">
        <f t="shared" si="122"/>
        <v>10913.006363636365</v>
      </c>
      <c r="Q206" s="130">
        <f t="shared" si="123"/>
        <v>6238.3636363636342</v>
      </c>
    </row>
    <row r="207" spans="1:17" x14ac:dyDescent="0.25">
      <c r="A207" s="66" t="s">
        <v>156</v>
      </c>
      <c r="B207" s="158">
        <v>3985.86</v>
      </c>
      <c r="C207" s="130">
        <v>4106.21</v>
      </c>
      <c r="D207" s="1">
        <v>4155.76</v>
      </c>
      <c r="E207" s="130">
        <v>3572.78</v>
      </c>
      <c r="F207" s="130">
        <v>2661.9</v>
      </c>
      <c r="G207" s="130">
        <v>4701.25</v>
      </c>
      <c r="H207" s="130">
        <f>[6]Sheet1!$R$98</f>
        <v>4559.01</v>
      </c>
      <c r="I207" s="130">
        <v>4006.17</v>
      </c>
      <c r="J207" s="130">
        <v>-8718.48</v>
      </c>
      <c r="K207" s="130">
        <v>2920.76</v>
      </c>
      <c r="L207" s="130">
        <v>2800.78</v>
      </c>
      <c r="M207" s="130">
        <v>2788.97</v>
      </c>
      <c r="N207" s="130">
        <f t="shared" si="129"/>
        <v>18482.510000000002</v>
      </c>
      <c r="P207" s="130">
        <f t="shared" si="122"/>
        <v>1426.6854545454548</v>
      </c>
      <c r="Q207" s="130">
        <f t="shared" si="123"/>
        <v>1362.284545454545</v>
      </c>
    </row>
    <row r="208" spans="1:17" x14ac:dyDescent="0.25">
      <c r="A208" s="66" t="s">
        <v>157</v>
      </c>
      <c r="B208" s="158">
        <v>9167</v>
      </c>
      <c r="C208" s="130">
        <v>9167</v>
      </c>
      <c r="D208" s="1">
        <v>9167</v>
      </c>
      <c r="E208" s="130">
        <v>9167</v>
      </c>
      <c r="F208" s="130">
        <v>9167</v>
      </c>
      <c r="G208" s="130">
        <v>8600</v>
      </c>
      <c r="H208" s="130">
        <f>[6]Sheet1!$R$99</f>
        <v>8600</v>
      </c>
      <c r="I208" s="130">
        <v>8600</v>
      </c>
      <c r="J208" s="130">
        <v>-19312.41</v>
      </c>
      <c r="K208" s="130">
        <v>5621.19</v>
      </c>
      <c r="L208" s="130">
        <v>5498.79</v>
      </c>
      <c r="M208" s="130">
        <v>14104.35</v>
      </c>
      <c r="N208" s="130">
        <f t="shared" si="129"/>
        <v>45835</v>
      </c>
      <c r="P208" s="130">
        <f t="shared" si="122"/>
        <v>2884.6045454545456</v>
      </c>
      <c r="Q208" s="130">
        <f t="shared" si="123"/>
        <v>11219.745454545455</v>
      </c>
    </row>
    <row r="209" spans="1:17" x14ac:dyDescent="0.25">
      <c r="A209" s="66" t="s">
        <v>158</v>
      </c>
      <c r="B209" s="158">
        <v>116.2</v>
      </c>
      <c r="C209" s="130">
        <v>164.9</v>
      </c>
      <c r="D209" s="1">
        <v>55.05</v>
      </c>
      <c r="E209" s="130">
        <v>59.95</v>
      </c>
      <c r="F209" s="130">
        <v>100</v>
      </c>
      <c r="G209" s="130">
        <v>59.95</v>
      </c>
      <c r="H209" s="130">
        <f>[6]Sheet1!$R$100</f>
        <v>1600</v>
      </c>
      <c r="I209" s="130">
        <v>0</v>
      </c>
      <c r="J209" s="130">
        <v>59.95</v>
      </c>
      <c r="K209" s="130">
        <v>159.94999999999999</v>
      </c>
      <c r="L209" s="130">
        <v>119.9</v>
      </c>
      <c r="M209" s="130">
        <v>0</v>
      </c>
      <c r="N209" s="130">
        <f t="shared" si="129"/>
        <v>496.1</v>
      </c>
      <c r="P209" s="130">
        <f t="shared" si="122"/>
        <v>45.1</v>
      </c>
      <c r="Q209" s="130">
        <f t="shared" si="123"/>
        <v>-45.1</v>
      </c>
    </row>
    <row r="210" spans="1:17" x14ac:dyDescent="0.25">
      <c r="A210" s="66" t="s">
        <v>159</v>
      </c>
      <c r="B210" s="158">
        <v>1196.75</v>
      </c>
      <c r="C210" s="130">
        <v>1627.2</v>
      </c>
      <c r="D210" s="1">
        <v>1115.29</v>
      </c>
      <c r="E210" s="130">
        <v>1152.68</v>
      </c>
      <c r="F210" s="130">
        <v>1252.42</v>
      </c>
      <c r="G210" s="130">
        <v>1063.43</v>
      </c>
      <c r="H210" s="130">
        <f>[6]Sheet1!$R$101</f>
        <v>1388.91</v>
      </c>
      <c r="I210" s="130">
        <v>1086.9000000000001</v>
      </c>
      <c r="J210" s="130">
        <v>477.46</v>
      </c>
      <c r="K210" s="130">
        <v>1409.54</v>
      </c>
      <c r="L210" s="130">
        <v>2183.6</v>
      </c>
      <c r="M210" s="130">
        <v>848</v>
      </c>
      <c r="N210" s="130">
        <f t="shared" si="129"/>
        <v>6344.34</v>
      </c>
      <c r="P210" s="130">
        <f t="shared" si="122"/>
        <v>499.66727272727275</v>
      </c>
      <c r="Q210" s="130">
        <f t="shared" si="123"/>
        <v>348.33272727272725</v>
      </c>
    </row>
    <row r="211" spans="1:17" x14ac:dyDescent="0.25">
      <c r="A211" s="66" t="s">
        <v>160</v>
      </c>
      <c r="B211" s="158">
        <v>0</v>
      </c>
      <c r="C211" s="130">
        <v>2800</v>
      </c>
      <c r="D211" s="1">
        <v>0</v>
      </c>
      <c r="E211" s="130">
        <v>0</v>
      </c>
      <c r="F211" s="130">
        <v>0</v>
      </c>
      <c r="G211" s="130">
        <v>220</v>
      </c>
      <c r="H211" s="130">
        <f>[6]Sheet1!$R$102</f>
        <v>0</v>
      </c>
      <c r="I211" s="130">
        <v>320</v>
      </c>
      <c r="J211" s="130">
        <v>340</v>
      </c>
      <c r="K211" s="130">
        <v>0</v>
      </c>
      <c r="L211" s="130">
        <v>0</v>
      </c>
      <c r="M211" s="130">
        <v>510</v>
      </c>
      <c r="N211" s="130">
        <f t="shared" si="129"/>
        <v>2800</v>
      </c>
      <c r="P211" s="130">
        <f t="shared" si="122"/>
        <v>208.18181818181819</v>
      </c>
      <c r="Q211" s="130">
        <f t="shared" si="123"/>
        <v>301.81818181818181</v>
      </c>
    </row>
    <row r="212" spans="1:17" x14ac:dyDescent="0.25">
      <c r="A212" s="66" t="s">
        <v>161</v>
      </c>
      <c r="B212" s="158">
        <v>0</v>
      </c>
      <c r="C212" s="130">
        <v>0</v>
      </c>
      <c r="D212" s="1">
        <v>0</v>
      </c>
      <c r="E212" s="130">
        <v>309.48</v>
      </c>
      <c r="F212" s="130">
        <v>0</v>
      </c>
      <c r="G212" s="130">
        <v>0</v>
      </c>
      <c r="H212" s="130">
        <f>[6]Sheet1!$R$103</f>
        <v>1732.26</v>
      </c>
      <c r="I212" s="130">
        <v>0</v>
      </c>
      <c r="J212" s="130">
        <v>1020</v>
      </c>
      <c r="K212" s="130">
        <v>0</v>
      </c>
      <c r="L212" s="130">
        <v>0</v>
      </c>
      <c r="M212" s="130"/>
      <c r="N212" s="130">
        <f t="shared" si="129"/>
        <v>309.48</v>
      </c>
      <c r="P212" s="130">
        <f t="shared" si="122"/>
        <v>28.134545454545457</v>
      </c>
      <c r="Q212" s="130">
        <f t="shared" si="123"/>
        <v>-28.134545454545457</v>
      </c>
    </row>
    <row r="213" spans="1:17" x14ac:dyDescent="0.25">
      <c r="A213" s="66" t="s">
        <v>543</v>
      </c>
      <c r="B213" s="158"/>
      <c r="C213" s="130"/>
      <c r="D213" s="1"/>
      <c r="E213" s="130"/>
      <c r="F213" s="130"/>
      <c r="G213" s="130"/>
      <c r="H213" s="130"/>
      <c r="I213" s="130"/>
      <c r="J213" s="130"/>
      <c r="K213" s="130"/>
      <c r="L213" s="130"/>
      <c r="M213" s="130">
        <v>56.95</v>
      </c>
      <c r="N213" s="130">
        <f t="shared" si="129"/>
        <v>0</v>
      </c>
      <c r="P213" s="130"/>
      <c r="Q213" s="130"/>
    </row>
    <row r="214" spans="1:17" ht="15.75" thickBot="1" x14ac:dyDescent="0.3">
      <c r="A214" s="74" t="s">
        <v>162</v>
      </c>
      <c r="B214" s="159">
        <f t="shared" ref="B214:G214" si="130">SUM(B202:B212)</f>
        <v>405193.11</v>
      </c>
      <c r="C214" s="151">
        <f t="shared" si="130"/>
        <v>341937.99000000005</v>
      </c>
      <c r="D214" s="151">
        <f t="shared" si="130"/>
        <v>343625.55</v>
      </c>
      <c r="E214" s="151">
        <f t="shared" si="130"/>
        <v>353871.56</v>
      </c>
      <c r="F214" s="151">
        <f t="shared" si="130"/>
        <v>420339.36000000004</v>
      </c>
      <c r="G214" s="151">
        <f t="shared" si="130"/>
        <v>403802.07</v>
      </c>
      <c r="H214" s="151">
        <f>SUM(H202:H212)</f>
        <v>404965.73</v>
      </c>
      <c r="I214" s="151">
        <f>SUM(I202:I212)</f>
        <v>398996.33</v>
      </c>
      <c r="J214" s="151">
        <f>SUM(J202:J212)</f>
        <v>-774085.3</v>
      </c>
      <c r="K214" s="151">
        <f>SUM(K202:K212)</f>
        <v>288817.17</v>
      </c>
      <c r="L214" s="151">
        <f>SUM(L202:L212)</f>
        <v>212558.63</v>
      </c>
      <c r="M214" s="151">
        <f>SUM(M202:M213)</f>
        <v>412158.95</v>
      </c>
      <c r="N214" s="151">
        <f>SUM(N202:N213)</f>
        <v>1864967.5700000003</v>
      </c>
      <c r="P214" s="151">
        <f t="shared" si="122"/>
        <v>132073.51090909095</v>
      </c>
      <c r="Q214" s="151">
        <f t="shared" si="123"/>
        <v>280085.43909090909</v>
      </c>
    </row>
    <row r="215" spans="1:17" ht="15.75" thickTop="1" x14ac:dyDescent="0.25">
      <c r="C215" s="130"/>
      <c r="D215" s="130"/>
      <c r="E215" s="130"/>
      <c r="F215" s="130"/>
      <c r="G215" s="130"/>
      <c r="H215" s="130"/>
      <c r="I215" s="130"/>
      <c r="J215" s="130"/>
      <c r="K215" s="130"/>
      <c r="L215" s="130"/>
      <c r="M215" s="130"/>
      <c r="N215" s="130"/>
      <c r="P215" s="130">
        <f t="shared" si="122"/>
        <v>0</v>
      </c>
      <c r="Q215" s="130">
        <f t="shared" si="123"/>
        <v>0</v>
      </c>
    </row>
    <row r="216" spans="1:17" x14ac:dyDescent="0.25">
      <c r="A216" s="66" t="s">
        <v>473</v>
      </c>
      <c r="B216" s="160">
        <v>0</v>
      </c>
      <c r="C216" s="130">
        <v>0</v>
      </c>
      <c r="D216" s="130">
        <v>0</v>
      </c>
      <c r="E216" s="130">
        <v>0</v>
      </c>
      <c r="F216" s="130">
        <v>0</v>
      </c>
      <c r="G216" s="130">
        <v>0</v>
      </c>
      <c r="H216" s="130"/>
      <c r="I216" s="130"/>
      <c r="J216" s="130">
        <v>12500</v>
      </c>
      <c r="K216" s="130">
        <v>12500</v>
      </c>
      <c r="L216" s="130">
        <v>12500</v>
      </c>
      <c r="M216" s="130">
        <v>12500</v>
      </c>
      <c r="N216" s="130">
        <f>SUM(B216:F216)</f>
        <v>0</v>
      </c>
      <c r="P216" s="130"/>
      <c r="Q216" s="130"/>
    </row>
    <row r="217" spans="1:17" x14ac:dyDescent="0.25">
      <c r="A217" s="66" t="s">
        <v>163</v>
      </c>
      <c r="B217" s="160">
        <v>34200</v>
      </c>
      <c r="C217" s="130">
        <v>34200</v>
      </c>
      <c r="D217" s="1">
        <v>34200</v>
      </c>
      <c r="E217" s="130">
        <v>34200</v>
      </c>
      <c r="F217" s="130">
        <v>34200</v>
      </c>
      <c r="G217" s="130">
        <v>34200</v>
      </c>
      <c r="H217" s="130">
        <v>34200</v>
      </c>
      <c r="I217" s="130">
        <v>34200</v>
      </c>
      <c r="J217" s="130">
        <v>34200</v>
      </c>
      <c r="K217" s="130">
        <v>34200</v>
      </c>
      <c r="L217" s="130">
        <v>34200</v>
      </c>
      <c r="M217" s="130">
        <v>34200</v>
      </c>
      <c r="N217" s="130">
        <f t="shared" ref="N217:N237" si="131">SUM(B217:F217)</f>
        <v>171000</v>
      </c>
      <c r="P217" s="130">
        <f t="shared" ref="P217:P274" si="132">(N217-M217)/11</f>
        <v>12436.363636363636</v>
      </c>
      <c r="Q217" s="130">
        <f t="shared" ref="Q217:Q274" si="133">M217-P217</f>
        <v>21763.636363636364</v>
      </c>
    </row>
    <row r="218" spans="1:17" x14ac:dyDescent="0.25">
      <c r="A218" s="66" t="s">
        <v>164</v>
      </c>
      <c r="B218" s="160">
        <v>8503.81</v>
      </c>
      <c r="C218" s="130">
        <v>5315.92</v>
      </c>
      <c r="D218" s="1">
        <v>5721.77</v>
      </c>
      <c r="E218" s="130">
        <v>1979.68</v>
      </c>
      <c r="F218" s="130">
        <v>-5668.03</v>
      </c>
      <c r="G218" s="130">
        <v>-5550.91</v>
      </c>
      <c r="H218" s="130">
        <v>-5623.92</v>
      </c>
      <c r="I218" s="130">
        <v>-2125.3000000000002</v>
      </c>
      <c r="J218" s="130">
        <v>-1659.04</v>
      </c>
      <c r="K218" s="130">
        <v>837.92</v>
      </c>
      <c r="L218" s="130">
        <v>3418.02</v>
      </c>
      <c r="M218" s="130">
        <v>5516.13</v>
      </c>
      <c r="N218" s="130">
        <f t="shared" si="131"/>
        <v>15853.150000000001</v>
      </c>
      <c r="P218" s="130">
        <f t="shared" si="132"/>
        <v>939.72909090909093</v>
      </c>
      <c r="Q218" s="130">
        <f t="shared" si="133"/>
        <v>4576.4009090909094</v>
      </c>
    </row>
    <row r="219" spans="1:17" x14ac:dyDescent="0.25">
      <c r="A219" s="66" t="s">
        <v>165</v>
      </c>
      <c r="B219" s="160">
        <v>812.13</v>
      </c>
      <c r="C219" s="130">
        <v>2889.41</v>
      </c>
      <c r="D219" s="1">
        <v>2880.16</v>
      </c>
      <c r="E219" s="130">
        <v>1338.1</v>
      </c>
      <c r="F219" s="130">
        <v>587.38</v>
      </c>
      <c r="G219" s="130">
        <v>168.44</v>
      </c>
      <c r="H219" s="130">
        <v>38.119999999999997</v>
      </c>
      <c r="I219" s="130">
        <v>39.21</v>
      </c>
      <c r="J219" s="130">
        <v>58.76</v>
      </c>
      <c r="K219" s="130">
        <v>136.21</v>
      </c>
      <c r="L219" s="130">
        <v>622.59</v>
      </c>
      <c r="M219" s="130">
        <v>1019.95</v>
      </c>
      <c r="N219" s="130">
        <f t="shared" si="131"/>
        <v>8507.1799999999985</v>
      </c>
      <c r="P219" s="130">
        <f t="shared" si="132"/>
        <v>680.65727272727258</v>
      </c>
      <c r="Q219" s="130">
        <f t="shared" si="133"/>
        <v>339.29272727272746</v>
      </c>
    </row>
    <row r="220" spans="1:17" x14ac:dyDescent="0.25">
      <c r="A220" s="66" t="s">
        <v>166</v>
      </c>
      <c r="B220" s="160">
        <v>0</v>
      </c>
      <c r="C220" s="130">
        <v>0</v>
      </c>
      <c r="D220" s="1">
        <v>0</v>
      </c>
      <c r="E220" s="130">
        <v>0</v>
      </c>
      <c r="F220" s="130">
        <v>579.03</v>
      </c>
      <c r="G220" s="130">
        <v>0</v>
      </c>
      <c r="H220" s="130">
        <v>0</v>
      </c>
      <c r="I220" s="130">
        <v>0</v>
      </c>
      <c r="J220" s="130">
        <v>0</v>
      </c>
      <c r="K220" s="130">
        <v>499.43</v>
      </c>
      <c r="L220" s="130">
        <v>0</v>
      </c>
      <c r="M220" s="130">
        <v>0</v>
      </c>
      <c r="N220" s="130">
        <f t="shared" si="131"/>
        <v>579.03</v>
      </c>
      <c r="P220" s="130">
        <f t="shared" si="132"/>
        <v>52.639090909090903</v>
      </c>
      <c r="Q220" s="130">
        <f t="shared" si="133"/>
        <v>-52.639090909090903</v>
      </c>
    </row>
    <row r="221" spans="1:17" x14ac:dyDescent="0.25">
      <c r="A221" s="66" t="s">
        <v>471</v>
      </c>
      <c r="B221" s="160"/>
      <c r="C221" s="130"/>
      <c r="D221" s="1"/>
      <c r="E221" s="130"/>
      <c r="F221" s="130"/>
      <c r="G221" s="130"/>
      <c r="H221" s="130"/>
      <c r="I221" s="130"/>
      <c r="J221" s="130">
        <v>178.45</v>
      </c>
      <c r="K221" s="130">
        <v>0</v>
      </c>
      <c r="L221" s="130">
        <v>178.45</v>
      </c>
      <c r="M221" s="130">
        <v>178.45</v>
      </c>
      <c r="N221" s="130">
        <f t="shared" si="131"/>
        <v>0</v>
      </c>
      <c r="P221" s="130"/>
      <c r="Q221" s="130"/>
    </row>
    <row r="222" spans="1:17" x14ac:dyDescent="0.25">
      <c r="A222" s="66" t="s">
        <v>446</v>
      </c>
      <c r="B222" s="160">
        <v>6595</v>
      </c>
      <c r="C222" s="130">
        <v>2825</v>
      </c>
      <c r="D222" s="1">
        <v>4805</v>
      </c>
      <c r="E222" s="130">
        <v>0</v>
      </c>
      <c r="F222" s="130">
        <v>0</v>
      </c>
      <c r="G222" s="130">
        <v>0</v>
      </c>
      <c r="H222" s="130">
        <v>5490</v>
      </c>
      <c r="I222" s="130">
        <v>0</v>
      </c>
      <c r="J222" s="130">
        <v>0</v>
      </c>
      <c r="K222" s="130">
        <v>5285</v>
      </c>
      <c r="L222" s="130">
        <v>1710</v>
      </c>
      <c r="M222" s="130">
        <v>280</v>
      </c>
      <c r="N222" s="130">
        <f t="shared" si="131"/>
        <v>14225</v>
      </c>
      <c r="P222" s="130">
        <f t="shared" si="132"/>
        <v>1267.7272727272727</v>
      </c>
      <c r="Q222" s="130">
        <f t="shared" si="133"/>
        <v>-987.72727272727275</v>
      </c>
    </row>
    <row r="223" spans="1:17" x14ac:dyDescent="0.25">
      <c r="A223" s="66" t="s">
        <v>167</v>
      </c>
      <c r="B223" s="160">
        <v>11843.29</v>
      </c>
      <c r="C223" s="130">
        <v>5450.87</v>
      </c>
      <c r="D223" s="1">
        <v>12040.98</v>
      </c>
      <c r="E223" s="130">
        <v>8053.61</v>
      </c>
      <c r="F223" s="130">
        <v>16912.45</v>
      </c>
      <c r="G223" s="130">
        <v>6944.38</v>
      </c>
      <c r="H223" s="130">
        <v>13400.41</v>
      </c>
      <c r="I223" s="130">
        <v>5581.37</v>
      </c>
      <c r="J223" s="130">
        <v>8406.82</v>
      </c>
      <c r="K223" s="130">
        <v>18742.099999999999</v>
      </c>
      <c r="L223" s="130">
        <v>3669.36</v>
      </c>
      <c r="M223" s="130">
        <v>17768.87</v>
      </c>
      <c r="N223" s="130">
        <f t="shared" si="131"/>
        <v>54301.2</v>
      </c>
      <c r="P223" s="130">
        <f t="shared" si="132"/>
        <v>3321.1209090909092</v>
      </c>
      <c r="Q223" s="130">
        <f t="shared" si="133"/>
        <v>14447.74909090909</v>
      </c>
    </row>
    <row r="224" spans="1:17" x14ac:dyDescent="0.25">
      <c r="A224" s="66" t="s">
        <v>168</v>
      </c>
      <c r="B224" s="160">
        <v>8676.52</v>
      </c>
      <c r="C224" s="130">
        <v>8676.52</v>
      </c>
      <c r="D224" s="1">
        <v>8676.51</v>
      </c>
      <c r="E224" s="130">
        <v>8676.52</v>
      </c>
      <c r="F224" s="130">
        <v>8676.52</v>
      </c>
      <c r="G224" s="130">
        <v>8676.51</v>
      </c>
      <c r="H224" s="130">
        <v>9179.7000000000007</v>
      </c>
      <c r="I224" s="130">
        <v>9179.7000000000007</v>
      </c>
      <c r="J224" s="130">
        <v>9179.7000000000007</v>
      </c>
      <c r="K224" s="130">
        <v>9179.69</v>
      </c>
      <c r="L224" s="130">
        <v>9179.69</v>
      </c>
      <c r="M224" s="130">
        <v>9179.7000000000007</v>
      </c>
      <c r="N224" s="130">
        <f t="shared" si="131"/>
        <v>43382.590000000011</v>
      </c>
      <c r="P224" s="130">
        <f t="shared" si="132"/>
        <v>3109.3536363636376</v>
      </c>
      <c r="Q224" s="130">
        <f t="shared" si="133"/>
        <v>6070.3463636363631</v>
      </c>
    </row>
    <row r="225" spans="1:17" x14ac:dyDescent="0.25">
      <c r="A225" s="66" t="s">
        <v>169</v>
      </c>
      <c r="B225" s="160">
        <v>3100</v>
      </c>
      <c r="C225" s="130">
        <v>3100</v>
      </c>
      <c r="D225" s="1">
        <v>3100</v>
      </c>
      <c r="E225" s="130">
        <v>3100</v>
      </c>
      <c r="F225" s="130">
        <v>3100</v>
      </c>
      <c r="G225" s="130">
        <v>4500</v>
      </c>
      <c r="H225" s="130">
        <v>4366.8900000000003</v>
      </c>
      <c r="I225" s="130">
        <v>4633.1099999999997</v>
      </c>
      <c r="J225" s="130">
        <v>4500</v>
      </c>
      <c r="K225" s="130">
        <v>4500</v>
      </c>
      <c r="L225" s="130">
        <v>1183.93</v>
      </c>
      <c r="M225" s="130">
        <v>-1174.57</v>
      </c>
      <c r="N225" s="130">
        <f t="shared" si="131"/>
        <v>15500</v>
      </c>
      <c r="P225" s="130">
        <f t="shared" si="132"/>
        <v>1515.87</v>
      </c>
      <c r="Q225" s="130">
        <f t="shared" si="133"/>
        <v>-2690.4399999999996</v>
      </c>
    </row>
    <row r="226" spans="1:17" x14ac:dyDescent="0.25">
      <c r="A226" s="66" t="s">
        <v>170</v>
      </c>
      <c r="B226" s="160">
        <v>5157.18</v>
      </c>
      <c r="C226" s="130">
        <v>5157.18</v>
      </c>
      <c r="D226" s="1">
        <v>5023.41</v>
      </c>
      <c r="E226" s="130">
        <v>5123.42</v>
      </c>
      <c r="F226" s="130">
        <v>5023.42</v>
      </c>
      <c r="G226" s="130">
        <v>5023.42</v>
      </c>
      <c r="H226" s="130">
        <v>5023.42</v>
      </c>
      <c r="I226" s="130">
        <v>5023.42</v>
      </c>
      <c r="J226" s="130">
        <v>465.59</v>
      </c>
      <c r="K226" s="130">
        <v>4521.08</v>
      </c>
      <c r="L226" s="130">
        <v>3964.2</v>
      </c>
      <c r="M226" s="130">
        <v>5201.7</v>
      </c>
      <c r="N226" s="130">
        <f t="shared" si="131"/>
        <v>25484.61</v>
      </c>
      <c r="P226" s="130">
        <f t="shared" si="132"/>
        <v>1843.9009090909092</v>
      </c>
      <c r="Q226" s="130">
        <f t="shared" si="133"/>
        <v>3357.7990909090904</v>
      </c>
    </row>
    <row r="227" spans="1:17" x14ac:dyDescent="0.25">
      <c r="A227" s="66" t="s">
        <v>171</v>
      </c>
      <c r="B227" s="160">
        <v>781.02</v>
      </c>
      <c r="C227" s="130">
        <v>3798.75</v>
      </c>
      <c r="D227" s="1">
        <v>1347.95</v>
      </c>
      <c r="E227" s="130">
        <v>606.57000000000005</v>
      </c>
      <c r="F227" s="130">
        <v>716.17</v>
      </c>
      <c r="G227" s="130">
        <v>506.25</v>
      </c>
      <c r="H227" s="130">
        <v>0</v>
      </c>
      <c r="I227" s="130">
        <v>118.99</v>
      </c>
      <c r="J227" s="130">
        <v>1217.7</v>
      </c>
      <c r="K227" s="130">
        <v>680.5</v>
      </c>
      <c r="L227" s="130">
        <v>894.23</v>
      </c>
      <c r="M227" s="130">
        <v>650.25</v>
      </c>
      <c r="N227" s="130">
        <f t="shared" si="131"/>
        <v>7250.46</v>
      </c>
      <c r="O227" s="130"/>
      <c r="P227" s="130">
        <f t="shared" si="132"/>
        <v>600.01909090909089</v>
      </c>
      <c r="Q227" s="130">
        <f t="shared" si="133"/>
        <v>50.230909090909108</v>
      </c>
    </row>
    <row r="228" spans="1:17" x14ac:dyDescent="0.25">
      <c r="A228" s="66" t="s">
        <v>172</v>
      </c>
      <c r="B228" s="160">
        <v>740.6</v>
      </c>
      <c r="C228" s="130">
        <v>321.60000000000002</v>
      </c>
      <c r="D228" s="1">
        <v>321.60000000000002</v>
      </c>
      <c r="E228" s="130">
        <v>419.18</v>
      </c>
      <c r="F228" s="130">
        <v>439.52</v>
      </c>
      <c r="G228" s="130">
        <v>321.60000000000002</v>
      </c>
      <c r="H228" s="130">
        <v>1372.85</v>
      </c>
      <c r="I228" s="130">
        <v>2251.7800000000002</v>
      </c>
      <c r="J228" s="130">
        <v>817.68</v>
      </c>
      <c r="K228" s="130">
        <v>1547.72</v>
      </c>
      <c r="L228" s="130">
        <v>2119.89</v>
      </c>
      <c r="M228" s="130">
        <v>1528.3</v>
      </c>
      <c r="N228" s="130">
        <f t="shared" si="131"/>
        <v>2242.5</v>
      </c>
      <c r="P228" s="130">
        <f t="shared" si="132"/>
        <v>64.927272727272737</v>
      </c>
      <c r="Q228" s="130">
        <f t="shared" si="133"/>
        <v>1463.3727272727272</v>
      </c>
    </row>
    <row r="229" spans="1:17" x14ac:dyDescent="0.25">
      <c r="A229" s="66" t="s">
        <v>193</v>
      </c>
      <c r="B229" s="160">
        <v>20798</v>
      </c>
      <c r="C229" s="130">
        <v>19135.740000000002</v>
      </c>
      <c r="D229" s="130">
        <v>17216.87</v>
      </c>
      <c r="E229" s="130">
        <v>10016.870000000001</v>
      </c>
      <c r="F229" s="130">
        <v>10016.870000000001</v>
      </c>
      <c r="G229" s="130">
        <v>10168.870000000001</v>
      </c>
      <c r="H229" s="130">
        <v>10016.870000000001</v>
      </c>
      <c r="I229" s="130">
        <v>10267.049999999999</v>
      </c>
      <c r="J229" s="130">
        <v>-7654.31</v>
      </c>
      <c r="K229" s="130">
        <v>8842.4599999999991</v>
      </c>
      <c r="L229" s="130">
        <v>10051.200000000001</v>
      </c>
      <c r="M229" s="130">
        <v>12044.4</v>
      </c>
      <c r="N229" s="130">
        <f t="shared" si="131"/>
        <v>77184.349999999991</v>
      </c>
      <c r="P229" s="130"/>
      <c r="Q229" s="130"/>
    </row>
    <row r="230" spans="1:17" x14ac:dyDescent="0.25">
      <c r="A230" s="66" t="s">
        <v>173</v>
      </c>
      <c r="B230" s="160">
        <v>333.33</v>
      </c>
      <c r="C230" s="130">
        <v>333.33</v>
      </c>
      <c r="D230" s="1">
        <v>333.33</v>
      </c>
      <c r="E230" s="130">
        <v>333.33</v>
      </c>
      <c r="F230" s="130">
        <v>333.33</v>
      </c>
      <c r="G230" s="130">
        <v>333.33</v>
      </c>
      <c r="H230" s="130">
        <v>333.33</v>
      </c>
      <c r="I230" s="130">
        <v>333.33</v>
      </c>
      <c r="J230" s="130">
        <v>333.33</v>
      </c>
      <c r="K230" s="130">
        <v>333.33</v>
      </c>
      <c r="L230" s="130">
        <v>333.33</v>
      </c>
      <c r="M230" s="130">
        <v>333.33</v>
      </c>
      <c r="N230" s="130">
        <f t="shared" si="131"/>
        <v>1666.6499999999999</v>
      </c>
      <c r="P230" s="130">
        <f t="shared" si="132"/>
        <v>121.21090909090908</v>
      </c>
      <c r="Q230" s="130">
        <f t="shared" si="133"/>
        <v>212.11909090909091</v>
      </c>
    </row>
    <row r="231" spans="1:17" x14ac:dyDescent="0.25">
      <c r="A231" s="66" t="s">
        <v>174</v>
      </c>
      <c r="B231" s="160">
        <v>115897.3</v>
      </c>
      <c r="C231" s="130">
        <v>117313.31</v>
      </c>
      <c r="D231" s="1">
        <v>117313.31</v>
      </c>
      <c r="E231" s="130">
        <v>69868.929999999993</v>
      </c>
      <c r="F231" s="130">
        <v>62865.39</v>
      </c>
      <c r="G231" s="130">
        <v>89768.53</v>
      </c>
      <c r="H231" s="130">
        <v>67753.13</v>
      </c>
      <c r="I231" s="130">
        <v>67298.850000000006</v>
      </c>
      <c r="J231" s="130">
        <v>65440.22</v>
      </c>
      <c r="K231" s="130">
        <v>61204.160000000003</v>
      </c>
      <c r="L231" s="130">
        <v>60136.21</v>
      </c>
      <c r="M231" s="130">
        <v>-100002.97</v>
      </c>
      <c r="N231" s="130">
        <f t="shared" si="131"/>
        <v>483258.24</v>
      </c>
      <c r="P231" s="130">
        <f t="shared" si="132"/>
        <v>53023.746363636361</v>
      </c>
      <c r="Q231" s="130">
        <f t="shared" si="133"/>
        <v>-153026.71636363637</v>
      </c>
    </row>
    <row r="232" spans="1:17" x14ac:dyDescent="0.25">
      <c r="A232" s="66" t="s">
        <v>198</v>
      </c>
      <c r="B232" s="160">
        <v>0</v>
      </c>
      <c r="C232" s="130">
        <v>680.88</v>
      </c>
      <c r="D232" s="1">
        <v>4256.26</v>
      </c>
      <c r="E232" s="130">
        <v>998.65</v>
      </c>
      <c r="F232" s="130">
        <v>3059.3</v>
      </c>
      <c r="G232" s="130">
        <v>2520.4299999999998</v>
      </c>
      <c r="H232" s="130">
        <v>3606.37</v>
      </c>
      <c r="I232" s="130">
        <v>7404.71</v>
      </c>
      <c r="J232" s="130">
        <v>4019.71</v>
      </c>
      <c r="K232" s="130">
        <v>1588.42</v>
      </c>
      <c r="L232" s="130">
        <v>1811.56</v>
      </c>
      <c r="M232" s="130">
        <v>1571.49</v>
      </c>
      <c r="N232" s="130">
        <f t="shared" si="131"/>
        <v>8995.09</v>
      </c>
      <c r="P232" s="130"/>
      <c r="Q232" s="130"/>
    </row>
    <row r="233" spans="1:17" x14ac:dyDescent="0.25">
      <c r="A233" s="66" t="s">
        <v>435</v>
      </c>
      <c r="B233" s="160"/>
      <c r="C233" s="130"/>
      <c r="D233" s="1"/>
      <c r="E233" s="130"/>
      <c r="F233" s="130"/>
      <c r="G233" s="130">
        <v>3196.84</v>
      </c>
      <c r="H233" s="130">
        <v>4200.3</v>
      </c>
      <c r="I233" s="130">
        <v>2284</v>
      </c>
      <c r="J233" s="130">
        <v>3424.43</v>
      </c>
      <c r="K233" s="130">
        <v>2283.96</v>
      </c>
      <c r="L233" s="130">
        <v>3109.03</v>
      </c>
      <c r="M233" s="130">
        <v>3653.61</v>
      </c>
      <c r="N233" s="130">
        <f t="shared" si="131"/>
        <v>0</v>
      </c>
      <c r="P233" s="130"/>
      <c r="Q233" s="130"/>
    </row>
    <row r="234" spans="1:17" x14ac:dyDescent="0.25">
      <c r="A234" s="66" t="s">
        <v>175</v>
      </c>
      <c r="B234" s="160">
        <v>0</v>
      </c>
      <c r="C234" s="130">
        <v>0</v>
      </c>
      <c r="D234" s="1">
        <v>0</v>
      </c>
      <c r="E234" s="130">
        <v>1820.4</v>
      </c>
      <c r="F234" s="130">
        <v>0</v>
      </c>
      <c r="G234" s="130">
        <v>5256.73</v>
      </c>
      <c r="H234" s="130">
        <v>3721.9</v>
      </c>
      <c r="I234" s="130">
        <v>1441.3</v>
      </c>
      <c r="J234" s="130">
        <v>1188.0899999999999</v>
      </c>
      <c r="K234" s="130">
        <v>3498.74</v>
      </c>
      <c r="L234" s="130">
        <v>1048.8599999999999</v>
      </c>
      <c r="M234" s="130">
        <v>9052.0499999999993</v>
      </c>
      <c r="N234" s="130">
        <f t="shared" si="131"/>
        <v>1820.4</v>
      </c>
      <c r="P234" s="130">
        <f t="shared" si="132"/>
        <v>-657.42272727272723</v>
      </c>
      <c r="Q234" s="130">
        <f t="shared" si="133"/>
        <v>9709.4727272727268</v>
      </c>
    </row>
    <row r="235" spans="1:17" x14ac:dyDescent="0.25">
      <c r="A235" s="66" t="s">
        <v>176</v>
      </c>
      <c r="B235" s="160">
        <v>0</v>
      </c>
      <c r="C235" s="130">
        <v>0</v>
      </c>
      <c r="D235" s="1">
        <v>0</v>
      </c>
      <c r="E235" s="130">
        <v>390</v>
      </c>
      <c r="F235" s="130">
        <v>390</v>
      </c>
      <c r="G235" s="130">
        <v>390</v>
      </c>
      <c r="H235" s="130">
        <v>390</v>
      </c>
      <c r="I235" s="130">
        <v>390</v>
      </c>
      <c r="J235" s="130">
        <v>390</v>
      </c>
      <c r="K235" s="130">
        <v>390</v>
      </c>
      <c r="L235" s="130">
        <v>390</v>
      </c>
      <c r="M235" s="130">
        <v>390</v>
      </c>
      <c r="N235" s="130">
        <f t="shared" si="131"/>
        <v>780</v>
      </c>
      <c r="P235" s="130">
        <f t="shared" si="132"/>
        <v>35.454545454545453</v>
      </c>
      <c r="Q235" s="130">
        <f t="shared" si="133"/>
        <v>354.54545454545456</v>
      </c>
    </row>
    <row r="236" spans="1:17" x14ac:dyDescent="0.25">
      <c r="A236" s="66" t="s">
        <v>392</v>
      </c>
      <c r="B236" s="160">
        <v>0</v>
      </c>
      <c r="C236" s="130">
        <v>0</v>
      </c>
      <c r="D236" s="1">
        <v>0</v>
      </c>
      <c r="E236" s="130">
        <v>51803</v>
      </c>
      <c r="F236" s="130">
        <v>58244.6</v>
      </c>
      <c r="G236" s="130">
        <v>55745.919999999998</v>
      </c>
      <c r="H236" s="130">
        <v>74963</v>
      </c>
      <c r="I236" s="130">
        <v>57878.13</v>
      </c>
      <c r="J236" s="130">
        <v>58108.23</v>
      </c>
      <c r="K236" s="130">
        <v>58744.17</v>
      </c>
      <c r="L236" s="130">
        <v>58313.18</v>
      </c>
      <c r="M236" s="130">
        <v>217885.28</v>
      </c>
      <c r="N236" s="130">
        <f t="shared" si="131"/>
        <v>110047.6</v>
      </c>
      <c r="P236" s="130"/>
      <c r="Q236" s="130"/>
    </row>
    <row r="237" spans="1:17" x14ac:dyDescent="0.25">
      <c r="A237" s="66" t="s">
        <v>472</v>
      </c>
      <c r="B237" s="160"/>
      <c r="C237" s="130"/>
      <c r="D237" s="1"/>
      <c r="E237" s="130"/>
      <c r="F237" s="130"/>
      <c r="G237" s="130"/>
      <c r="H237" s="130"/>
      <c r="I237" s="130"/>
      <c r="J237" s="130">
        <v>67500</v>
      </c>
      <c r="K237" s="130">
        <v>7500</v>
      </c>
      <c r="L237" s="130">
        <v>7500</v>
      </c>
      <c r="M237" s="130">
        <v>7500</v>
      </c>
      <c r="N237" s="130">
        <f t="shared" si="131"/>
        <v>0</v>
      </c>
      <c r="P237" s="130"/>
      <c r="Q237" s="130"/>
    </row>
    <row r="238" spans="1:17" ht="15.75" thickBot="1" x14ac:dyDescent="0.3">
      <c r="A238" s="74" t="s">
        <v>177</v>
      </c>
      <c r="B238" s="157">
        <f>SUM(B216:B237)</f>
        <v>217438.18</v>
      </c>
      <c r="C238" s="151">
        <f t="shared" ref="C238:F238" si="134">SUM(C217:C236)</f>
        <v>209198.51</v>
      </c>
      <c r="D238" s="151">
        <f t="shared" si="134"/>
        <v>217237.15000000002</v>
      </c>
      <c r="E238" s="151">
        <f t="shared" si="134"/>
        <v>198728.25999999998</v>
      </c>
      <c r="F238" s="151">
        <f t="shared" si="134"/>
        <v>199475.94999999998</v>
      </c>
      <c r="G238" s="151">
        <f>SUM(G217:G236)</f>
        <v>222170.33999999997</v>
      </c>
      <c r="H238" s="151">
        <f>SUM(H217:H236)</f>
        <v>232432.36999999997</v>
      </c>
      <c r="I238" s="151">
        <f>SUM(I217:I237)</f>
        <v>206199.65</v>
      </c>
      <c r="J238" s="151">
        <f>SUM(J216:J237)</f>
        <v>262615.36</v>
      </c>
      <c r="K238" s="151">
        <f>SUM(K216:K237)</f>
        <v>237014.89</v>
      </c>
      <c r="L238" s="151">
        <f>SUM(L216:L237)</f>
        <v>216333.72999999995</v>
      </c>
      <c r="M238" s="151">
        <f>SUM(M216:M237)</f>
        <v>239275.96999999997</v>
      </c>
      <c r="N238" s="151">
        <f>SUM(N216:N237)</f>
        <v>1042078.0499999999</v>
      </c>
      <c r="P238" s="151">
        <f t="shared" si="132"/>
        <v>72982.007272727264</v>
      </c>
      <c r="Q238" s="151">
        <f t="shared" si="133"/>
        <v>166293.96272727271</v>
      </c>
    </row>
    <row r="239" spans="1:17" ht="15.75" thickTop="1" x14ac:dyDescent="0.25">
      <c r="C239" s="130"/>
      <c r="D239" s="130"/>
      <c r="E239" s="130"/>
      <c r="F239" s="130"/>
      <c r="G239" s="130"/>
      <c r="H239" s="130"/>
      <c r="I239" s="130"/>
      <c r="J239" s="130"/>
      <c r="K239" s="130"/>
      <c r="L239" s="130"/>
      <c r="M239" s="130"/>
      <c r="N239" s="130"/>
      <c r="P239" s="130">
        <f t="shared" si="132"/>
        <v>0</v>
      </c>
      <c r="Q239" s="130">
        <f t="shared" si="133"/>
        <v>0</v>
      </c>
    </row>
    <row r="240" spans="1:17" x14ac:dyDescent="0.25">
      <c r="A240" s="66" t="s">
        <v>178</v>
      </c>
      <c r="B240" s="161">
        <v>0</v>
      </c>
      <c r="C240" s="130">
        <v>0</v>
      </c>
      <c r="D240" s="130">
        <v>0</v>
      </c>
      <c r="E240" s="130"/>
      <c r="F240" s="130">
        <v>0</v>
      </c>
      <c r="G240" s="130">
        <v>2500</v>
      </c>
      <c r="H240" s="130">
        <v>2000</v>
      </c>
      <c r="I240" s="130">
        <v>0</v>
      </c>
      <c r="J240" s="130">
        <v>0</v>
      </c>
      <c r="K240" s="130">
        <v>0</v>
      </c>
      <c r="L240" s="130">
        <v>0</v>
      </c>
      <c r="M240" s="130">
        <v>0</v>
      </c>
      <c r="N240" s="130">
        <f>SUM(B240:F240)</f>
        <v>0</v>
      </c>
      <c r="P240" s="130">
        <f t="shared" si="132"/>
        <v>0</v>
      </c>
      <c r="Q240" s="130">
        <f t="shared" si="133"/>
        <v>0</v>
      </c>
    </row>
    <row r="241" spans="1:17" x14ac:dyDescent="0.25">
      <c r="A241" s="66" t="s">
        <v>179</v>
      </c>
      <c r="B241" s="158">
        <v>5835.67</v>
      </c>
      <c r="C241" s="130">
        <v>5000</v>
      </c>
      <c r="D241" s="1">
        <v>4813.05</v>
      </c>
      <c r="E241" s="130">
        <v>5000</v>
      </c>
      <c r="F241" s="130">
        <v>5000</v>
      </c>
      <c r="G241" s="130">
        <v>5000</v>
      </c>
      <c r="H241" s="130">
        <v>5000</v>
      </c>
      <c r="I241" s="130">
        <v>5000</v>
      </c>
      <c r="J241" s="130">
        <v>-10977.05</v>
      </c>
      <c r="K241" s="130">
        <v>3250</v>
      </c>
      <c r="L241" s="130">
        <v>3250</v>
      </c>
      <c r="M241" s="130">
        <v>1587.3</v>
      </c>
      <c r="N241" s="130">
        <f t="shared" ref="N241:N269" si="135">SUM(B241:F241)</f>
        <v>25648.720000000001</v>
      </c>
      <c r="P241" s="130">
        <f t="shared" si="132"/>
        <v>2187.4018181818183</v>
      </c>
      <c r="Q241" s="130">
        <f t="shared" si="133"/>
        <v>-600.10181818181832</v>
      </c>
    </row>
    <row r="242" spans="1:17" x14ac:dyDescent="0.25">
      <c r="A242" s="66" t="s">
        <v>180</v>
      </c>
      <c r="B242" s="161">
        <v>815.83</v>
      </c>
      <c r="C242" s="130">
        <v>1293.81</v>
      </c>
      <c r="D242" s="1">
        <v>863.73</v>
      </c>
      <c r="E242" s="130">
        <v>836.51</v>
      </c>
      <c r="F242" s="130">
        <v>838.95</v>
      </c>
      <c r="G242" s="130">
        <v>838.95</v>
      </c>
      <c r="H242" s="130">
        <v>822.29</v>
      </c>
      <c r="I242" s="130">
        <v>935.47</v>
      </c>
      <c r="J242" s="130">
        <v>805.06</v>
      </c>
      <c r="K242" s="130">
        <v>800.32</v>
      </c>
      <c r="L242" s="130">
        <v>843.26</v>
      </c>
      <c r="M242" s="130">
        <v>1007.85</v>
      </c>
      <c r="N242" s="130">
        <f t="shared" si="135"/>
        <v>4648.83</v>
      </c>
      <c r="P242" s="130">
        <f t="shared" si="132"/>
        <v>330.99818181818182</v>
      </c>
      <c r="Q242" s="130">
        <f t="shared" si="133"/>
        <v>676.8518181818182</v>
      </c>
    </row>
    <row r="243" spans="1:17" x14ac:dyDescent="0.25">
      <c r="A243" s="66" t="s">
        <v>181</v>
      </c>
      <c r="B243" s="161">
        <v>11891.59</v>
      </c>
      <c r="C243" s="130">
        <v>11089.07</v>
      </c>
      <c r="D243" s="1">
        <v>11189.22</v>
      </c>
      <c r="E243" s="130">
        <v>11179.32</v>
      </c>
      <c r="F243" s="130">
        <v>10355.59</v>
      </c>
      <c r="G243" s="130">
        <v>2547</v>
      </c>
      <c r="H243" s="130">
        <v>10193.629999999999</v>
      </c>
      <c r="I243" s="130">
        <v>11578.59</v>
      </c>
      <c r="J243" s="130">
        <v>11065.45</v>
      </c>
      <c r="K243" s="130">
        <v>11588.03</v>
      </c>
      <c r="L243" s="130">
        <v>10659.28</v>
      </c>
      <c r="M243" s="130">
        <v>10028.379999999999</v>
      </c>
      <c r="N243" s="130">
        <f t="shared" si="135"/>
        <v>55704.789999999994</v>
      </c>
      <c r="P243" s="130">
        <f t="shared" si="132"/>
        <v>4152.4009090909085</v>
      </c>
      <c r="Q243" s="130">
        <f t="shared" si="133"/>
        <v>5875.9790909090907</v>
      </c>
    </row>
    <row r="244" spans="1:17" x14ac:dyDescent="0.25">
      <c r="A244" s="66" t="s">
        <v>182</v>
      </c>
      <c r="B244" s="161">
        <v>0</v>
      </c>
      <c r="C244" s="130">
        <v>0</v>
      </c>
      <c r="D244" s="1">
        <v>0</v>
      </c>
      <c r="E244" s="130">
        <v>0</v>
      </c>
      <c r="F244" s="130">
        <v>0</v>
      </c>
      <c r="G244" s="130">
        <v>0</v>
      </c>
      <c r="H244" s="130">
        <v>0</v>
      </c>
      <c r="I244" s="130">
        <v>0</v>
      </c>
      <c r="J244" s="130">
        <v>543.67999999999995</v>
      </c>
      <c r="K244" s="130">
        <v>0</v>
      </c>
      <c r="L244" s="130">
        <v>0</v>
      </c>
      <c r="M244" s="130">
        <v>0</v>
      </c>
      <c r="N244" s="130">
        <f t="shared" si="135"/>
        <v>0</v>
      </c>
      <c r="P244" s="130">
        <f t="shared" si="132"/>
        <v>0</v>
      </c>
      <c r="Q244" s="130">
        <f t="shared" si="133"/>
        <v>0</v>
      </c>
    </row>
    <row r="245" spans="1:17" x14ac:dyDescent="0.25">
      <c r="A245" s="66" t="s">
        <v>183</v>
      </c>
      <c r="B245" s="161">
        <v>2200</v>
      </c>
      <c r="C245" s="130">
        <v>545.54</v>
      </c>
      <c r="D245" s="1">
        <v>774.24</v>
      </c>
      <c r="E245" s="130">
        <v>36.65</v>
      </c>
      <c r="F245" s="130">
        <v>22.4</v>
      </c>
      <c r="G245" s="130">
        <v>149.9</v>
      </c>
      <c r="H245" s="130">
        <v>27.1</v>
      </c>
      <c r="I245" s="130">
        <v>53.2</v>
      </c>
      <c r="J245" s="130">
        <v>11.78</v>
      </c>
      <c r="K245" s="130">
        <v>48.35</v>
      </c>
      <c r="L245" s="130">
        <v>-4997.2299999999996</v>
      </c>
      <c r="M245" s="130">
        <v>5918.28</v>
      </c>
      <c r="N245" s="130">
        <f t="shared" si="135"/>
        <v>3578.83</v>
      </c>
      <c r="P245" s="130">
        <f t="shared" si="132"/>
        <v>-212.67727272727271</v>
      </c>
      <c r="Q245" s="130">
        <f t="shared" si="133"/>
        <v>6130.9572727272725</v>
      </c>
    </row>
    <row r="246" spans="1:17" x14ac:dyDescent="0.25">
      <c r="A246" s="66" t="s">
        <v>184</v>
      </c>
      <c r="B246" s="130">
        <v>0</v>
      </c>
      <c r="C246" s="130">
        <v>0</v>
      </c>
      <c r="D246" s="1">
        <v>0</v>
      </c>
      <c r="E246" s="130">
        <v>0</v>
      </c>
      <c r="F246" s="130">
        <v>0</v>
      </c>
      <c r="G246" s="130">
        <v>0</v>
      </c>
      <c r="H246" s="130">
        <v>0</v>
      </c>
      <c r="I246" s="130">
        <v>0</v>
      </c>
      <c r="J246" s="130">
        <v>0</v>
      </c>
      <c r="K246" s="130">
        <v>0</v>
      </c>
      <c r="L246" s="130">
        <v>0</v>
      </c>
      <c r="M246" s="130">
        <v>0</v>
      </c>
      <c r="N246" s="130">
        <f t="shared" si="135"/>
        <v>0</v>
      </c>
      <c r="O246" s="130"/>
      <c r="P246" s="130">
        <f t="shared" si="132"/>
        <v>0</v>
      </c>
      <c r="Q246" s="130">
        <f t="shared" si="133"/>
        <v>0</v>
      </c>
    </row>
    <row r="247" spans="1:17" x14ac:dyDescent="0.25">
      <c r="A247" s="66" t="s">
        <v>185</v>
      </c>
      <c r="B247" s="130">
        <v>0</v>
      </c>
      <c r="C247" s="130">
        <v>0</v>
      </c>
      <c r="D247" s="1">
        <v>0</v>
      </c>
      <c r="E247" s="130">
        <v>0</v>
      </c>
      <c r="F247" s="130">
        <v>0</v>
      </c>
      <c r="G247" s="130">
        <v>0</v>
      </c>
      <c r="H247" s="130">
        <v>0</v>
      </c>
      <c r="I247" s="130">
        <v>0</v>
      </c>
      <c r="J247" s="130">
        <v>0</v>
      </c>
      <c r="K247" s="130">
        <v>0</v>
      </c>
      <c r="L247" s="130">
        <v>0</v>
      </c>
      <c r="M247" s="130">
        <v>0</v>
      </c>
      <c r="N247" s="130">
        <f t="shared" si="135"/>
        <v>0</v>
      </c>
      <c r="P247" s="130">
        <f t="shared" si="132"/>
        <v>0</v>
      </c>
      <c r="Q247" s="130">
        <f t="shared" si="133"/>
        <v>0</v>
      </c>
    </row>
    <row r="248" spans="1:17" x14ac:dyDescent="0.25">
      <c r="A248" s="66" t="s">
        <v>186</v>
      </c>
      <c r="B248" s="130">
        <v>0</v>
      </c>
      <c r="C248" s="130">
        <v>0</v>
      </c>
      <c r="D248" s="1">
        <v>0</v>
      </c>
      <c r="E248" s="130">
        <v>0</v>
      </c>
      <c r="F248" s="130">
        <v>0</v>
      </c>
      <c r="G248" s="130">
        <v>0</v>
      </c>
      <c r="H248" s="130">
        <v>0</v>
      </c>
      <c r="I248" s="130">
        <v>0</v>
      </c>
      <c r="J248" s="130">
        <v>0</v>
      </c>
      <c r="K248" s="130">
        <v>0</v>
      </c>
      <c r="L248" s="130">
        <v>0</v>
      </c>
      <c r="M248" s="130">
        <v>0</v>
      </c>
      <c r="N248" s="130">
        <f t="shared" si="135"/>
        <v>0</v>
      </c>
      <c r="P248" s="130">
        <f t="shared" si="132"/>
        <v>0</v>
      </c>
      <c r="Q248" s="130">
        <f t="shared" si="133"/>
        <v>0</v>
      </c>
    </row>
    <row r="249" spans="1:17" x14ac:dyDescent="0.25">
      <c r="A249" s="66" t="s">
        <v>187</v>
      </c>
      <c r="B249" s="161">
        <v>0</v>
      </c>
      <c r="C249" s="130">
        <v>0</v>
      </c>
      <c r="D249" s="1">
        <v>0</v>
      </c>
      <c r="E249" s="130">
        <v>3888.88</v>
      </c>
      <c r="F249" s="130">
        <v>3888.88</v>
      </c>
      <c r="G249" s="130">
        <v>13152.25</v>
      </c>
      <c r="H249" s="130">
        <v>10269.51</v>
      </c>
      <c r="I249" s="130">
        <v>3908.87</v>
      </c>
      <c r="J249" s="130">
        <v>-19383.14</v>
      </c>
      <c r="K249" s="130">
        <v>0</v>
      </c>
      <c r="L249" s="130">
        <v>-9046.33</v>
      </c>
      <c r="M249" s="130">
        <v>17965.099999999999</v>
      </c>
      <c r="N249" s="130">
        <f t="shared" si="135"/>
        <v>7777.76</v>
      </c>
      <c r="P249" s="130">
        <f t="shared" si="132"/>
        <v>-926.12181818181807</v>
      </c>
      <c r="Q249" s="130">
        <f t="shared" si="133"/>
        <v>18891.221818181817</v>
      </c>
    </row>
    <row r="250" spans="1:17" x14ac:dyDescent="0.25">
      <c r="A250" s="66" t="s">
        <v>188</v>
      </c>
      <c r="B250" s="161">
        <v>0</v>
      </c>
      <c r="C250" s="130">
        <v>0</v>
      </c>
      <c r="D250" s="1">
        <v>0</v>
      </c>
      <c r="E250" s="130">
        <v>0</v>
      </c>
      <c r="F250" s="130">
        <v>0</v>
      </c>
      <c r="G250" s="130">
        <v>234.03</v>
      </c>
      <c r="H250" s="130">
        <v>0</v>
      </c>
      <c r="I250" s="130">
        <v>56.7</v>
      </c>
      <c r="J250" s="130">
        <v>106.9</v>
      </c>
      <c r="K250" s="130">
        <v>0</v>
      </c>
      <c r="L250" s="130">
        <v>452.7</v>
      </c>
      <c r="M250" s="130">
        <v>5828.64</v>
      </c>
      <c r="N250" s="130">
        <f t="shared" si="135"/>
        <v>0</v>
      </c>
      <c r="O250" s="130"/>
      <c r="P250" s="130">
        <f t="shared" si="132"/>
        <v>-529.87636363636364</v>
      </c>
      <c r="Q250" s="130">
        <f t="shared" si="133"/>
        <v>6358.5163636363641</v>
      </c>
    </row>
    <row r="251" spans="1:17" x14ac:dyDescent="0.25">
      <c r="A251" s="66" t="s">
        <v>189</v>
      </c>
      <c r="B251" s="160">
        <v>-1079.68</v>
      </c>
      <c r="C251" s="130">
        <v>2431.7199999999998</v>
      </c>
      <c r="D251" s="1">
        <v>1397.5</v>
      </c>
      <c r="E251" s="130">
        <f>1455.94+540.08</f>
        <v>1996.02</v>
      </c>
      <c r="F251" s="130">
        <v>4141.2299999999996</v>
      </c>
      <c r="G251" s="130">
        <v>1897.43</v>
      </c>
      <c r="H251" s="130">
        <v>1351.56</v>
      </c>
      <c r="I251" s="130">
        <v>1842.88</v>
      </c>
      <c r="J251" s="130">
        <v>-947.97</v>
      </c>
      <c r="K251" s="130">
        <v>1431.58</v>
      </c>
      <c r="L251" s="130">
        <v>1149.33</v>
      </c>
      <c r="M251" s="130">
        <v>1431.58</v>
      </c>
      <c r="N251" s="130">
        <f t="shared" si="135"/>
        <v>8886.7899999999991</v>
      </c>
      <c r="P251" s="130">
        <f t="shared" si="132"/>
        <v>677.74636363636353</v>
      </c>
      <c r="Q251" s="130">
        <f t="shared" si="133"/>
        <v>753.8336363636364</v>
      </c>
    </row>
    <row r="252" spans="1:17" x14ac:dyDescent="0.25">
      <c r="A252" s="66" t="s">
        <v>190</v>
      </c>
      <c r="B252" s="160">
        <v>369.62</v>
      </c>
      <c r="C252" s="130">
        <v>337.5</v>
      </c>
      <c r="D252" s="1">
        <v>0</v>
      </c>
      <c r="E252" s="130">
        <v>269.62</v>
      </c>
      <c r="F252" s="130">
        <v>0</v>
      </c>
      <c r="G252" s="130">
        <v>0</v>
      </c>
      <c r="H252" s="130">
        <v>291.94</v>
      </c>
      <c r="I252" s="130">
        <v>0</v>
      </c>
      <c r="J252" s="130">
        <v>0</v>
      </c>
      <c r="K252" s="130">
        <v>291.93</v>
      </c>
      <c r="L252" s="130">
        <v>0</v>
      </c>
      <c r="M252" s="130">
        <v>0</v>
      </c>
      <c r="N252" s="130">
        <f t="shared" si="135"/>
        <v>976.74</v>
      </c>
      <c r="P252" s="130">
        <f t="shared" si="132"/>
        <v>88.794545454545457</v>
      </c>
      <c r="Q252" s="130">
        <f t="shared" si="133"/>
        <v>-88.794545454545457</v>
      </c>
    </row>
    <row r="253" spans="1:17" x14ac:dyDescent="0.25">
      <c r="A253" s="66" t="s">
        <v>191</v>
      </c>
      <c r="B253" s="161">
        <v>5036.3900000000003</v>
      </c>
      <c r="C253" s="130">
        <v>4091.87</v>
      </c>
      <c r="D253" s="1">
        <v>4231.8500000000004</v>
      </c>
      <c r="E253" s="130">
        <v>1960.99</v>
      </c>
      <c r="F253" s="130">
        <v>3137.77</v>
      </c>
      <c r="G253" s="130">
        <v>2373.7600000000002</v>
      </c>
      <c r="H253" s="130">
        <v>2720.77</v>
      </c>
      <c r="I253" s="130">
        <v>2233.6799999999998</v>
      </c>
      <c r="J253" s="130">
        <v>1749.68</v>
      </c>
      <c r="K253" s="130">
        <v>1749.68</v>
      </c>
      <c r="L253" s="130">
        <v>1809.68</v>
      </c>
      <c r="M253" s="130">
        <v>1749.68</v>
      </c>
      <c r="N253" s="130">
        <f t="shared" si="135"/>
        <v>18458.87</v>
      </c>
      <c r="P253" s="130">
        <f t="shared" si="132"/>
        <v>1519.0172727272727</v>
      </c>
      <c r="Q253" s="130">
        <f t="shared" si="133"/>
        <v>230.66272727272735</v>
      </c>
    </row>
    <row r="254" spans="1:17" x14ac:dyDescent="0.25">
      <c r="A254" s="66" t="s">
        <v>192</v>
      </c>
      <c r="B254" s="161">
        <v>2582.41</v>
      </c>
      <c r="C254" s="130">
        <v>2701.31</v>
      </c>
      <c r="D254" s="1">
        <v>3298.35</v>
      </c>
      <c r="E254" s="130">
        <v>2350.81</v>
      </c>
      <c r="F254" s="130">
        <v>2499.0500000000002</v>
      </c>
      <c r="G254" s="130">
        <v>3334.89</v>
      </c>
      <c r="H254" s="130">
        <v>2438.75</v>
      </c>
      <c r="I254" s="130">
        <v>2256.88</v>
      </c>
      <c r="J254" s="130">
        <v>-2442.33</v>
      </c>
      <c r="K254" s="130">
        <v>2761.82</v>
      </c>
      <c r="L254" s="130">
        <v>1312.38</v>
      </c>
      <c r="M254" s="130">
        <v>2759.5</v>
      </c>
      <c r="N254" s="130">
        <f t="shared" si="135"/>
        <v>13431.93</v>
      </c>
      <c r="P254" s="130">
        <f t="shared" si="132"/>
        <v>970.22090909090912</v>
      </c>
      <c r="Q254" s="130">
        <f t="shared" si="133"/>
        <v>1789.2790909090909</v>
      </c>
    </row>
    <row r="255" spans="1:17" x14ac:dyDescent="0.25">
      <c r="A255" s="66" t="s">
        <v>193</v>
      </c>
      <c r="B255" s="160"/>
      <c r="C255" s="130"/>
      <c r="D255" s="130"/>
      <c r="E255" s="130"/>
      <c r="F255" s="130"/>
      <c r="G255" s="130"/>
      <c r="H255" s="130"/>
      <c r="I255" s="130"/>
      <c r="J255" s="130"/>
      <c r="K255" s="130"/>
      <c r="L255" s="130"/>
      <c r="M255" s="130"/>
      <c r="N255" s="130">
        <f t="shared" si="135"/>
        <v>0</v>
      </c>
      <c r="P255" s="130">
        <f>(N255-M255)/11</f>
        <v>0</v>
      </c>
      <c r="Q255" s="130">
        <f>M255-P255</f>
        <v>0</v>
      </c>
    </row>
    <row r="256" spans="1:17" x14ac:dyDescent="0.25">
      <c r="A256" s="66" t="s">
        <v>194</v>
      </c>
      <c r="B256" s="161">
        <v>3253.33</v>
      </c>
      <c r="C256" s="130">
        <v>2533.33</v>
      </c>
      <c r="D256" s="1">
        <v>2533.33</v>
      </c>
      <c r="E256" s="130">
        <v>2533.33</v>
      </c>
      <c r="F256" s="130">
        <v>2533.33</v>
      </c>
      <c r="G256" s="130">
        <v>2533.33</v>
      </c>
      <c r="H256" s="130">
        <v>2533.33</v>
      </c>
      <c r="I256" s="130">
        <v>2533.33</v>
      </c>
      <c r="J256" s="130">
        <v>-10791.02</v>
      </c>
      <c r="K256" s="130">
        <v>2533.33</v>
      </c>
      <c r="L256" s="130">
        <v>2583.33</v>
      </c>
      <c r="M256" s="130">
        <v>0</v>
      </c>
      <c r="N256" s="130">
        <f t="shared" si="135"/>
        <v>13386.65</v>
      </c>
      <c r="P256" s="130">
        <f t="shared" si="132"/>
        <v>1216.9681818181818</v>
      </c>
      <c r="Q256" s="130">
        <f t="shared" si="133"/>
        <v>-1216.9681818181818</v>
      </c>
    </row>
    <row r="257" spans="1:17" x14ac:dyDescent="0.25">
      <c r="A257" s="66" t="s">
        <v>195</v>
      </c>
      <c r="B257" s="161">
        <v>1266.67</v>
      </c>
      <c r="C257" s="130">
        <v>1266.67</v>
      </c>
      <c r="D257" s="1">
        <v>6536.01</v>
      </c>
      <c r="E257" s="130">
        <v>3238.1</v>
      </c>
      <c r="F257" s="130">
        <v>3238.1</v>
      </c>
      <c r="G257" s="130">
        <v>-3590.69</v>
      </c>
      <c r="H257" s="130">
        <v>1535.07</v>
      </c>
      <c r="I257" s="130">
        <v>1266.67</v>
      </c>
      <c r="J257" s="130">
        <v>2678.42</v>
      </c>
      <c r="K257" s="130">
        <v>1991.67</v>
      </c>
      <c r="L257" s="130">
        <v>2440.2399999999998</v>
      </c>
      <c r="M257" s="130">
        <v>-2038.58</v>
      </c>
      <c r="N257" s="130">
        <f t="shared" si="135"/>
        <v>15545.550000000001</v>
      </c>
      <c r="P257" s="130">
        <f t="shared" si="132"/>
        <v>1598.5572727272729</v>
      </c>
      <c r="Q257" s="130">
        <f t="shared" si="133"/>
        <v>-3637.1372727272728</v>
      </c>
    </row>
    <row r="258" spans="1:17" x14ac:dyDescent="0.25">
      <c r="A258" s="66" t="s">
        <v>196</v>
      </c>
      <c r="B258" s="161">
        <v>428.57</v>
      </c>
      <c r="C258" s="130">
        <v>428.57</v>
      </c>
      <c r="D258" s="1">
        <v>428.57</v>
      </c>
      <c r="E258" s="130">
        <v>428.57</v>
      </c>
      <c r="F258" s="130">
        <v>1580.99</v>
      </c>
      <c r="G258" s="130">
        <v>-895.84</v>
      </c>
      <c r="H258" s="130">
        <v>374.03</v>
      </c>
      <c r="I258" s="130">
        <v>750</v>
      </c>
      <c r="J258" s="130">
        <v>1068.75</v>
      </c>
      <c r="K258" s="130">
        <v>673.75</v>
      </c>
      <c r="L258" s="130">
        <v>342</v>
      </c>
      <c r="M258" s="130">
        <v>13.33</v>
      </c>
      <c r="N258" s="130">
        <f t="shared" si="135"/>
        <v>3295.27</v>
      </c>
      <c r="P258" s="130">
        <f t="shared" si="132"/>
        <v>298.35818181818183</v>
      </c>
      <c r="Q258" s="130">
        <f t="shared" si="133"/>
        <v>-285.02818181818185</v>
      </c>
    </row>
    <row r="259" spans="1:17" x14ac:dyDescent="0.25">
      <c r="A259" s="66" t="s">
        <v>197</v>
      </c>
      <c r="B259" s="161">
        <v>2451.4299999999998</v>
      </c>
      <c r="C259" s="130">
        <v>2673.97</v>
      </c>
      <c r="D259" s="1">
        <v>2254.42</v>
      </c>
      <c r="E259" s="130">
        <v>0</v>
      </c>
      <c r="F259" s="130">
        <v>865.5</v>
      </c>
      <c r="G259" s="130">
        <v>3530.1</v>
      </c>
      <c r="H259" s="130">
        <v>2405.85</v>
      </c>
      <c r="I259" s="130">
        <v>2695.65</v>
      </c>
      <c r="J259" s="130">
        <v>1073.3599999999999</v>
      </c>
      <c r="K259" s="130">
        <v>1240.24</v>
      </c>
      <c r="L259" s="130">
        <v>1636.36</v>
      </c>
      <c r="M259" s="130">
        <v>2372.2800000000002</v>
      </c>
      <c r="N259" s="130">
        <f t="shared" si="135"/>
        <v>8245.32</v>
      </c>
      <c r="P259" s="130">
        <f t="shared" si="132"/>
        <v>533.91272727272724</v>
      </c>
      <c r="Q259" s="130">
        <f t="shared" si="133"/>
        <v>1838.3672727272728</v>
      </c>
    </row>
    <row r="260" spans="1:17" hidden="1" x14ac:dyDescent="0.25">
      <c r="A260" s="66" t="s">
        <v>198</v>
      </c>
      <c r="C260" s="130"/>
      <c r="D260" s="1"/>
      <c r="E260" s="130"/>
      <c r="F260" s="130"/>
      <c r="G260" s="130"/>
      <c r="H260" s="130"/>
      <c r="I260" s="130"/>
      <c r="J260" s="130"/>
      <c r="K260" s="130"/>
      <c r="L260" s="130"/>
      <c r="M260" s="130"/>
      <c r="N260" s="130">
        <f t="shared" si="135"/>
        <v>0</v>
      </c>
      <c r="P260" s="130">
        <f t="shared" si="132"/>
        <v>0</v>
      </c>
      <c r="Q260" s="130">
        <f t="shared" si="133"/>
        <v>0</v>
      </c>
    </row>
    <row r="261" spans="1:17" hidden="1" x14ac:dyDescent="0.25">
      <c r="A261" s="66" t="s">
        <v>435</v>
      </c>
      <c r="C261" s="130"/>
      <c r="D261" s="1"/>
      <c r="E261" s="130"/>
      <c r="F261" s="130"/>
      <c r="G261" s="130"/>
      <c r="H261" s="130"/>
      <c r="I261" s="130"/>
      <c r="J261" s="130"/>
      <c r="K261" s="130"/>
      <c r="L261" s="130"/>
      <c r="M261" s="130"/>
      <c r="N261" s="130">
        <f t="shared" si="135"/>
        <v>0</v>
      </c>
      <c r="P261" s="130"/>
      <c r="Q261" s="130"/>
    </row>
    <row r="262" spans="1:17" x14ac:dyDescent="0.25">
      <c r="A262" s="66" t="s">
        <v>393</v>
      </c>
      <c r="B262" s="161">
        <v>3782</v>
      </c>
      <c r="C262" s="130">
        <v>3307.08</v>
      </c>
      <c r="D262" s="1">
        <v>1484.08</v>
      </c>
      <c r="E262" s="130">
        <v>3120.16</v>
      </c>
      <c r="F262" s="130">
        <v>1484.08</v>
      </c>
      <c r="G262" s="130">
        <v>10055.51</v>
      </c>
      <c r="H262" s="130">
        <v>11706.59</v>
      </c>
      <c r="I262" s="130">
        <v>10222.51</v>
      </c>
      <c r="J262" s="130">
        <v>-2159.27</v>
      </c>
      <c r="K262" s="130">
        <v>9218.25</v>
      </c>
      <c r="L262" s="130">
        <v>7869.73</v>
      </c>
      <c r="M262" s="130">
        <v>23290.85</v>
      </c>
      <c r="N262" s="130">
        <f t="shared" si="135"/>
        <v>13177.4</v>
      </c>
      <c r="P262" s="130"/>
      <c r="Q262" s="130"/>
    </row>
    <row r="263" spans="1:17" x14ac:dyDescent="0.25">
      <c r="A263" s="66" t="s">
        <v>430</v>
      </c>
      <c r="B263" s="161">
        <v>44000</v>
      </c>
      <c r="C263" s="130">
        <v>25000</v>
      </c>
      <c r="D263" s="1">
        <v>25000</v>
      </c>
      <c r="E263" s="130">
        <v>25000</v>
      </c>
      <c r="F263" s="130">
        <v>25000</v>
      </c>
      <c r="G263" s="130">
        <v>29428.57</v>
      </c>
      <c r="H263" s="130">
        <v>29428.57</v>
      </c>
      <c r="I263" s="130">
        <v>29428.57</v>
      </c>
      <c r="J263" s="130">
        <v>29428.57</v>
      </c>
      <c r="K263" s="130">
        <v>29428.57</v>
      </c>
      <c r="L263" s="130">
        <v>29428.57</v>
      </c>
      <c r="M263" s="130">
        <v>29428.57</v>
      </c>
      <c r="N263" s="130">
        <f t="shared" si="135"/>
        <v>144000</v>
      </c>
      <c r="P263" s="130"/>
      <c r="Q263" s="130"/>
    </row>
    <row r="264" spans="1:17" x14ac:dyDescent="0.25">
      <c r="A264" s="66" t="s">
        <v>394</v>
      </c>
      <c r="B264" s="161">
        <v>7500</v>
      </c>
      <c r="C264" s="130">
        <v>7500</v>
      </c>
      <c r="D264" s="1">
        <v>8000</v>
      </c>
      <c r="E264" s="130">
        <v>7500</v>
      </c>
      <c r="F264" s="130">
        <v>7500</v>
      </c>
      <c r="G264" s="130">
        <v>7500</v>
      </c>
      <c r="H264" s="130">
        <v>7500</v>
      </c>
      <c r="I264" s="130">
        <v>7500</v>
      </c>
      <c r="J264" s="130">
        <v>7500</v>
      </c>
      <c r="K264" s="130">
        <v>7500</v>
      </c>
      <c r="L264" s="130">
        <v>7500</v>
      </c>
      <c r="M264" s="130">
        <v>7500</v>
      </c>
      <c r="N264" s="130">
        <f t="shared" si="135"/>
        <v>38000</v>
      </c>
      <c r="P264" s="130"/>
      <c r="Q264" s="130"/>
    </row>
    <row r="265" spans="1:17" x14ac:dyDescent="0.25">
      <c r="A265" s="66" t="s">
        <v>431</v>
      </c>
      <c r="B265" s="161">
        <v>0</v>
      </c>
      <c r="C265" s="130">
        <v>1215</v>
      </c>
      <c r="D265" s="1">
        <v>0</v>
      </c>
      <c r="E265" s="130">
        <v>8257.5</v>
      </c>
      <c r="F265" s="130">
        <v>3982.5</v>
      </c>
      <c r="G265" s="130">
        <v>6097.5</v>
      </c>
      <c r="H265" s="130">
        <v>9922.5</v>
      </c>
      <c r="I265" s="130">
        <v>4455</v>
      </c>
      <c r="J265" s="130">
        <v>-8350.8799999999992</v>
      </c>
      <c r="K265" s="130">
        <v>4630.2700000000004</v>
      </c>
      <c r="L265" s="130">
        <v>424.12</v>
      </c>
      <c r="M265" s="130">
        <v>3109.85</v>
      </c>
      <c r="N265" s="130">
        <f t="shared" si="135"/>
        <v>13455</v>
      </c>
      <c r="P265" s="130"/>
      <c r="Q265" s="130"/>
    </row>
    <row r="266" spans="1:17" x14ac:dyDescent="0.25">
      <c r="A266" s="66" t="s">
        <v>432</v>
      </c>
      <c r="B266" s="160">
        <v>109</v>
      </c>
      <c r="C266" s="130">
        <v>0</v>
      </c>
      <c r="D266" s="1">
        <v>0</v>
      </c>
      <c r="E266" s="130">
        <v>0</v>
      </c>
      <c r="F266" s="130">
        <v>0</v>
      </c>
      <c r="G266" s="130">
        <v>0</v>
      </c>
      <c r="H266" s="130">
        <v>161</v>
      </c>
      <c r="I266" s="130">
        <v>300</v>
      </c>
      <c r="J266" s="130">
        <v>1093</v>
      </c>
      <c r="K266" s="130">
        <v>90</v>
      </c>
      <c r="L266" s="130">
        <v>910</v>
      </c>
      <c r="M266" s="130">
        <v>503.5</v>
      </c>
      <c r="N266" s="130">
        <f t="shared" si="135"/>
        <v>109</v>
      </c>
      <c r="P266" s="130"/>
      <c r="Q266" s="130"/>
    </row>
    <row r="267" spans="1:17" x14ac:dyDescent="0.25">
      <c r="A267" s="66" t="s">
        <v>433</v>
      </c>
      <c r="B267" s="161">
        <v>0</v>
      </c>
      <c r="C267" s="130">
        <v>0</v>
      </c>
      <c r="D267" s="1">
        <v>0</v>
      </c>
      <c r="E267" s="130">
        <v>0</v>
      </c>
      <c r="F267" s="130">
        <v>300</v>
      </c>
      <c r="G267" s="130">
        <v>0</v>
      </c>
      <c r="H267" s="130">
        <v>0</v>
      </c>
      <c r="I267" s="130">
        <v>86.71</v>
      </c>
      <c r="J267" s="130">
        <v>0</v>
      </c>
      <c r="K267" s="130">
        <v>0</v>
      </c>
      <c r="L267" s="130">
        <v>0</v>
      </c>
      <c r="M267" s="130">
        <v>0</v>
      </c>
      <c r="N267" s="130">
        <f t="shared" si="135"/>
        <v>300</v>
      </c>
      <c r="P267" s="130"/>
      <c r="Q267" s="130"/>
    </row>
    <row r="268" spans="1:17" x14ac:dyDescent="0.25">
      <c r="A268" s="66" t="s">
        <v>434</v>
      </c>
      <c r="B268" s="161">
        <v>0</v>
      </c>
      <c r="C268" s="130">
        <v>0</v>
      </c>
      <c r="D268" s="1">
        <v>0</v>
      </c>
      <c r="E268" s="130">
        <v>0</v>
      </c>
      <c r="F268" s="130">
        <v>0</v>
      </c>
      <c r="G268" s="130">
        <v>573.52</v>
      </c>
      <c r="H268" s="130">
        <v>0</v>
      </c>
      <c r="I268" s="130">
        <v>0</v>
      </c>
      <c r="J268" s="130">
        <v>0</v>
      </c>
      <c r="K268" s="130">
        <v>0</v>
      </c>
      <c r="L268" s="130">
        <v>0</v>
      </c>
      <c r="M268" s="130">
        <v>0</v>
      </c>
      <c r="N268" s="130">
        <f t="shared" si="135"/>
        <v>0</v>
      </c>
      <c r="P268" s="130"/>
      <c r="Q268" s="130"/>
    </row>
    <row r="269" spans="1:17" x14ac:dyDescent="0.25">
      <c r="A269" s="66" t="s">
        <v>455</v>
      </c>
      <c r="B269" s="160"/>
      <c r="C269" s="130"/>
      <c r="D269" s="1"/>
      <c r="E269" s="130"/>
      <c r="F269" s="130"/>
      <c r="G269" s="130">
        <v>0</v>
      </c>
      <c r="H269" s="130">
        <v>0</v>
      </c>
      <c r="I269" s="130">
        <v>6518.25</v>
      </c>
      <c r="J269" s="130">
        <v>1181.6199999999999</v>
      </c>
      <c r="K269" s="130">
        <v>11590.85</v>
      </c>
      <c r="L269" s="130">
        <v>7906.3</v>
      </c>
      <c r="M269" s="130">
        <v>3449.32</v>
      </c>
      <c r="N269" s="130">
        <f t="shared" si="135"/>
        <v>0</v>
      </c>
      <c r="P269" s="130"/>
      <c r="Q269" s="130"/>
    </row>
    <row r="270" spans="1:17" ht="15.75" thickBot="1" x14ac:dyDescent="0.3">
      <c r="A270" s="74" t="s">
        <v>199</v>
      </c>
      <c r="B270" s="151">
        <f t="shared" ref="B270:G270" si="136">SUM(B240:B268)</f>
        <v>90442.829999999987</v>
      </c>
      <c r="C270" s="151">
        <f t="shared" si="136"/>
        <v>71415.44</v>
      </c>
      <c r="D270" s="151">
        <f t="shared" si="136"/>
        <v>72804.350000000006</v>
      </c>
      <c r="E270" s="151">
        <f t="shared" si="136"/>
        <v>77596.460000000006</v>
      </c>
      <c r="F270" s="151">
        <f t="shared" si="136"/>
        <v>76368.37</v>
      </c>
      <c r="G270" s="151">
        <f t="shared" si="136"/>
        <v>87260.21</v>
      </c>
      <c r="H270" s="151">
        <f t="shared" ref="H270" si="137">SUM(H240:H267)</f>
        <v>100682.48999999999</v>
      </c>
      <c r="I270" s="151">
        <f t="shared" ref="I270:N270" si="138">SUM(I240:I269)</f>
        <v>93622.96</v>
      </c>
      <c r="J270" s="151">
        <f t="shared" si="138"/>
        <v>3254.6100000000069</v>
      </c>
      <c r="K270" s="151">
        <f t="shared" si="138"/>
        <v>90818.64</v>
      </c>
      <c r="L270" s="151">
        <f t="shared" si="138"/>
        <v>66473.72</v>
      </c>
      <c r="M270" s="151">
        <f t="shared" si="138"/>
        <v>115905.43000000002</v>
      </c>
      <c r="N270" s="151">
        <f t="shared" si="138"/>
        <v>388627.44999999995</v>
      </c>
      <c r="P270" s="151">
        <f t="shared" si="132"/>
        <v>24792.910909090901</v>
      </c>
      <c r="Q270" s="151">
        <f t="shared" si="133"/>
        <v>91112.519090909118</v>
      </c>
    </row>
    <row r="271" spans="1:17" ht="15.75" thickTop="1" x14ac:dyDescent="0.25">
      <c r="C271" s="130"/>
      <c r="D271" s="130"/>
      <c r="E271" s="130"/>
      <c r="F271" s="130"/>
      <c r="G271" s="130"/>
      <c r="H271" s="130"/>
      <c r="I271" s="130"/>
      <c r="J271" s="130"/>
      <c r="K271" s="130"/>
      <c r="L271" s="130"/>
      <c r="M271" s="130"/>
      <c r="N271" s="130"/>
      <c r="P271" s="130">
        <f t="shared" si="132"/>
        <v>0</v>
      </c>
      <c r="Q271" s="130">
        <f t="shared" si="133"/>
        <v>0</v>
      </c>
    </row>
    <row r="272" spans="1:17" x14ac:dyDescent="0.25">
      <c r="A272" s="74" t="s">
        <v>324</v>
      </c>
      <c r="C272" s="130"/>
      <c r="D272" s="130"/>
      <c r="E272" s="130"/>
      <c r="F272" s="130"/>
      <c r="G272" s="130"/>
      <c r="H272" s="130"/>
      <c r="I272" s="130"/>
      <c r="J272" s="130"/>
      <c r="K272" s="130"/>
      <c r="L272" s="130"/>
      <c r="M272" s="130"/>
      <c r="N272" s="130"/>
      <c r="P272" s="130">
        <f t="shared" si="132"/>
        <v>0</v>
      </c>
      <c r="Q272" s="130">
        <f t="shared" si="133"/>
        <v>0</v>
      </c>
    </row>
    <row r="273" spans="1:17" x14ac:dyDescent="0.25">
      <c r="A273" s="66" t="s">
        <v>200</v>
      </c>
      <c r="B273" s="130">
        <v>12500</v>
      </c>
      <c r="C273" s="130">
        <v>12500</v>
      </c>
      <c r="D273" s="130">
        <v>12500</v>
      </c>
      <c r="E273" s="130">
        <v>12500</v>
      </c>
      <c r="F273" s="130">
        <v>12500</v>
      </c>
      <c r="G273" s="130">
        <v>12500</v>
      </c>
      <c r="H273" s="130">
        <v>12500</v>
      </c>
      <c r="I273" s="130">
        <v>12500</v>
      </c>
      <c r="J273" s="130">
        <v>12500</v>
      </c>
      <c r="K273" s="130">
        <v>12500</v>
      </c>
      <c r="L273" s="130">
        <v>12500</v>
      </c>
      <c r="M273" s="130">
        <v>12500</v>
      </c>
      <c r="N273" s="130">
        <f>SUM(B273:F273)</f>
        <v>62500</v>
      </c>
      <c r="P273" s="130">
        <f t="shared" si="132"/>
        <v>4545.454545454545</v>
      </c>
      <c r="Q273" s="130">
        <f t="shared" si="133"/>
        <v>7954.545454545455</v>
      </c>
    </row>
    <row r="274" spans="1:17" x14ac:dyDescent="0.25">
      <c r="A274" s="66" t="s">
        <v>201</v>
      </c>
      <c r="B274" s="130">
        <v>34022.5</v>
      </c>
      <c r="C274" s="130">
        <v>34265</v>
      </c>
      <c r="D274" s="130">
        <v>34451.25</v>
      </c>
      <c r="E274" s="130">
        <v>34845</v>
      </c>
      <c r="F274" s="130">
        <v>34565</v>
      </c>
      <c r="G274" s="130">
        <v>34906.25</v>
      </c>
      <c r="H274" s="130">
        <v>36258.75</v>
      </c>
      <c r="I274" s="130">
        <v>35423.75</v>
      </c>
      <c r="J274" s="130">
        <v>-278737.5</v>
      </c>
      <c r="K274" s="130">
        <v>0</v>
      </c>
      <c r="L274" s="130">
        <v>0</v>
      </c>
      <c r="M274" s="130">
        <v>0</v>
      </c>
      <c r="N274" s="130">
        <f t="shared" ref="N274:N284" si="139">SUM(B274:F274)</f>
        <v>172148.75</v>
      </c>
      <c r="P274" s="130">
        <f t="shared" si="132"/>
        <v>15649.886363636364</v>
      </c>
      <c r="Q274" s="130">
        <f t="shared" si="133"/>
        <v>-15649.886363636364</v>
      </c>
    </row>
    <row r="275" spans="1:17" x14ac:dyDescent="0.25">
      <c r="A275" s="66" t="s">
        <v>395</v>
      </c>
      <c r="B275" s="130">
        <v>0</v>
      </c>
      <c r="C275" s="130">
        <v>0</v>
      </c>
      <c r="D275" s="130">
        <v>0</v>
      </c>
      <c r="E275" s="130">
        <v>0</v>
      </c>
      <c r="F275" s="130">
        <v>31752.38</v>
      </c>
      <c r="G275" s="130">
        <v>5625.56</v>
      </c>
      <c r="H275" s="130">
        <v>4645.78</v>
      </c>
      <c r="I275" s="130">
        <v>3846.94</v>
      </c>
      <c r="J275" s="130">
        <v>3326.21</v>
      </c>
      <c r="K275" s="130">
        <v>3245.67</v>
      </c>
      <c r="L275" s="130">
        <v>3067.11</v>
      </c>
      <c r="M275" s="130">
        <v>2688.81</v>
      </c>
      <c r="N275" s="130">
        <f t="shared" si="139"/>
        <v>31752.38</v>
      </c>
      <c r="P275" s="130"/>
      <c r="Q275" s="130"/>
    </row>
    <row r="276" spans="1:17" x14ac:dyDescent="0.25">
      <c r="A276" s="66" t="s">
        <v>202</v>
      </c>
      <c r="B276" s="130">
        <v>6585.5</v>
      </c>
      <c r="C276" s="130">
        <v>10400.5</v>
      </c>
      <c r="D276" s="130">
        <v>6846.5</v>
      </c>
      <c r="E276" s="130">
        <v>18155</v>
      </c>
      <c r="F276" s="130">
        <v>23942.5</v>
      </c>
      <c r="G276" s="130">
        <v>23535</v>
      </c>
      <c r="H276" s="130">
        <v>27107.66</v>
      </c>
      <c r="I276" s="130">
        <v>22399.58</v>
      </c>
      <c r="J276" s="130">
        <v>15252.15</v>
      </c>
      <c r="K276" s="130">
        <v>19396.66</v>
      </c>
      <c r="L276" s="130">
        <v>8388.56</v>
      </c>
      <c r="M276" s="130">
        <v>9975.44</v>
      </c>
      <c r="N276" s="130">
        <f t="shared" si="139"/>
        <v>65930</v>
      </c>
      <c r="P276" s="130"/>
      <c r="Q276" s="130"/>
    </row>
    <row r="277" spans="1:17" x14ac:dyDescent="0.25">
      <c r="A277" s="66" t="s">
        <v>203</v>
      </c>
      <c r="B277" s="130">
        <v>41021.9</v>
      </c>
      <c r="C277" s="130">
        <v>14206.22</v>
      </c>
      <c r="D277" s="130">
        <v>13266.54</v>
      </c>
      <c r="E277" s="130">
        <v>32043.16</v>
      </c>
      <c r="F277" s="130">
        <v>18002.150000000001</v>
      </c>
      <c r="G277" s="130">
        <v>18622.22</v>
      </c>
      <c r="H277" s="130">
        <v>12562.67</v>
      </c>
      <c r="I277" s="130">
        <v>3538.9</v>
      </c>
      <c r="J277" s="130">
        <v>30143.42</v>
      </c>
      <c r="K277" s="130">
        <v>22129.23</v>
      </c>
      <c r="L277" s="130">
        <v>34960.17</v>
      </c>
      <c r="M277" s="130">
        <v>47739.03</v>
      </c>
      <c r="N277" s="130">
        <f t="shared" si="139"/>
        <v>118539.97</v>
      </c>
      <c r="P277" s="130">
        <f t="shared" ref="P277:P289" si="140">(N277-M277)/11</f>
        <v>6436.449090909091</v>
      </c>
      <c r="Q277" s="130">
        <f t="shared" ref="Q277:Q289" si="141">M277-P277</f>
        <v>41302.58090909091</v>
      </c>
    </row>
    <row r="278" spans="1:17" x14ac:dyDescent="0.25">
      <c r="A278" s="66" t="s">
        <v>204</v>
      </c>
      <c r="B278" s="130">
        <v>-12832.51</v>
      </c>
      <c r="C278" s="130">
        <v>-10798.17</v>
      </c>
      <c r="D278" s="130">
        <v>-12464.55</v>
      </c>
      <c r="E278" s="130">
        <v>-15499.01</v>
      </c>
      <c r="F278" s="130">
        <v>-24863.5</v>
      </c>
      <c r="G278" s="130">
        <v>-16320.72</v>
      </c>
      <c r="H278" s="130">
        <v>-14231.08</v>
      </c>
      <c r="I278" s="130">
        <v>-15651.5</v>
      </c>
      <c r="J278" s="130">
        <v>-15109.51</v>
      </c>
      <c r="K278" s="130">
        <v>-16423.150000000001</v>
      </c>
      <c r="L278" s="130">
        <v>-14395.92</v>
      </c>
      <c r="M278" s="130">
        <v>-15040.61</v>
      </c>
      <c r="N278" s="130">
        <f t="shared" si="139"/>
        <v>-76457.739999999991</v>
      </c>
      <c r="P278" s="130">
        <f t="shared" si="140"/>
        <v>-5583.375454545454</v>
      </c>
      <c r="Q278" s="130">
        <f t="shared" si="141"/>
        <v>-9457.2345454545466</v>
      </c>
    </row>
    <row r="279" spans="1:17" x14ac:dyDescent="0.25">
      <c r="A279" s="66" t="s">
        <v>396</v>
      </c>
      <c r="B279" s="130">
        <v>0</v>
      </c>
      <c r="C279" s="130">
        <v>0</v>
      </c>
      <c r="D279" s="130">
        <v>0.1</v>
      </c>
      <c r="E279" s="130">
        <v>0</v>
      </c>
      <c r="F279" s="130">
        <v>0</v>
      </c>
      <c r="G279" s="130">
        <v>49.5</v>
      </c>
      <c r="H279" s="130">
        <v>0</v>
      </c>
      <c r="I279" s="130">
        <v>0</v>
      </c>
      <c r="J279" s="130">
        <v>0</v>
      </c>
      <c r="K279" s="130">
        <v>0</v>
      </c>
      <c r="L279" s="130">
        <v>0</v>
      </c>
      <c r="M279" s="130">
        <v>897.66</v>
      </c>
      <c r="N279" s="130">
        <f t="shared" si="139"/>
        <v>0.1</v>
      </c>
      <c r="P279" s="130">
        <f t="shared" si="140"/>
        <v>-81.596363636363634</v>
      </c>
      <c r="Q279" s="130">
        <f t="shared" si="141"/>
        <v>979.25636363636363</v>
      </c>
    </row>
    <row r="280" spans="1:17" x14ac:dyDescent="0.25">
      <c r="A280" s="66" t="s">
        <v>397</v>
      </c>
      <c r="B280" s="130">
        <v>0</v>
      </c>
      <c r="C280" s="130">
        <v>0</v>
      </c>
      <c r="D280" s="130">
        <v>0</v>
      </c>
      <c r="E280" s="130">
        <v>0</v>
      </c>
      <c r="F280" s="130">
        <v>2087.77</v>
      </c>
      <c r="G280" s="130">
        <v>2250.1799999999998</v>
      </c>
      <c r="H280" s="130">
        <v>1925.15</v>
      </c>
      <c r="I280" s="130">
        <v>9930.23</v>
      </c>
      <c r="J280" s="130">
        <v>9676.48</v>
      </c>
      <c r="K280" s="130">
        <v>11787.56</v>
      </c>
      <c r="L280" s="130">
        <v>14682.25</v>
      </c>
      <c r="M280" s="130">
        <v>17493.96</v>
      </c>
      <c r="N280" s="130">
        <f t="shared" si="139"/>
        <v>2087.77</v>
      </c>
      <c r="P280" s="130"/>
      <c r="Q280" s="130"/>
    </row>
    <row r="281" spans="1:17" x14ac:dyDescent="0.25">
      <c r="A281" s="66" t="s">
        <v>437</v>
      </c>
      <c r="B281" s="130">
        <v>0</v>
      </c>
      <c r="C281" s="130">
        <v>0</v>
      </c>
      <c r="D281" s="130">
        <v>0</v>
      </c>
      <c r="E281" s="130">
        <v>0</v>
      </c>
      <c r="F281" s="130">
        <v>0</v>
      </c>
      <c r="G281" s="130">
        <v>944.87</v>
      </c>
      <c r="H281" s="130">
        <v>896.84</v>
      </c>
      <c r="I281" s="130">
        <v>1815.02</v>
      </c>
      <c r="J281" s="130">
        <v>1378.43</v>
      </c>
      <c r="K281" s="130">
        <v>1346.44</v>
      </c>
      <c r="L281" s="130">
        <v>214.73</v>
      </c>
      <c r="M281" s="130">
        <v>637.66999999999996</v>
      </c>
      <c r="N281" s="130">
        <f t="shared" si="139"/>
        <v>0</v>
      </c>
      <c r="P281" s="130"/>
      <c r="Q281" s="130"/>
    </row>
    <row r="282" spans="1:17" x14ac:dyDescent="0.25">
      <c r="A282" s="66" t="s">
        <v>398</v>
      </c>
      <c r="B282" s="130">
        <v>0</v>
      </c>
      <c r="C282" s="130">
        <v>0</v>
      </c>
      <c r="D282" s="130">
        <v>0</v>
      </c>
      <c r="E282" s="130">
        <v>0</v>
      </c>
      <c r="F282" s="130">
        <v>7848.21</v>
      </c>
      <c r="G282" s="130">
        <v>7891.39</v>
      </c>
      <c r="H282" s="130">
        <v>2345.38</v>
      </c>
      <c r="I282" s="130">
        <v>2213.81</v>
      </c>
      <c r="J282" s="130">
        <v>1785.24</v>
      </c>
      <c r="K282" s="130">
        <v>2122.1999999999998</v>
      </c>
      <c r="L282" s="130">
        <v>2685.54</v>
      </c>
      <c r="M282" s="130">
        <v>3229.89</v>
      </c>
      <c r="N282" s="130">
        <f t="shared" si="139"/>
        <v>7848.21</v>
      </c>
      <c r="P282" s="130"/>
      <c r="Q282" s="130"/>
    </row>
    <row r="283" spans="1:17" x14ac:dyDescent="0.25">
      <c r="A283" s="66" t="s">
        <v>436</v>
      </c>
      <c r="B283" s="130">
        <v>0</v>
      </c>
      <c r="C283" s="130">
        <v>0</v>
      </c>
      <c r="D283" s="130">
        <v>0</v>
      </c>
      <c r="E283" s="130">
        <v>0</v>
      </c>
      <c r="F283" s="130">
        <v>0</v>
      </c>
      <c r="G283" s="130">
        <v>2495.6</v>
      </c>
      <c r="H283" s="130">
        <v>7458.78</v>
      </c>
      <c r="I283" s="130">
        <v>7350.25</v>
      </c>
      <c r="J283" s="130">
        <v>8126.37</v>
      </c>
      <c r="K283" s="130">
        <v>10558.14</v>
      </c>
      <c r="L283" s="130">
        <v>12910.5</v>
      </c>
      <c r="M283" s="130">
        <v>11992.02</v>
      </c>
      <c r="N283" s="130">
        <f t="shared" si="139"/>
        <v>0</v>
      </c>
      <c r="P283" s="130"/>
      <c r="Q283" s="130"/>
    </row>
    <row r="284" spans="1:17" x14ac:dyDescent="0.25">
      <c r="A284" s="66" t="s">
        <v>448</v>
      </c>
      <c r="B284" s="130">
        <v>0</v>
      </c>
      <c r="C284" s="130">
        <v>0</v>
      </c>
      <c r="D284" s="130">
        <v>0</v>
      </c>
      <c r="E284" s="130">
        <v>0</v>
      </c>
      <c r="F284" s="130">
        <v>0</v>
      </c>
      <c r="G284" s="130">
        <v>0</v>
      </c>
      <c r="H284" s="130">
        <v>3098.28</v>
      </c>
      <c r="I284" s="130">
        <v>0</v>
      </c>
      <c r="J284" s="130">
        <v>0</v>
      </c>
      <c r="K284" s="130">
        <v>0</v>
      </c>
      <c r="L284" s="130">
        <v>0</v>
      </c>
      <c r="M284" s="130">
        <v>13890</v>
      </c>
      <c r="N284" s="130">
        <f t="shared" si="139"/>
        <v>0</v>
      </c>
      <c r="P284" s="130"/>
      <c r="Q284" s="130"/>
    </row>
    <row r="285" spans="1:17" ht="15.75" thickBot="1" x14ac:dyDescent="0.3">
      <c r="A285" s="74" t="s">
        <v>205</v>
      </c>
      <c r="B285" s="155">
        <f t="shared" ref="B285:G285" si="142">SUM(B273:B284)</f>
        <v>81297.39</v>
      </c>
      <c r="C285" s="155">
        <f t="shared" si="142"/>
        <v>60573.55</v>
      </c>
      <c r="D285" s="155">
        <f t="shared" si="142"/>
        <v>54599.840000000004</v>
      </c>
      <c r="E285" s="155">
        <f t="shared" si="142"/>
        <v>82044.150000000009</v>
      </c>
      <c r="F285" s="155">
        <f t="shared" si="142"/>
        <v>105834.51000000001</v>
      </c>
      <c r="G285" s="155">
        <f t="shared" si="142"/>
        <v>92499.849999999991</v>
      </c>
      <c r="H285" s="155">
        <f t="shared" ref="H285" si="143">SUM(H273:H284)</f>
        <v>94568.209999999992</v>
      </c>
      <c r="I285" s="155">
        <f t="shared" ref="I285:N285" si="144">SUM(I273:I284)</f>
        <v>83366.98</v>
      </c>
      <c r="J285" s="155">
        <f t="shared" si="144"/>
        <v>-211658.71</v>
      </c>
      <c r="K285" s="155">
        <f t="shared" si="144"/>
        <v>66662.75</v>
      </c>
      <c r="L285" s="155">
        <f t="shared" si="144"/>
        <v>75012.94</v>
      </c>
      <c r="M285" s="155">
        <f t="shared" si="144"/>
        <v>106003.87000000001</v>
      </c>
      <c r="N285" s="155">
        <f t="shared" si="144"/>
        <v>384349.44</v>
      </c>
      <c r="P285" s="155">
        <f t="shared" si="140"/>
        <v>25304.142727272727</v>
      </c>
      <c r="Q285" s="155">
        <f t="shared" si="141"/>
        <v>80699.727272727279</v>
      </c>
    </row>
    <row r="286" spans="1:17" ht="15.75" thickTop="1" x14ac:dyDescent="0.25">
      <c r="P286" s="66">
        <f t="shared" si="140"/>
        <v>0</v>
      </c>
      <c r="Q286" s="66">
        <f t="shared" si="141"/>
        <v>0</v>
      </c>
    </row>
    <row r="287" spans="1:17" s="74" customFormat="1" ht="15.75" thickBot="1" x14ac:dyDescent="0.3">
      <c r="A287" s="74" t="s">
        <v>206</v>
      </c>
      <c r="B287" s="151">
        <f t="shared" ref="B287:G287" si="145">B200-B214-B238-B270+B285</f>
        <v>65733.430000085864</v>
      </c>
      <c r="C287" s="151">
        <f t="shared" si="145"/>
        <v>62568.989999875965</v>
      </c>
      <c r="D287" s="151">
        <f t="shared" si="145"/>
        <v>190852.60999999283</v>
      </c>
      <c r="E287" s="151">
        <f t="shared" si="145"/>
        <v>-70572.119999890288</v>
      </c>
      <c r="F287" s="151">
        <f t="shared" si="145"/>
        <v>-203743.00000022177</v>
      </c>
      <c r="G287" s="151">
        <f t="shared" si="145"/>
        <v>-88358.510000069145</v>
      </c>
      <c r="H287" s="151">
        <f t="shared" ref="H287" si="146">H200-H214-H238-H270+H285</f>
        <v>-303625.04000008584</v>
      </c>
      <c r="I287" s="151">
        <f t="shared" ref="I287:L287" si="147">I200-I214-I238-I270+I285</f>
        <v>-208857.15000011685</v>
      </c>
      <c r="J287" s="151">
        <f t="shared" si="147"/>
        <v>624726.2899999572</v>
      </c>
      <c r="K287" s="151">
        <f t="shared" si="147"/>
        <v>-30452.230000001189</v>
      </c>
      <c r="L287" s="151">
        <f t="shared" si="147"/>
        <v>-220404.46999992366</v>
      </c>
      <c r="M287" s="151">
        <f>M200-M214-M238-M270+M285</f>
        <v>-388476.55999977468</v>
      </c>
      <c r="N287" s="151">
        <f>N200-N214-N238-N270+N285</f>
        <v>44839.909999842464</v>
      </c>
      <c r="P287" s="151">
        <f t="shared" si="140"/>
        <v>39392.406363601556</v>
      </c>
      <c r="Q287" s="151">
        <f t="shared" si="141"/>
        <v>-427868.96636337624</v>
      </c>
    </row>
    <row r="288" spans="1:17" ht="15.75" thickTop="1" x14ac:dyDescent="0.25">
      <c r="P288" s="66">
        <f t="shared" si="140"/>
        <v>0</v>
      </c>
      <c r="Q288" s="66">
        <f t="shared" si="141"/>
        <v>0</v>
      </c>
    </row>
    <row r="289" spans="2:17" x14ac:dyDescent="0.25">
      <c r="B289" s="156">
        <f t="shared" ref="B289:G289" si="148">+B78-B287</f>
        <v>3.3396645449101925E-8</v>
      </c>
      <c r="C289" s="156">
        <f t="shared" si="148"/>
        <v>-8.5754436440765858E-8</v>
      </c>
      <c r="D289" s="156">
        <f t="shared" si="148"/>
        <v>-6.1991158872842789E-8</v>
      </c>
      <c r="E289" s="156">
        <f t="shared" si="148"/>
        <v>-1.5126715879887342E-7</v>
      </c>
      <c r="F289" s="156">
        <f t="shared" si="148"/>
        <v>2.2526364773511887E-7</v>
      </c>
      <c r="G289" s="156">
        <f t="shared" si="148"/>
        <v>1.1976226232945919E-8</v>
      </c>
      <c r="H289" s="156">
        <f t="shared" ref="H289" si="149">+H78-H287</f>
        <v>1.0972144082188606E-7</v>
      </c>
      <c r="I289" s="156">
        <f t="shared" ref="I289:N289" si="150">+I78-I287</f>
        <v>1.6932608559727669E-7</v>
      </c>
      <c r="J289" s="156">
        <f t="shared" si="150"/>
        <v>1.073349267244339E-7</v>
      </c>
      <c r="K289" s="156">
        <f t="shared" si="150"/>
        <v>1.2507371138781309E-7</v>
      </c>
      <c r="L289" s="156">
        <f t="shared" si="150"/>
        <v>4.8894435167312622E-8</v>
      </c>
      <c r="M289" s="156">
        <f t="shared" si="150"/>
        <v>-1.6082776710391045E-7</v>
      </c>
      <c r="N289" s="156">
        <f t="shared" si="150"/>
        <v>1.3812677934765816E-7</v>
      </c>
      <c r="P289" s="156">
        <f t="shared" si="140"/>
        <v>2.7177686041051693E-8</v>
      </c>
      <c r="Q289" s="156">
        <f t="shared" si="141"/>
        <v>-1.8800545314496214E-7</v>
      </c>
    </row>
    <row r="290" spans="2:17" x14ac:dyDescent="0.25">
      <c r="B290" s="130">
        <v>65733.429999999993</v>
      </c>
    </row>
    <row r="291" spans="2:17" x14ac:dyDescent="0.25">
      <c r="L291" s="156"/>
    </row>
  </sheetData>
  <pageMargins left="0.25" right="0.25" top="0.75" bottom="0.75" header="0.3" footer="0.3"/>
  <pageSetup paperSize="5" scale="45" fitToHeight="0" orientation="landscape" r:id="rId1"/>
  <headerFooter scaleWithDoc="0" alignWithMargins="0"/>
  <rowBreaks count="5" manualBreakCount="5">
    <brk id="51" max="13" man="1"/>
    <brk id="104" max="13" man="1"/>
    <brk id="130" max="13" man="1"/>
    <brk id="200" max="13" man="1"/>
    <brk id="270" max="16383" man="1"/>
  </rowBreaks>
  <colBreaks count="1" manualBreakCount="1">
    <brk id="15" max="26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0"/>
  <sheetViews>
    <sheetView view="pageBreakPreview" zoomScale="60" zoomScaleNormal="60" workbookViewId="0">
      <pane ySplit="6" topLeftCell="A34" activePane="bottomLeft" state="frozen"/>
      <selection activeCell="D13" sqref="D13"/>
      <selection pane="bottomLeft" activeCell="D13" sqref="D13"/>
    </sheetView>
  </sheetViews>
  <sheetFormatPr defaultRowHeight="15" x14ac:dyDescent="0.25"/>
  <cols>
    <col min="1" max="1" width="81.42578125" bestFit="1" customWidth="1"/>
    <col min="2" max="2" width="38.140625" style="12" bestFit="1" customWidth="1"/>
    <col min="3" max="3" width="32.140625" style="12" bestFit="1" customWidth="1"/>
    <col min="4" max="4" width="29.85546875" style="12" bestFit="1" customWidth="1"/>
    <col min="5" max="5" width="24.140625" style="12" bestFit="1" customWidth="1"/>
    <col min="6" max="6" width="28.42578125" style="12" bestFit="1" customWidth="1"/>
    <col min="7" max="7" width="26.28515625" style="12" bestFit="1" customWidth="1"/>
    <col min="8" max="8" width="27" style="12" bestFit="1" customWidth="1"/>
    <col min="9" max="9" width="38.140625" style="12" bestFit="1" customWidth="1"/>
    <col min="12" max="12" width="16.85546875" style="5" bestFit="1" customWidth="1"/>
  </cols>
  <sheetData>
    <row r="1" spans="1:12" ht="36" x14ac:dyDescent="0.55000000000000004">
      <c r="A1" s="200" t="s">
        <v>330</v>
      </c>
      <c r="B1" s="200"/>
      <c r="C1" s="200"/>
      <c r="D1" s="200"/>
      <c r="E1" s="200"/>
      <c r="F1" s="200"/>
      <c r="G1" s="200"/>
      <c r="H1" s="200"/>
      <c r="I1" s="200"/>
    </row>
    <row r="2" spans="1:12" ht="36" x14ac:dyDescent="0.55000000000000004">
      <c r="A2" s="200" t="s">
        <v>329</v>
      </c>
      <c r="B2" s="200"/>
      <c r="C2" s="200"/>
      <c r="D2" s="200"/>
      <c r="E2" s="200"/>
      <c r="F2" s="200"/>
      <c r="G2" s="200"/>
      <c r="H2" s="200"/>
      <c r="I2" s="200"/>
    </row>
    <row r="3" spans="1:12" ht="36" x14ac:dyDescent="0.55000000000000004">
      <c r="A3" s="200" t="s">
        <v>265</v>
      </c>
      <c r="B3" s="200"/>
      <c r="C3" s="200"/>
      <c r="D3" s="200"/>
      <c r="E3" s="200"/>
      <c r="F3" s="200"/>
      <c r="G3" s="200"/>
      <c r="H3" s="200"/>
      <c r="I3" s="200"/>
    </row>
    <row r="4" spans="1:12" ht="36" x14ac:dyDescent="0.55000000000000004">
      <c r="A4" s="201" t="s">
        <v>536</v>
      </c>
      <c r="B4" s="202"/>
      <c r="C4" s="202"/>
      <c r="D4" s="202"/>
      <c r="E4" s="202"/>
      <c r="F4" s="202"/>
      <c r="G4" s="202"/>
      <c r="H4" s="202"/>
      <c r="I4" s="202"/>
    </row>
    <row r="6" spans="1:12" s="44" customFormat="1" ht="30" customHeight="1" x14ac:dyDescent="0.5">
      <c r="A6" s="19"/>
      <c r="B6" s="24" t="s">
        <v>212</v>
      </c>
      <c r="C6" s="24" t="s">
        <v>214</v>
      </c>
      <c r="D6" s="24" t="s">
        <v>213</v>
      </c>
      <c r="E6" s="24" t="s">
        <v>215</v>
      </c>
      <c r="F6" s="24" t="s">
        <v>216</v>
      </c>
      <c r="G6" s="24" t="s">
        <v>408</v>
      </c>
      <c r="H6" s="24" t="s">
        <v>418</v>
      </c>
      <c r="I6" s="24" t="s">
        <v>207</v>
      </c>
      <c r="L6" s="46"/>
    </row>
    <row r="7" spans="1:12" s="44" customFormat="1" ht="42.75" customHeight="1" x14ac:dyDescent="0.5">
      <c r="A7" s="26" t="s">
        <v>62</v>
      </c>
      <c r="B7" s="18"/>
      <c r="C7" s="18"/>
      <c r="D7" s="18"/>
      <c r="E7" s="18"/>
      <c r="F7" s="18"/>
      <c r="G7" s="18"/>
      <c r="H7" s="18"/>
      <c r="I7" s="18"/>
      <c r="L7" s="46"/>
    </row>
    <row r="8" spans="1:12" s="44" customFormat="1" ht="42.75" customHeight="1" x14ac:dyDescent="0.5">
      <c r="A8" s="19" t="s">
        <v>217</v>
      </c>
      <c r="B8" s="28">
        <f>'Comp YTD 2018-2017 Dec'!B12</f>
        <v>552165320.73000002</v>
      </c>
      <c r="C8" s="28">
        <f>'Comp YTD 2018-2017 Dec'!C12</f>
        <v>27599240.669999998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f t="shared" ref="I8:I15" si="0">SUM(B8:H8)</f>
        <v>579764561.39999998</v>
      </c>
      <c r="L8" s="46"/>
    </row>
    <row r="9" spans="1:12" s="44" customFormat="1" ht="42.75" customHeight="1" x14ac:dyDescent="0.5">
      <c r="A9" s="19" t="s">
        <v>218</v>
      </c>
      <c r="B9" s="28">
        <f>'Comp YTD 2018-2017 Dec'!B13</f>
        <v>2104162210.24</v>
      </c>
      <c r="C9" s="28">
        <f>'Comp YTD 2018-2017 Dec'!C13</f>
        <v>1739278.6099999999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f t="shared" si="0"/>
        <v>2105901488.8499999</v>
      </c>
      <c r="L9" s="46"/>
    </row>
    <row r="10" spans="1:12" s="44" customFormat="1" ht="42.75" customHeight="1" x14ac:dyDescent="0.5">
      <c r="A10" s="19" t="s">
        <v>219</v>
      </c>
      <c r="B10" s="28">
        <f>'Comp YTD 2018-2017 Dec'!B14</f>
        <v>9977331.6099999994</v>
      </c>
      <c r="C10" s="28">
        <f>'Comp YTD 2018-2017 Dec'!C14</f>
        <v>197806.81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f t="shared" si="0"/>
        <v>10175138.42</v>
      </c>
      <c r="L10" s="46"/>
    </row>
    <row r="11" spans="1:12" s="44" customFormat="1" ht="42.75" customHeight="1" x14ac:dyDescent="0.5">
      <c r="A11" s="19" t="s">
        <v>421</v>
      </c>
      <c r="B11" s="28">
        <f>'Comp YTD 2018-2017 Dec'!B15</f>
        <v>9160247.4700000007</v>
      </c>
      <c r="C11" s="28">
        <f>'Comp YTD 2018-2017 Dec'!C15</f>
        <v>3310.3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f t="shared" si="0"/>
        <v>9163557.7700000014</v>
      </c>
      <c r="L11" s="46"/>
    </row>
    <row r="12" spans="1:12" s="44" customFormat="1" ht="42.75" customHeight="1" x14ac:dyDescent="0.5">
      <c r="A12" s="19" t="s">
        <v>220</v>
      </c>
      <c r="B12" s="28">
        <f>'Comp YTD 2018-2017 Dec'!B16</f>
        <v>1988324.9900000002</v>
      </c>
      <c r="C12" s="28">
        <f>0</f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f t="shared" si="0"/>
        <v>1988324.9900000002</v>
      </c>
      <c r="L12" s="46"/>
    </row>
    <row r="13" spans="1:12" s="44" customFormat="1" ht="42.75" customHeight="1" x14ac:dyDescent="0.5">
      <c r="A13" s="19" t="s">
        <v>221</v>
      </c>
      <c r="B13" s="28">
        <f>'Comp YTD 2018-2017 Dec'!B17</f>
        <v>292312.5</v>
      </c>
      <c r="C13" s="28">
        <f>'Comp YTD 2018-2017 Dec'!C17</f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f t="shared" si="0"/>
        <v>292312.5</v>
      </c>
      <c r="L13" s="46"/>
    </row>
    <row r="14" spans="1:12" s="44" customFormat="1" ht="42.75" customHeight="1" x14ac:dyDescent="0.5">
      <c r="A14" s="19" t="s">
        <v>222</v>
      </c>
      <c r="B14" s="28">
        <f>'Comp YTD 2018-2017 Dec'!B18</f>
        <v>446444.5</v>
      </c>
      <c r="C14" s="28">
        <f>'Comp YTD 2018-2017 Dec'!C18</f>
        <v>1309014.25</v>
      </c>
      <c r="D14" s="28">
        <f>DEP!N17</f>
        <v>910323.34</v>
      </c>
      <c r="E14" s="28">
        <v>0</v>
      </c>
      <c r="F14" s="28">
        <f>'BSC (Dome)'!N14</f>
        <v>505677.55000000005</v>
      </c>
      <c r="G14" s="28">
        <v>0</v>
      </c>
      <c r="H14" s="28">
        <v>0</v>
      </c>
      <c r="I14" s="28">
        <f t="shared" si="0"/>
        <v>3171459.6399999997</v>
      </c>
      <c r="L14" s="46"/>
    </row>
    <row r="15" spans="1:12" s="44" customFormat="1" ht="42.75" customHeight="1" x14ac:dyDescent="0.5">
      <c r="A15" s="26" t="s">
        <v>223</v>
      </c>
      <c r="B15" s="32">
        <f t="shared" ref="B15:H15" si="1">SUM(B8:B14)</f>
        <v>2678192192.04</v>
      </c>
      <c r="C15" s="32">
        <f t="shared" si="1"/>
        <v>30848650.639999997</v>
      </c>
      <c r="D15" s="32">
        <f t="shared" si="1"/>
        <v>910323.34</v>
      </c>
      <c r="E15" s="32">
        <f t="shared" si="1"/>
        <v>0</v>
      </c>
      <c r="F15" s="32">
        <f t="shared" si="1"/>
        <v>505677.55000000005</v>
      </c>
      <c r="G15" s="32">
        <f t="shared" si="1"/>
        <v>0</v>
      </c>
      <c r="H15" s="32">
        <f t="shared" si="1"/>
        <v>0</v>
      </c>
      <c r="I15" s="32">
        <f t="shared" si="0"/>
        <v>2710456843.5700002</v>
      </c>
      <c r="L15" s="46"/>
    </row>
    <row r="16" spans="1:12" s="44" customFormat="1" ht="42.75" customHeight="1" x14ac:dyDescent="0.5">
      <c r="A16" s="19"/>
      <c r="B16" s="28"/>
      <c r="C16" s="28"/>
      <c r="D16" s="28"/>
      <c r="E16" s="28"/>
      <c r="F16" s="28"/>
      <c r="G16" s="28"/>
      <c r="H16" s="28"/>
      <c r="I16" s="28"/>
      <c r="L16" s="46"/>
    </row>
    <row r="17" spans="1:12" s="44" customFormat="1" ht="42.75" customHeight="1" x14ac:dyDescent="0.5">
      <c r="A17" s="26" t="s">
        <v>208</v>
      </c>
      <c r="B17" s="28"/>
      <c r="C17" s="28"/>
      <c r="D17" s="28"/>
      <c r="E17" s="28"/>
      <c r="F17" s="28"/>
      <c r="G17" s="28"/>
      <c r="H17" s="28"/>
      <c r="I17" s="28"/>
      <c r="L17" s="46"/>
    </row>
    <row r="18" spans="1:12" s="44" customFormat="1" ht="42.75" customHeight="1" x14ac:dyDescent="0.5">
      <c r="A18" s="19" t="s">
        <v>217</v>
      </c>
      <c r="B18" s="28">
        <f>'Comp YTD 2018-2017 Dec'!B22</f>
        <v>548018078.07999992</v>
      </c>
      <c r="C18" s="28">
        <f>BPM!N20+BPM!N31</f>
        <v>27521127.590000004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f t="shared" ref="I18:I25" si="2">SUM(B18:H18)</f>
        <v>575539205.66999996</v>
      </c>
      <c r="L18" s="46"/>
    </row>
    <row r="19" spans="1:12" s="44" customFormat="1" ht="42.75" customHeight="1" x14ac:dyDescent="0.5">
      <c r="A19" s="19" t="s">
        <v>218</v>
      </c>
      <c r="B19" s="28">
        <f>'Comp YTD 2018-2017 Dec'!B23</f>
        <v>2101989550.5800004</v>
      </c>
      <c r="C19" s="28">
        <f>BPM!N21+BPM!N32</f>
        <v>1648455.5400000003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f t="shared" si="2"/>
        <v>2103638006.1200004</v>
      </c>
      <c r="L19" s="46"/>
    </row>
    <row r="20" spans="1:12" s="44" customFormat="1" ht="42.75" customHeight="1" x14ac:dyDescent="0.5">
      <c r="A20" s="19" t="s">
        <v>219</v>
      </c>
      <c r="B20" s="28">
        <f>'Comp YTD 2018-2017 Dec'!B24</f>
        <v>9867506.4600000028</v>
      </c>
      <c r="C20" s="28">
        <f>BPM!N22+BPM!N33</f>
        <v>187214.56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f t="shared" si="2"/>
        <v>10054721.020000003</v>
      </c>
      <c r="L20" s="46"/>
    </row>
    <row r="21" spans="1:12" s="44" customFormat="1" ht="42.75" customHeight="1" x14ac:dyDescent="0.5">
      <c r="A21" s="19" t="s">
        <v>421</v>
      </c>
      <c r="B21" s="28">
        <f>'Comp YTD 2018-2017 Dec'!B25</f>
        <v>9832119.5999999996</v>
      </c>
      <c r="C21" s="28">
        <f>BPM!N23</f>
        <v>2079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f t="shared" si="2"/>
        <v>9834198.5999999996</v>
      </c>
      <c r="L21" s="46"/>
    </row>
    <row r="22" spans="1:12" s="44" customFormat="1" ht="42.75" customHeight="1" x14ac:dyDescent="0.5">
      <c r="A22" s="19" t="s">
        <v>220</v>
      </c>
      <c r="B22" s="28">
        <f>'Comp YTD 2018-2017 Dec'!B26</f>
        <v>2125134.19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f t="shared" si="2"/>
        <v>2125134.19</v>
      </c>
      <c r="L22" s="46"/>
    </row>
    <row r="23" spans="1:12" s="44" customFormat="1" ht="42.75" customHeight="1" x14ac:dyDescent="0.5">
      <c r="A23" s="19" t="s">
        <v>221</v>
      </c>
      <c r="B23" s="28">
        <f>'Comp YTD 2018-2017 Dec'!B27</f>
        <v>180989.69</v>
      </c>
      <c r="C23" s="28">
        <f>BPM!N25</f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f t="shared" si="2"/>
        <v>180989.69</v>
      </c>
      <c r="L23" s="46"/>
    </row>
    <row r="24" spans="1:12" s="44" customFormat="1" ht="42.75" customHeight="1" x14ac:dyDescent="0.5">
      <c r="A24" s="19" t="s">
        <v>222</v>
      </c>
      <c r="B24" s="28">
        <f>'Comp YTD 2018-2017 Dec'!B28</f>
        <v>3222649.9</v>
      </c>
      <c r="C24" s="28">
        <f>BPM!N24+BPM!N26+BPM!N27+BPM!N34+BPM!N35+BPM!N29+BPM!N30+BPM!N28</f>
        <v>1078155.77</v>
      </c>
      <c r="D24" s="28">
        <f>DEP!N23</f>
        <v>105681.95</v>
      </c>
      <c r="E24" s="28">
        <v>0</v>
      </c>
      <c r="F24" s="28">
        <f>'BSC (Dome)'!N17</f>
        <v>1068.5899999999999</v>
      </c>
      <c r="G24" s="28">
        <v>0</v>
      </c>
      <c r="H24" s="28">
        <v>0</v>
      </c>
      <c r="I24" s="28">
        <f t="shared" si="2"/>
        <v>4407556.21</v>
      </c>
      <c r="L24" s="46"/>
    </row>
    <row r="25" spans="1:12" s="44" customFormat="1" ht="42.75" customHeight="1" x14ac:dyDescent="0.5">
      <c r="A25" s="26" t="s">
        <v>224</v>
      </c>
      <c r="B25" s="32">
        <f t="shared" ref="B25:H25" si="3">SUM(B18:B24)</f>
        <v>2675236028.5000005</v>
      </c>
      <c r="C25" s="32">
        <f t="shared" si="3"/>
        <v>30437032.460000001</v>
      </c>
      <c r="D25" s="32">
        <f t="shared" si="3"/>
        <v>105681.95</v>
      </c>
      <c r="E25" s="32">
        <f t="shared" si="3"/>
        <v>0</v>
      </c>
      <c r="F25" s="32">
        <f t="shared" si="3"/>
        <v>1068.5899999999999</v>
      </c>
      <c r="G25" s="32">
        <f t="shared" si="3"/>
        <v>0</v>
      </c>
      <c r="H25" s="32">
        <f t="shared" si="3"/>
        <v>0</v>
      </c>
      <c r="I25" s="32">
        <f t="shared" si="2"/>
        <v>2705779811.5000005</v>
      </c>
      <c r="L25" s="46"/>
    </row>
    <row r="26" spans="1:12" s="44" customFormat="1" ht="42.75" customHeight="1" x14ac:dyDescent="0.5">
      <c r="A26" s="19"/>
      <c r="B26" s="28"/>
      <c r="C26" s="28"/>
      <c r="D26" s="28"/>
      <c r="E26" s="28"/>
      <c r="F26" s="28"/>
      <c r="G26" s="28"/>
      <c r="H26" s="28"/>
      <c r="I26" s="28"/>
      <c r="L26" s="46"/>
    </row>
    <row r="27" spans="1:12" s="44" customFormat="1" ht="42.75" customHeight="1" thickBot="1" x14ac:dyDescent="0.55000000000000004">
      <c r="A27" s="26" t="s">
        <v>211</v>
      </c>
      <c r="B27" s="38">
        <f t="shared" ref="B27:H27" si="4">B15-B25</f>
        <v>2956163.539999485</v>
      </c>
      <c r="C27" s="38">
        <f t="shared" si="4"/>
        <v>411618.17999999598</v>
      </c>
      <c r="D27" s="38">
        <f t="shared" si="4"/>
        <v>804641.39</v>
      </c>
      <c r="E27" s="38">
        <f t="shared" si="4"/>
        <v>0</v>
      </c>
      <c r="F27" s="38">
        <f t="shared" si="4"/>
        <v>504608.96</v>
      </c>
      <c r="G27" s="38">
        <f t="shared" si="4"/>
        <v>0</v>
      </c>
      <c r="H27" s="38">
        <f t="shared" si="4"/>
        <v>0</v>
      </c>
      <c r="I27" s="38">
        <f>SUM(B27:H27)</f>
        <v>4677032.0699994816</v>
      </c>
      <c r="L27" s="46"/>
    </row>
    <row r="28" spans="1:12" s="44" customFormat="1" ht="42.75" customHeight="1" x14ac:dyDescent="0.5">
      <c r="A28" s="19"/>
      <c r="B28" s="28"/>
      <c r="C28" s="28"/>
      <c r="D28" s="28"/>
      <c r="E28" s="28"/>
      <c r="F28" s="28"/>
      <c r="G28" s="28"/>
      <c r="H28" s="28"/>
      <c r="I28" s="28"/>
      <c r="L28" s="46"/>
    </row>
    <row r="29" spans="1:12" s="44" customFormat="1" ht="42.75" customHeight="1" x14ac:dyDescent="0.5">
      <c r="A29" s="26" t="s">
        <v>209</v>
      </c>
      <c r="B29" s="28"/>
      <c r="C29" s="28"/>
      <c r="D29" s="28"/>
      <c r="E29" s="28"/>
      <c r="F29" s="28"/>
      <c r="G29" s="28"/>
      <c r="H29" s="28"/>
      <c r="I29" s="28"/>
      <c r="L29" s="46"/>
    </row>
    <row r="30" spans="1:12" s="44" customFormat="1" ht="42.75" customHeight="1" x14ac:dyDescent="0.5">
      <c r="A30" s="19"/>
      <c r="B30" s="28"/>
      <c r="C30" s="28"/>
      <c r="D30" s="28"/>
      <c r="E30" s="28"/>
      <c r="F30" s="28"/>
      <c r="G30" s="28"/>
      <c r="H30" s="28"/>
      <c r="I30" s="28"/>
      <c r="L30" s="46"/>
    </row>
    <row r="31" spans="1:12" s="44" customFormat="1" ht="42.75" customHeight="1" x14ac:dyDescent="0.5">
      <c r="A31" s="26" t="s">
        <v>225</v>
      </c>
      <c r="B31" s="28"/>
      <c r="C31" s="28"/>
      <c r="D31" s="28"/>
      <c r="E31" s="28"/>
      <c r="F31" s="28"/>
      <c r="G31" s="28"/>
      <c r="H31" s="28"/>
      <c r="I31" s="28"/>
      <c r="L31" s="46"/>
    </row>
    <row r="32" spans="1:12" s="44" customFormat="1" ht="42.75" customHeight="1" x14ac:dyDescent="0.5">
      <c r="A32" s="19" t="s">
        <v>226</v>
      </c>
      <c r="B32" s="28">
        <f>'Comp YTD 2018-2017 Dec'!B37</f>
        <v>971318.65000000014</v>
      </c>
      <c r="C32" s="28">
        <f>BPM!N43</f>
        <v>0</v>
      </c>
      <c r="D32" s="28">
        <f>DEP!N29</f>
        <v>42790.85</v>
      </c>
      <c r="E32" s="28">
        <v>0</v>
      </c>
      <c r="F32" s="28">
        <f>'BSC (Dome)'!N24+'BSC (Dome)'!N32</f>
        <v>158138.38999999998</v>
      </c>
      <c r="G32" s="28">
        <v>0</v>
      </c>
      <c r="H32" s="28">
        <v>0</v>
      </c>
      <c r="I32" s="28">
        <f t="shared" ref="I32:I42" si="5">SUM(B32:H32)</f>
        <v>1172247.8900000001</v>
      </c>
      <c r="L32" s="46"/>
    </row>
    <row r="33" spans="1:12" s="44" customFormat="1" ht="42.75" customHeight="1" x14ac:dyDescent="0.5">
      <c r="A33" s="19" t="s">
        <v>544</v>
      </c>
      <c r="B33" s="28">
        <f>'Comp YTD 2018-2017 Dec'!B38</f>
        <v>0</v>
      </c>
      <c r="C33" s="28">
        <v>0</v>
      </c>
      <c r="D33" s="28">
        <v>0</v>
      </c>
      <c r="E33" s="28">
        <v>0</v>
      </c>
      <c r="F33" s="28">
        <f>'Comp YTD 2018-2017 Dec'!F38</f>
        <v>0</v>
      </c>
      <c r="G33" s="28">
        <v>0</v>
      </c>
      <c r="H33" s="28">
        <v>0</v>
      </c>
      <c r="I33" s="28">
        <f t="shared" si="5"/>
        <v>0</v>
      </c>
      <c r="L33" s="46"/>
    </row>
    <row r="34" spans="1:12" s="44" customFormat="1" ht="42.75" customHeight="1" x14ac:dyDescent="0.5">
      <c r="A34" s="19" t="s">
        <v>227</v>
      </c>
      <c r="B34" s="28">
        <f>'Comp YTD 2018-2017 Dec'!B39</f>
        <v>16352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f t="shared" si="5"/>
        <v>16352</v>
      </c>
      <c r="L34" s="46"/>
    </row>
    <row r="35" spans="1:12" s="44" customFormat="1" ht="42.75" customHeight="1" x14ac:dyDescent="0.5">
      <c r="A35" s="19" t="s">
        <v>228</v>
      </c>
      <c r="B35" s="28">
        <f>'Comp YTD 2018-2017 Dec'!B40</f>
        <v>95404.549999999988</v>
      </c>
      <c r="C35" s="28">
        <f>BPM!N44</f>
        <v>0</v>
      </c>
      <c r="D35" s="28">
        <f>DEP!N30</f>
        <v>5394.6100000000006</v>
      </c>
      <c r="E35" s="28">
        <v>0</v>
      </c>
      <c r="F35" s="28">
        <f>'BSC (Dome)'!N26</f>
        <v>10395.460000000001</v>
      </c>
      <c r="G35" s="28">
        <v>0</v>
      </c>
      <c r="H35" s="28">
        <v>0</v>
      </c>
      <c r="I35" s="28">
        <f t="shared" si="5"/>
        <v>111194.62</v>
      </c>
      <c r="L35" s="46"/>
    </row>
    <row r="36" spans="1:12" s="44" customFormat="1" ht="42.75" customHeight="1" x14ac:dyDescent="0.5">
      <c r="A36" s="19" t="s">
        <v>229</v>
      </c>
      <c r="B36" s="28">
        <f>'Comp YTD 2018-2017 Dec'!B41</f>
        <v>91546.94</v>
      </c>
      <c r="C36" s="28">
        <f>BPM!N45</f>
        <v>0</v>
      </c>
      <c r="D36" s="28">
        <f>DEP!N31</f>
        <v>15839.27</v>
      </c>
      <c r="E36" s="28">
        <v>0</v>
      </c>
      <c r="F36" s="28">
        <f>'BSC (Dome)'!N27</f>
        <v>26095.66</v>
      </c>
      <c r="G36" s="28">
        <v>0</v>
      </c>
      <c r="H36" s="28">
        <v>0</v>
      </c>
      <c r="I36" s="28">
        <f t="shared" si="5"/>
        <v>133481.87</v>
      </c>
      <c r="L36" s="46"/>
    </row>
    <row r="37" spans="1:12" s="44" customFormat="1" ht="42.75" customHeight="1" x14ac:dyDescent="0.5">
      <c r="A37" s="19" t="s">
        <v>230</v>
      </c>
      <c r="B37" s="28">
        <f>'Comp YTD 2018-2017 Dec'!B42</f>
        <v>18482.510000000002</v>
      </c>
      <c r="C37" s="28">
        <f>BPM!N46</f>
        <v>0</v>
      </c>
      <c r="D37" s="28">
        <f>DEP!N32</f>
        <v>1084.8999999999999</v>
      </c>
      <c r="E37" s="28">
        <v>0</v>
      </c>
      <c r="F37" s="28">
        <f>'BSC (Dome)'!N28</f>
        <v>1451.16</v>
      </c>
      <c r="G37" s="28">
        <v>0</v>
      </c>
      <c r="H37" s="28">
        <v>0</v>
      </c>
      <c r="I37" s="28">
        <f t="shared" si="5"/>
        <v>21018.570000000003</v>
      </c>
      <c r="L37" s="46"/>
    </row>
    <row r="38" spans="1:12" s="44" customFormat="1" ht="42.75" customHeight="1" x14ac:dyDescent="0.5">
      <c r="A38" s="19" t="s">
        <v>231</v>
      </c>
      <c r="B38" s="28">
        <f>'Comp YTD 2018-2017 Dec'!B43</f>
        <v>30328.1</v>
      </c>
      <c r="C38" s="28">
        <f>BPM!N47</f>
        <v>0</v>
      </c>
      <c r="D38" s="28">
        <f>DEP!N33</f>
        <v>2000</v>
      </c>
      <c r="E38" s="28">
        <v>0</v>
      </c>
      <c r="F38" s="28">
        <f>'BSC (Dome)'!N30</f>
        <v>2250</v>
      </c>
      <c r="G38" s="28">
        <v>0</v>
      </c>
      <c r="H38" s="28">
        <v>0</v>
      </c>
      <c r="I38" s="28">
        <f t="shared" si="5"/>
        <v>34578.1</v>
      </c>
      <c r="L38" s="46"/>
    </row>
    <row r="39" spans="1:12" s="44" customFormat="1" ht="42.75" customHeight="1" x14ac:dyDescent="0.5">
      <c r="A39" s="19" t="s">
        <v>307</v>
      </c>
      <c r="B39" s="28">
        <f>'Comp YTD 2018-2017 Dec'!B44</f>
        <v>6840.4400000000005</v>
      </c>
      <c r="C39" s="28">
        <v>0</v>
      </c>
      <c r="D39" s="28">
        <f>DEP!N34</f>
        <v>680.01</v>
      </c>
      <c r="E39" s="28">
        <v>0</v>
      </c>
      <c r="F39" s="28">
        <f>'BSC (Dome)'!N29+'BSC (Dome)'!N31</f>
        <v>656.05</v>
      </c>
      <c r="G39" s="28">
        <v>0</v>
      </c>
      <c r="H39" s="28">
        <v>0</v>
      </c>
      <c r="I39" s="28">
        <f t="shared" si="5"/>
        <v>8176.5000000000009</v>
      </c>
      <c r="L39" s="46"/>
    </row>
    <row r="40" spans="1:12" s="44" customFormat="1" ht="42.75" customHeight="1" x14ac:dyDescent="0.5">
      <c r="A40" s="19" t="s">
        <v>232</v>
      </c>
      <c r="B40" s="28">
        <f>'Comp YTD 2018-2017 Dec'!B45</f>
        <v>3109.48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f t="shared" si="5"/>
        <v>3109.48</v>
      </c>
      <c r="L40" s="46"/>
    </row>
    <row r="41" spans="1:12" s="44" customFormat="1" ht="42.75" customHeight="1" x14ac:dyDescent="0.5">
      <c r="A41" s="19" t="s">
        <v>246</v>
      </c>
      <c r="B41" s="28">
        <f>'Comp YTD 2018-2017 Dec'!B46</f>
        <v>16772.57</v>
      </c>
      <c r="C41" s="28">
        <f>BPM!N48</f>
        <v>0</v>
      </c>
      <c r="D41" s="28">
        <f>DEP!N35</f>
        <v>0</v>
      </c>
      <c r="E41" s="28">
        <v>0</v>
      </c>
      <c r="F41" s="28">
        <v>0</v>
      </c>
      <c r="G41" s="28">
        <v>0</v>
      </c>
      <c r="H41" s="28">
        <v>0</v>
      </c>
      <c r="I41" s="28">
        <f t="shared" si="5"/>
        <v>16772.57</v>
      </c>
      <c r="L41" s="46"/>
    </row>
    <row r="42" spans="1:12" s="44" customFormat="1" ht="42.75" customHeight="1" x14ac:dyDescent="0.5">
      <c r="A42" s="26" t="s">
        <v>233</v>
      </c>
      <c r="B42" s="32">
        <f t="shared" ref="B42:H42" si="6">SUM(B32:B41)</f>
        <v>1250155.2400000002</v>
      </c>
      <c r="C42" s="32">
        <f t="shared" si="6"/>
        <v>0</v>
      </c>
      <c r="D42" s="32">
        <f t="shared" si="6"/>
        <v>67789.64</v>
      </c>
      <c r="E42" s="32">
        <f t="shared" si="6"/>
        <v>0</v>
      </c>
      <c r="F42" s="32">
        <f t="shared" si="6"/>
        <v>198986.71999999997</v>
      </c>
      <c r="G42" s="32">
        <f t="shared" si="6"/>
        <v>0</v>
      </c>
      <c r="H42" s="32">
        <f t="shared" si="6"/>
        <v>0</v>
      </c>
      <c r="I42" s="32">
        <f t="shared" si="5"/>
        <v>1516931.6</v>
      </c>
      <c r="L42" s="46"/>
    </row>
    <row r="43" spans="1:12" s="44" customFormat="1" ht="42.75" customHeight="1" x14ac:dyDescent="0.5">
      <c r="A43" s="19"/>
      <c r="B43" s="28"/>
      <c r="C43" s="28"/>
      <c r="D43" s="28"/>
      <c r="E43" s="28"/>
      <c r="F43" s="28"/>
      <c r="G43" s="28"/>
      <c r="H43" s="28"/>
      <c r="I43" s="28"/>
      <c r="L43" s="46"/>
    </row>
    <row r="44" spans="1:12" s="44" customFormat="1" ht="42.75" customHeight="1" x14ac:dyDescent="0.5">
      <c r="A44" s="26" t="s">
        <v>486</v>
      </c>
      <c r="B44" s="28"/>
      <c r="C44" s="28"/>
      <c r="D44" s="28"/>
      <c r="E44" s="28"/>
      <c r="F44" s="28"/>
      <c r="G44" s="28"/>
      <c r="H44" s="28"/>
      <c r="I44" s="28"/>
      <c r="L44" s="46"/>
    </row>
    <row r="45" spans="1:12" s="44" customFormat="1" ht="42.75" customHeight="1" x14ac:dyDescent="0.5">
      <c r="A45" s="19" t="s">
        <v>234</v>
      </c>
      <c r="B45" s="28">
        <f>'Comp YTD 2018-2017 Dec'!B50</f>
        <v>171000</v>
      </c>
      <c r="C45" s="28">
        <f>BPM!N52</f>
        <v>0</v>
      </c>
      <c r="D45" s="28">
        <f>DEP!N39</f>
        <v>187500</v>
      </c>
      <c r="E45" s="28">
        <v>0</v>
      </c>
      <c r="F45" s="28">
        <f>'BSC (Dome)'!N36</f>
        <v>5000</v>
      </c>
      <c r="G45" s="28">
        <v>0</v>
      </c>
      <c r="H45" s="28">
        <v>0</v>
      </c>
      <c r="I45" s="28">
        <f t="shared" ref="I45:I67" si="7">SUM(B45:H45)</f>
        <v>363500</v>
      </c>
      <c r="L45" s="46"/>
    </row>
    <row r="46" spans="1:12" s="44" customFormat="1" ht="42.75" customHeight="1" x14ac:dyDescent="0.5">
      <c r="A46" s="19" t="s">
        <v>235</v>
      </c>
      <c r="B46" s="28">
        <f>'Comp YTD 2018-2017 Dec'!B51</f>
        <v>15853.150000000001</v>
      </c>
      <c r="C46" s="28">
        <v>0</v>
      </c>
      <c r="D46" s="28">
        <f>DEP!N40</f>
        <v>33450.199999999997</v>
      </c>
      <c r="E46" s="28">
        <v>0</v>
      </c>
      <c r="F46" s="28">
        <f>'BSC (Dome)'!N38</f>
        <v>3703.5</v>
      </c>
      <c r="G46" s="28">
        <v>0</v>
      </c>
      <c r="H46" s="28">
        <v>0</v>
      </c>
      <c r="I46" s="28">
        <f t="shared" si="7"/>
        <v>53006.85</v>
      </c>
      <c r="L46" s="46"/>
    </row>
    <row r="47" spans="1:12" s="44" customFormat="1" ht="42.75" customHeight="1" x14ac:dyDescent="0.5">
      <c r="A47" s="19" t="s">
        <v>236</v>
      </c>
      <c r="B47" s="28">
        <f>'Comp YTD 2018-2017 Dec'!B52</f>
        <v>8507.1799999999985</v>
      </c>
      <c r="C47" s="28">
        <v>0</v>
      </c>
      <c r="D47" s="28">
        <v>0</v>
      </c>
      <c r="E47" s="28">
        <v>0</v>
      </c>
      <c r="F47" s="28">
        <f>'BSC (Dome)'!N37</f>
        <v>58354.85</v>
      </c>
      <c r="G47" s="28">
        <v>0</v>
      </c>
      <c r="H47" s="28">
        <v>0</v>
      </c>
      <c r="I47" s="28">
        <f t="shared" si="7"/>
        <v>66862.03</v>
      </c>
      <c r="L47" s="46"/>
    </row>
    <row r="48" spans="1:12" s="44" customFormat="1" ht="42.75" customHeight="1" x14ac:dyDescent="0.5">
      <c r="A48" s="19" t="s">
        <v>337</v>
      </c>
      <c r="B48" s="28">
        <f>'Comp YTD 2018-2017 Dec'!B53</f>
        <v>579.03</v>
      </c>
      <c r="C48" s="28">
        <v>0</v>
      </c>
      <c r="D48" s="28">
        <v>0</v>
      </c>
      <c r="E48" s="28">
        <v>0</v>
      </c>
      <c r="F48" s="28">
        <f>'BSC (Dome)'!N39</f>
        <v>1532.02</v>
      </c>
      <c r="G48" s="28">
        <v>0</v>
      </c>
      <c r="H48" s="28">
        <v>0</v>
      </c>
      <c r="I48" s="28">
        <f t="shared" si="7"/>
        <v>2111.0500000000002</v>
      </c>
      <c r="L48" s="46"/>
    </row>
    <row r="49" spans="1:12" s="44" customFormat="1" ht="42.75" customHeight="1" x14ac:dyDescent="0.5">
      <c r="A49" s="19" t="s">
        <v>290</v>
      </c>
      <c r="B49" s="28">
        <f>'Comp YTD 2018-2017 Dec'!B54</f>
        <v>0</v>
      </c>
      <c r="C49" s="28">
        <v>0</v>
      </c>
      <c r="D49" s="28">
        <f>DEP!N41</f>
        <v>750</v>
      </c>
      <c r="E49" s="28">
        <v>0</v>
      </c>
      <c r="F49" s="28">
        <f>'BSC (Dome)'!N40</f>
        <v>3003.8</v>
      </c>
      <c r="G49" s="28">
        <v>0</v>
      </c>
      <c r="H49" s="28">
        <v>0</v>
      </c>
      <c r="I49" s="28">
        <f t="shared" si="7"/>
        <v>3753.8</v>
      </c>
      <c r="L49" s="46"/>
    </row>
    <row r="50" spans="1:12" s="44" customFormat="1" ht="42.75" customHeight="1" x14ac:dyDescent="0.5">
      <c r="A50" s="19" t="s">
        <v>445</v>
      </c>
      <c r="B50" s="28">
        <f>'Comp YTD 2018-2017 Dec'!B55</f>
        <v>14225</v>
      </c>
      <c r="C50" s="28">
        <v>0</v>
      </c>
      <c r="D50" s="28">
        <f>DEP!N42</f>
        <v>6660</v>
      </c>
      <c r="E50" s="28">
        <v>0</v>
      </c>
      <c r="F50" s="28">
        <f>'BSC (Dome)'!N41</f>
        <v>0</v>
      </c>
      <c r="G50" s="28">
        <v>0</v>
      </c>
      <c r="H50" s="28">
        <v>0</v>
      </c>
      <c r="I50" s="28">
        <f t="shared" si="7"/>
        <v>20885</v>
      </c>
      <c r="L50" s="46"/>
    </row>
    <row r="51" spans="1:12" s="44" customFormat="1" ht="42.75" customHeight="1" x14ac:dyDescent="0.5">
      <c r="A51" s="19" t="s">
        <v>376</v>
      </c>
      <c r="B51" s="28">
        <f>'Comp YTD 2018-2017 Dec'!B56</f>
        <v>56121.599999999999</v>
      </c>
      <c r="C51" s="28">
        <f>BPM!N53</f>
        <v>1511.66</v>
      </c>
      <c r="D51" s="28">
        <f>DEP!N43</f>
        <v>7404.9699999999993</v>
      </c>
      <c r="E51" s="28">
        <v>0</v>
      </c>
      <c r="F51" s="28">
        <f>'BSC (Dome)'!N42</f>
        <v>2381.98</v>
      </c>
      <c r="G51" s="28">
        <v>0</v>
      </c>
      <c r="H51" s="28">
        <v>0</v>
      </c>
      <c r="I51" s="28">
        <f t="shared" si="7"/>
        <v>67420.210000000006</v>
      </c>
      <c r="L51" s="46"/>
    </row>
    <row r="52" spans="1:12" s="44" customFormat="1" ht="42.75" customHeight="1" x14ac:dyDescent="0.5">
      <c r="A52" s="19" t="s">
        <v>374</v>
      </c>
      <c r="B52" s="28">
        <f>'Comp YTD 2018-2017 Dec'!B57</f>
        <v>0</v>
      </c>
      <c r="C52" s="28">
        <v>0</v>
      </c>
      <c r="D52" s="28">
        <v>0</v>
      </c>
      <c r="E52" s="28">
        <v>0</v>
      </c>
      <c r="F52" s="28">
        <f>'BSC (Dome)'!N43+'BSC (Dome)'!N49</f>
        <v>6036.92</v>
      </c>
      <c r="G52" s="28">
        <v>0</v>
      </c>
      <c r="H52" s="28">
        <v>0</v>
      </c>
      <c r="I52" s="28">
        <f t="shared" si="7"/>
        <v>6036.92</v>
      </c>
      <c r="L52" s="46"/>
    </row>
    <row r="53" spans="1:12" s="44" customFormat="1" ht="42.75" customHeight="1" x14ac:dyDescent="0.5">
      <c r="A53" s="19" t="s">
        <v>239</v>
      </c>
      <c r="B53" s="28">
        <f>'Comp YTD 2018-2017 Dec'!B58</f>
        <v>43382.590000000011</v>
      </c>
      <c r="C53" s="28">
        <v>0</v>
      </c>
      <c r="D53" s="28">
        <f>DEP!N44</f>
        <v>26970.9</v>
      </c>
      <c r="E53" s="28">
        <v>0</v>
      </c>
      <c r="F53" s="28">
        <f>'BSC (Dome)'!N45</f>
        <v>233.66</v>
      </c>
      <c r="G53" s="28">
        <v>0</v>
      </c>
      <c r="H53" s="28">
        <v>0</v>
      </c>
      <c r="I53" s="28">
        <f t="shared" si="7"/>
        <v>70587.150000000023</v>
      </c>
      <c r="L53" s="46"/>
    </row>
    <row r="54" spans="1:12" s="44" customFormat="1" ht="42.75" customHeight="1" x14ac:dyDescent="0.5">
      <c r="A54" s="19" t="s">
        <v>240</v>
      </c>
      <c r="B54" s="28">
        <f>'Comp YTD 2018-2017 Dec'!B59</f>
        <v>15500</v>
      </c>
      <c r="C54" s="28">
        <v>0</v>
      </c>
      <c r="D54" s="28">
        <f>DEP!N45</f>
        <v>7274.04</v>
      </c>
      <c r="E54" s="28">
        <v>0</v>
      </c>
      <c r="F54" s="28">
        <v>0</v>
      </c>
      <c r="G54" s="28">
        <v>0</v>
      </c>
      <c r="H54" s="28">
        <v>0</v>
      </c>
      <c r="I54" s="28">
        <f t="shared" si="7"/>
        <v>22774.04</v>
      </c>
      <c r="L54" s="46"/>
    </row>
    <row r="55" spans="1:12" s="44" customFormat="1" ht="42.75" customHeight="1" x14ac:dyDescent="0.5">
      <c r="A55" s="19" t="s">
        <v>238</v>
      </c>
      <c r="B55" s="28">
        <f>'Comp YTD 2018-2017 Dec'!B60</f>
        <v>22952.46</v>
      </c>
      <c r="C55" s="28">
        <f>BPM!N54</f>
        <v>0</v>
      </c>
      <c r="D55" s="28">
        <f>DEP!N46</f>
        <v>90104.159999999989</v>
      </c>
      <c r="E55" s="28">
        <v>0</v>
      </c>
      <c r="F55" s="28">
        <f>'BSC (Dome)'!N47</f>
        <v>12122</v>
      </c>
      <c r="G55" s="28">
        <v>0</v>
      </c>
      <c r="H55" s="28">
        <v>0</v>
      </c>
      <c r="I55" s="28">
        <f t="shared" si="7"/>
        <v>125178.62</v>
      </c>
      <c r="L55" s="46"/>
    </row>
    <row r="56" spans="1:12" s="44" customFormat="1" ht="42.75" customHeight="1" x14ac:dyDescent="0.5">
      <c r="A56" s="19" t="s">
        <v>356</v>
      </c>
      <c r="B56" s="28">
        <f>'Comp YTD 2018-2017 Dec'!B67</f>
        <v>109</v>
      </c>
      <c r="C56" s="28">
        <f>BPM!N67</f>
        <v>198.97000000000003</v>
      </c>
      <c r="D56" s="28">
        <f>DEP!N69</f>
        <v>149</v>
      </c>
      <c r="E56" s="28">
        <f>Lending!N11</f>
        <v>109</v>
      </c>
      <c r="F56" s="28">
        <f>'BSC (Dome)'!N48</f>
        <v>565</v>
      </c>
      <c r="G56" s="28">
        <f>'Oliari Co.'!N10</f>
        <v>520</v>
      </c>
      <c r="H56" s="28">
        <f>'722 Bedford St'!N10</f>
        <v>520</v>
      </c>
      <c r="I56" s="28">
        <f t="shared" si="7"/>
        <v>2170.9700000000003</v>
      </c>
      <c r="L56" s="46"/>
    </row>
    <row r="57" spans="1:12" s="44" customFormat="1" ht="42.75" customHeight="1" x14ac:dyDescent="0.5">
      <c r="A57" s="19" t="s">
        <v>359</v>
      </c>
      <c r="B57" s="28">
        <f>'Comp YTD 2018-2017 Dec'!B61</f>
        <v>0</v>
      </c>
      <c r="C57" s="28">
        <v>0</v>
      </c>
      <c r="D57" s="28">
        <v>0</v>
      </c>
      <c r="E57" s="28">
        <v>0</v>
      </c>
      <c r="F57" s="28">
        <f>'BSC (Dome)'!N44</f>
        <v>9714.57</v>
      </c>
      <c r="G57" s="28">
        <v>0</v>
      </c>
      <c r="H57" s="28">
        <v>0</v>
      </c>
      <c r="I57" s="28">
        <f t="shared" si="7"/>
        <v>9714.57</v>
      </c>
      <c r="L57" s="46"/>
    </row>
    <row r="58" spans="1:12" s="44" customFormat="1" ht="42.75" customHeight="1" x14ac:dyDescent="0.5">
      <c r="A58" s="19" t="s">
        <v>241</v>
      </c>
      <c r="B58" s="28">
        <f>'Comp YTD 2018-2017 Dec'!B62</f>
        <v>7250.46</v>
      </c>
      <c r="C58" s="28">
        <v>0</v>
      </c>
      <c r="D58" s="28">
        <f>DEP!N47</f>
        <v>152.47</v>
      </c>
      <c r="E58" s="28">
        <v>0</v>
      </c>
      <c r="F58" s="28">
        <f>'BSC (Dome)'!N50</f>
        <v>1417.5100000000002</v>
      </c>
      <c r="G58" s="28">
        <v>0</v>
      </c>
      <c r="H58" s="28">
        <v>0</v>
      </c>
      <c r="I58" s="28">
        <f t="shared" si="7"/>
        <v>8820.44</v>
      </c>
      <c r="L58" s="46"/>
    </row>
    <row r="59" spans="1:12" s="44" customFormat="1" ht="42.75" customHeight="1" x14ac:dyDescent="0.5">
      <c r="A59" s="19" t="s">
        <v>242</v>
      </c>
      <c r="B59" s="28">
        <f>'Comp YTD 2018-2017 Dec'!B63</f>
        <v>2242.5</v>
      </c>
      <c r="C59" s="28">
        <v>0</v>
      </c>
      <c r="D59" s="28">
        <f>DEP!N49</f>
        <v>1786.62</v>
      </c>
      <c r="E59" s="28">
        <v>0</v>
      </c>
      <c r="F59" s="28">
        <f>0</f>
        <v>0</v>
      </c>
      <c r="G59" s="28">
        <f>0</f>
        <v>0</v>
      </c>
      <c r="H59" s="28">
        <f>0</f>
        <v>0</v>
      </c>
      <c r="I59" s="28">
        <f t="shared" si="7"/>
        <v>4029.12</v>
      </c>
      <c r="L59" s="46"/>
    </row>
    <row r="60" spans="1:12" s="44" customFormat="1" ht="42.75" customHeight="1" x14ac:dyDescent="0.5">
      <c r="A60" s="19" t="s">
        <v>243</v>
      </c>
      <c r="B60" s="28">
        <f>'Comp YTD 2018-2017 Dec'!B64</f>
        <v>1666.6499999999999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f t="shared" si="7"/>
        <v>1666.6499999999999</v>
      </c>
      <c r="L60" s="46"/>
    </row>
    <row r="61" spans="1:12" s="44" customFormat="1" ht="42.75" customHeight="1" x14ac:dyDescent="0.5">
      <c r="A61" s="19" t="s">
        <v>244</v>
      </c>
      <c r="B61" s="28">
        <f>'Comp YTD 2018-2017 Dec'!B65</f>
        <v>593305.84</v>
      </c>
      <c r="C61" s="28">
        <f>BPM!N55</f>
        <v>1815.58</v>
      </c>
      <c r="D61" s="28">
        <f>DEP!N50</f>
        <v>51718.71</v>
      </c>
      <c r="E61" s="28">
        <v>0</v>
      </c>
      <c r="F61" s="28">
        <f>'BSC (Dome)'!N53</f>
        <v>46910.850000000006</v>
      </c>
      <c r="G61" s="28">
        <f>'Oliari Co.'!N11</f>
        <v>46256.350000000006</v>
      </c>
      <c r="H61" s="28">
        <f>'722 Bedford St'!N11</f>
        <v>73494.559999999998</v>
      </c>
      <c r="I61" s="28">
        <f t="shared" si="7"/>
        <v>813501.8899999999</v>
      </c>
      <c r="L61" s="46"/>
    </row>
    <row r="62" spans="1:12" s="44" customFormat="1" ht="42.75" customHeight="1" x14ac:dyDescent="0.5">
      <c r="A62" s="19" t="s">
        <v>254</v>
      </c>
      <c r="B62" s="28">
        <f>'Comp YTD 2018-2017 Dec'!B66</f>
        <v>976.74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f t="shared" si="7"/>
        <v>976.74</v>
      </c>
      <c r="L62" s="46"/>
    </row>
    <row r="63" spans="1:12" s="44" customFormat="1" ht="42.75" customHeight="1" x14ac:dyDescent="0.5">
      <c r="A63" s="19" t="s">
        <v>247</v>
      </c>
      <c r="B63" s="28">
        <f>'Comp YTD 2018-2017 Dec'!B68</f>
        <v>7609.2899999999991</v>
      </c>
      <c r="C63" s="28">
        <f>BPM!N68</f>
        <v>0</v>
      </c>
      <c r="D63" s="28">
        <f>DEP!N51</f>
        <v>9106.3599999999988</v>
      </c>
      <c r="E63" s="28">
        <v>0</v>
      </c>
      <c r="F63" s="28">
        <f>'BSC (Dome)'!N54</f>
        <v>0</v>
      </c>
      <c r="G63" s="28">
        <v>0</v>
      </c>
      <c r="H63" s="28">
        <v>0</v>
      </c>
      <c r="I63" s="28">
        <f t="shared" si="7"/>
        <v>16715.649999999998</v>
      </c>
      <c r="L63" s="46"/>
    </row>
    <row r="64" spans="1:12" s="44" customFormat="1" ht="42.75" customHeight="1" x14ac:dyDescent="0.5">
      <c r="A64" s="19" t="s">
        <v>248</v>
      </c>
      <c r="B64" s="28">
        <f>'Comp YTD 2018-2017 Dec'!B69</f>
        <v>67932.7</v>
      </c>
      <c r="C64" s="28">
        <f>BPM!N62</f>
        <v>0</v>
      </c>
      <c r="D64" s="28">
        <f>DEP!N48</f>
        <v>36452.49</v>
      </c>
      <c r="E64" s="28">
        <v>0</v>
      </c>
      <c r="F64" s="28">
        <f>0</f>
        <v>0</v>
      </c>
      <c r="G64" s="28">
        <v>0</v>
      </c>
      <c r="H64" s="28">
        <v>0</v>
      </c>
      <c r="I64" s="28">
        <f t="shared" si="7"/>
        <v>104385.19</v>
      </c>
      <c r="L64" s="46"/>
    </row>
    <row r="65" spans="1:12" s="44" customFormat="1" ht="42.75" customHeight="1" x14ac:dyDescent="0.5">
      <c r="A65" s="19" t="s">
        <v>368</v>
      </c>
      <c r="B65" s="28">
        <f>'Comp YTD 2018-2017 Dec'!B70</f>
        <v>8995.09</v>
      </c>
      <c r="C65" s="28">
        <v>0</v>
      </c>
      <c r="D65" s="28">
        <f>DEP!N52</f>
        <v>4420.04</v>
      </c>
      <c r="E65" s="28">
        <v>0</v>
      </c>
      <c r="F65" s="28">
        <f>'BSC (Dome)'!N55</f>
        <v>2372.79</v>
      </c>
      <c r="G65" s="28">
        <v>0</v>
      </c>
      <c r="H65" s="28">
        <v>0</v>
      </c>
      <c r="I65" s="28">
        <f>SUM(B65:H65)</f>
        <v>15787.920000000002</v>
      </c>
      <c r="L65" s="46"/>
    </row>
    <row r="66" spans="1:12" s="44" customFormat="1" ht="42.75" customHeight="1" x14ac:dyDescent="0.5">
      <c r="A66" s="19" t="s">
        <v>369</v>
      </c>
      <c r="B66" s="28">
        <f>'Comp YTD 2018-2017 Dec'!B71</f>
        <v>0</v>
      </c>
      <c r="C66" s="28">
        <f>BPM!N61</f>
        <v>2018.48</v>
      </c>
      <c r="D66" s="28">
        <f>DEP!N53</f>
        <v>920.12</v>
      </c>
      <c r="E66" s="28">
        <v>0</v>
      </c>
      <c r="F66" s="28">
        <f>'BSC (Dome)'!N56</f>
        <v>3207.52</v>
      </c>
      <c r="G66" s="28">
        <v>0</v>
      </c>
      <c r="H66" s="28">
        <v>0</v>
      </c>
      <c r="I66" s="28">
        <f t="shared" si="7"/>
        <v>6146.12</v>
      </c>
      <c r="L66" s="46"/>
    </row>
    <row r="67" spans="1:12" s="44" customFormat="1" ht="42.75" customHeight="1" x14ac:dyDescent="0.5">
      <c r="A67" s="26" t="s">
        <v>249</v>
      </c>
      <c r="B67" s="32">
        <f t="shared" ref="B67:H67" si="8">SUM(B45:B66)</f>
        <v>1038209.2799999999</v>
      </c>
      <c r="C67" s="32">
        <f t="shared" si="8"/>
        <v>5544.6900000000005</v>
      </c>
      <c r="D67" s="32">
        <f t="shared" si="8"/>
        <v>464820.0799999999</v>
      </c>
      <c r="E67" s="32">
        <f t="shared" si="8"/>
        <v>109</v>
      </c>
      <c r="F67" s="32">
        <f t="shared" si="8"/>
        <v>156556.97000000003</v>
      </c>
      <c r="G67" s="32">
        <f t="shared" si="8"/>
        <v>46776.350000000006</v>
      </c>
      <c r="H67" s="32">
        <f t="shared" si="8"/>
        <v>74014.559999999998</v>
      </c>
      <c r="I67" s="32">
        <f t="shared" si="7"/>
        <v>1786030.93</v>
      </c>
      <c r="L67" s="46"/>
    </row>
    <row r="68" spans="1:12" s="44" customFormat="1" ht="42.75" customHeight="1" x14ac:dyDescent="0.5">
      <c r="A68" s="19"/>
      <c r="B68" s="28"/>
      <c r="C68" s="28"/>
      <c r="D68" s="28"/>
      <c r="E68" s="28"/>
      <c r="F68" s="28"/>
      <c r="G68" s="28"/>
      <c r="H68" s="28"/>
      <c r="I68" s="28">
        <f>SUM(B68:F68)</f>
        <v>0</v>
      </c>
      <c r="L68" s="46"/>
    </row>
    <row r="69" spans="1:12" s="44" customFormat="1" ht="42.75" customHeight="1" x14ac:dyDescent="0.5">
      <c r="A69" s="26" t="s">
        <v>250</v>
      </c>
      <c r="B69" s="28"/>
      <c r="C69" s="28"/>
      <c r="D69" s="28"/>
      <c r="E69" s="28"/>
      <c r="F69" s="28"/>
      <c r="G69" s="28"/>
      <c r="H69" s="28"/>
      <c r="I69" s="28">
        <f>SUM(B69:F69)</f>
        <v>0</v>
      </c>
      <c r="L69" s="46"/>
    </row>
    <row r="70" spans="1:12" s="44" customFormat="1" ht="42.75" customHeight="1" x14ac:dyDescent="0.5">
      <c r="A70" s="19" t="s">
        <v>251</v>
      </c>
      <c r="B70" s="28">
        <f>'Comp YTD 2018-2017 Dec'!B81</f>
        <v>4648.83</v>
      </c>
      <c r="C70" s="28">
        <v>0</v>
      </c>
      <c r="D70" s="28">
        <f>DEP!N57</f>
        <v>848.35</v>
      </c>
      <c r="E70" s="28">
        <v>0</v>
      </c>
      <c r="F70" s="28">
        <f>'BSC (Dome)'!N60</f>
        <v>2033.72</v>
      </c>
      <c r="G70" s="28">
        <v>0</v>
      </c>
      <c r="H70" s="28">
        <v>0</v>
      </c>
      <c r="I70" s="28">
        <f t="shared" ref="I70:I90" si="9">SUM(B70:H70)</f>
        <v>7530.9000000000005</v>
      </c>
      <c r="L70" s="46"/>
    </row>
    <row r="71" spans="1:12" s="44" customFormat="1" ht="42.75" customHeight="1" x14ac:dyDescent="0.5">
      <c r="A71" s="19" t="s">
        <v>391</v>
      </c>
      <c r="B71" s="28">
        <f>'Comp YTD 2018-2017 Dec'!B82</f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f t="shared" si="9"/>
        <v>0</v>
      </c>
      <c r="L71" s="46"/>
    </row>
    <row r="72" spans="1:12" s="44" customFormat="1" ht="42.75" customHeight="1" x14ac:dyDescent="0.5">
      <c r="A72" s="19" t="s">
        <v>546</v>
      </c>
      <c r="B72" s="28">
        <v>0</v>
      </c>
      <c r="C72" s="28">
        <v>0</v>
      </c>
      <c r="D72" s="28">
        <v>0</v>
      </c>
      <c r="E72" s="28">
        <f>Lending!N9</f>
        <v>0</v>
      </c>
      <c r="F72" s="28">
        <v>0</v>
      </c>
      <c r="G72" s="28">
        <v>0</v>
      </c>
      <c r="H72" s="28">
        <v>0</v>
      </c>
      <c r="I72" s="28">
        <f t="shared" si="9"/>
        <v>0</v>
      </c>
      <c r="L72" s="46"/>
    </row>
    <row r="73" spans="1:12" s="44" customFormat="1" ht="42.75" customHeight="1" x14ac:dyDescent="0.5">
      <c r="A73" s="19" t="s">
        <v>252</v>
      </c>
      <c r="B73" s="28">
        <f>'Comp YTD 2018-2017 Dec'!B84</f>
        <v>55704.789999999994</v>
      </c>
      <c r="C73" s="28">
        <f>BPM!N59</f>
        <v>3512.39</v>
      </c>
      <c r="D73" s="28">
        <f>DEP!N58</f>
        <v>3628.9700000000003</v>
      </c>
      <c r="E73" s="28">
        <f>Lending!N10</f>
        <v>1091.81</v>
      </c>
      <c r="F73" s="28">
        <f>'BSC (Dome)'!N61</f>
        <v>1980.54</v>
      </c>
      <c r="G73" s="28">
        <v>0</v>
      </c>
      <c r="H73" s="28">
        <f>'722 Bedford St'!N16</f>
        <v>402.15</v>
      </c>
      <c r="I73" s="28">
        <f t="shared" si="9"/>
        <v>66320.64999999998</v>
      </c>
      <c r="L73" s="46"/>
    </row>
    <row r="74" spans="1:12" s="44" customFormat="1" ht="42.75" customHeight="1" x14ac:dyDescent="0.5">
      <c r="A74" s="19" t="s">
        <v>363</v>
      </c>
      <c r="B74" s="28">
        <f>'Comp YTD 2018-2017 Dec'!B85</f>
        <v>0</v>
      </c>
      <c r="C74" s="28">
        <v>0</v>
      </c>
      <c r="D74" s="28">
        <v>0</v>
      </c>
      <c r="E74" s="28">
        <v>0</v>
      </c>
      <c r="F74" s="28">
        <f>'BSC (Dome)'!N62</f>
        <v>2445.9100000000003</v>
      </c>
      <c r="G74" s="28">
        <v>0</v>
      </c>
      <c r="H74" s="28">
        <v>0</v>
      </c>
      <c r="I74" s="28">
        <f t="shared" si="9"/>
        <v>2445.9100000000003</v>
      </c>
      <c r="L74" s="46"/>
    </row>
    <row r="75" spans="1:12" s="44" customFormat="1" ht="42.75" customHeight="1" x14ac:dyDescent="0.5">
      <c r="A75" s="19" t="s">
        <v>253</v>
      </c>
      <c r="B75" s="28">
        <f>'Comp YTD 2018-2017 Dec'!B86</f>
        <v>3578.83</v>
      </c>
      <c r="C75" s="28">
        <v>0</v>
      </c>
      <c r="D75" s="28">
        <f>DEP!N68</f>
        <v>0</v>
      </c>
      <c r="E75" s="28">
        <v>0</v>
      </c>
      <c r="F75" s="28">
        <f>'BSC (Dome)'!N66</f>
        <v>975.56000000000006</v>
      </c>
      <c r="G75" s="28">
        <v>0</v>
      </c>
      <c r="H75" s="28">
        <v>0</v>
      </c>
      <c r="I75" s="28">
        <f t="shared" si="9"/>
        <v>4554.3900000000003</v>
      </c>
      <c r="L75" s="46"/>
    </row>
    <row r="76" spans="1:12" s="44" customFormat="1" ht="42.75" customHeight="1" x14ac:dyDescent="0.5">
      <c r="A76" s="19" t="s">
        <v>360</v>
      </c>
      <c r="B76" s="28">
        <f>'Comp YTD 2018-2017 Dec'!B87</f>
        <v>144000</v>
      </c>
      <c r="C76" s="28">
        <f>BPM!N64</f>
        <v>15000</v>
      </c>
      <c r="D76" s="28">
        <f>DEP!N62</f>
        <v>25000</v>
      </c>
      <c r="E76" s="28">
        <v>0</v>
      </c>
      <c r="F76" s="28">
        <f>'BSC (Dome)'!N67</f>
        <v>2750</v>
      </c>
      <c r="G76" s="28">
        <f>'Oliari Co.'!N15</f>
        <v>1325</v>
      </c>
      <c r="H76" s="28">
        <f>'722 Bedford St'!N15</f>
        <v>0</v>
      </c>
      <c r="I76" s="28">
        <f t="shared" si="9"/>
        <v>188075</v>
      </c>
      <c r="L76" s="46"/>
    </row>
    <row r="77" spans="1:12" s="44" customFormat="1" ht="42.75" customHeight="1" x14ac:dyDescent="0.5">
      <c r="A77" s="19" t="s">
        <v>361</v>
      </c>
      <c r="B77" s="28">
        <f>'Comp YTD 2018-2017 Dec'!B88</f>
        <v>38000</v>
      </c>
      <c r="C77" s="28">
        <f>BPM!N65</f>
        <v>18750</v>
      </c>
      <c r="D77" s="28">
        <f>DEP!N63</f>
        <v>11250</v>
      </c>
      <c r="E77" s="28">
        <f>Lending!N12</f>
        <v>1250</v>
      </c>
      <c r="F77" s="28">
        <f>'BSC (Dome)'!N68</f>
        <v>7500</v>
      </c>
      <c r="G77" s="28">
        <v>0</v>
      </c>
      <c r="H77" s="28">
        <v>0</v>
      </c>
      <c r="I77" s="28">
        <f t="shared" si="9"/>
        <v>76750</v>
      </c>
      <c r="L77" s="46"/>
    </row>
    <row r="78" spans="1:12" s="44" customFormat="1" ht="42.75" customHeight="1" x14ac:dyDescent="0.5">
      <c r="A78" s="19" t="s">
        <v>362</v>
      </c>
      <c r="B78" s="28">
        <f>'Comp YTD 2018-2017 Dec'!B89</f>
        <v>7204.7999999999993</v>
      </c>
      <c r="C78" s="28">
        <f>BPM!N63</f>
        <v>0</v>
      </c>
      <c r="D78" s="28">
        <f>DEP!N61</f>
        <v>0</v>
      </c>
      <c r="E78" s="28">
        <f>Lending!N13</f>
        <v>0</v>
      </c>
      <c r="F78" s="28">
        <v>0</v>
      </c>
      <c r="G78" s="28">
        <v>0</v>
      </c>
      <c r="H78" s="28">
        <v>0</v>
      </c>
      <c r="I78" s="28">
        <f t="shared" si="9"/>
        <v>7204.7999999999993</v>
      </c>
      <c r="L78" s="46"/>
    </row>
    <row r="79" spans="1:12" s="44" customFormat="1" ht="42.75" customHeight="1" x14ac:dyDescent="0.5">
      <c r="A79" s="19" t="s">
        <v>400</v>
      </c>
      <c r="B79" s="28">
        <f>'Comp YTD 2018-2017 Dec'!B90</f>
        <v>5803.0999999999995</v>
      </c>
      <c r="C79" s="28">
        <f>BPM!N66</f>
        <v>0</v>
      </c>
      <c r="D79" s="28">
        <f>DEP!N65</f>
        <v>0</v>
      </c>
      <c r="E79" s="28">
        <v>0</v>
      </c>
      <c r="F79" s="28">
        <v>0</v>
      </c>
      <c r="G79" s="28">
        <v>0</v>
      </c>
      <c r="H79" s="28">
        <v>0</v>
      </c>
      <c r="I79" s="28">
        <f t="shared" si="9"/>
        <v>5803.0999999999995</v>
      </c>
      <c r="L79" s="46"/>
    </row>
    <row r="80" spans="1:12" s="44" customFormat="1" ht="42.75" customHeight="1" x14ac:dyDescent="0.5">
      <c r="A80" s="19" t="s">
        <v>389</v>
      </c>
      <c r="B80" s="28">
        <f>'Comp YTD 2018-2017 Dec'!B91</f>
        <v>0</v>
      </c>
      <c r="C80" s="28">
        <v>0</v>
      </c>
      <c r="D80" s="28">
        <f>DEP!N64</f>
        <v>3958.3399999999997</v>
      </c>
      <c r="E80" s="28">
        <v>0</v>
      </c>
      <c r="F80" s="28">
        <v>0</v>
      </c>
      <c r="G80" s="28">
        <v>0</v>
      </c>
      <c r="H80" s="28">
        <v>0</v>
      </c>
      <c r="I80" s="28">
        <f t="shared" si="9"/>
        <v>3958.3399999999997</v>
      </c>
      <c r="L80" s="46"/>
    </row>
    <row r="81" spans="1:12" s="44" customFormat="1" ht="42.75" customHeight="1" x14ac:dyDescent="0.5">
      <c r="A81" s="19" t="s">
        <v>255</v>
      </c>
      <c r="B81" s="28">
        <f>'Comp YTD 2018-2017 Dec'!B92</f>
        <v>-4933.7899999999991</v>
      </c>
      <c r="C81" s="28">
        <v>0</v>
      </c>
      <c r="D81" s="28">
        <f>DEP!N60</f>
        <v>1250</v>
      </c>
      <c r="E81" s="28">
        <v>0</v>
      </c>
      <c r="F81" s="28">
        <f>'BSC (Dome)'!N64</f>
        <v>796.8599999999999</v>
      </c>
      <c r="G81" s="28">
        <v>0</v>
      </c>
      <c r="H81" s="28">
        <v>0</v>
      </c>
      <c r="I81" s="28">
        <f t="shared" si="9"/>
        <v>-2886.9299999999994</v>
      </c>
      <c r="L81" s="46"/>
    </row>
    <row r="82" spans="1:12" s="44" customFormat="1" ht="42.75" customHeight="1" x14ac:dyDescent="0.5">
      <c r="A82" s="19" t="s">
        <v>256</v>
      </c>
      <c r="B82" s="28">
        <f>'Comp YTD 2018-2017 Dec'!B93</f>
        <v>18458.87</v>
      </c>
      <c r="C82" s="28">
        <f>BPM!N60</f>
        <v>587.5</v>
      </c>
      <c r="D82" s="28">
        <f>DEP!N70</f>
        <v>577.5</v>
      </c>
      <c r="E82" s="28">
        <v>0</v>
      </c>
      <c r="F82" s="28">
        <f>'BSC (Dome)'!N70</f>
        <v>0</v>
      </c>
      <c r="G82" s="28">
        <v>0</v>
      </c>
      <c r="H82" s="28">
        <v>0</v>
      </c>
      <c r="I82" s="28">
        <f t="shared" si="9"/>
        <v>19623.87</v>
      </c>
      <c r="L82" s="46"/>
    </row>
    <row r="83" spans="1:12" s="44" customFormat="1" ht="42.75" customHeight="1" x14ac:dyDescent="0.5">
      <c r="A83" s="19" t="s">
        <v>257</v>
      </c>
      <c r="B83" s="28">
        <f>'Comp YTD 2018-2017 Dec'!B94</f>
        <v>9822.83</v>
      </c>
      <c r="C83" s="28">
        <f>0</f>
        <v>0</v>
      </c>
      <c r="D83" s="28">
        <f>DEP!N67</f>
        <v>0</v>
      </c>
      <c r="E83" s="28">
        <v>0</v>
      </c>
      <c r="F83" s="28">
        <v>0</v>
      </c>
      <c r="G83" s="28">
        <v>0</v>
      </c>
      <c r="H83" s="28">
        <v>0</v>
      </c>
      <c r="I83" s="28">
        <f t="shared" si="9"/>
        <v>9822.83</v>
      </c>
      <c r="L83" s="46"/>
    </row>
    <row r="84" spans="1:12" s="44" customFormat="1" ht="42.75" customHeight="1" x14ac:dyDescent="0.5">
      <c r="A84" s="19" t="s">
        <v>294</v>
      </c>
      <c r="B84" s="28">
        <f>'Comp YTD 2018-2017 Dec'!B95</f>
        <v>0</v>
      </c>
      <c r="C84" s="28">
        <f>0</f>
        <v>0</v>
      </c>
      <c r="D84" s="28">
        <f>DEP!N59</f>
        <v>300</v>
      </c>
      <c r="E84" s="28">
        <v>0</v>
      </c>
      <c r="F84" s="28">
        <f>'BSC (Dome)'!N63</f>
        <v>1600</v>
      </c>
      <c r="G84" s="28">
        <v>0</v>
      </c>
      <c r="H84" s="28">
        <v>0</v>
      </c>
      <c r="I84" s="28">
        <f t="shared" si="9"/>
        <v>1900</v>
      </c>
      <c r="L84" s="46"/>
    </row>
    <row r="85" spans="1:12" s="44" customFormat="1" ht="42.75" customHeight="1" x14ac:dyDescent="0.5">
      <c r="A85" s="19" t="s">
        <v>377</v>
      </c>
      <c r="B85" s="28">
        <f>'Comp YTD 2018-2017 Dec'!B96</f>
        <v>0</v>
      </c>
      <c r="C85" s="28">
        <v>0</v>
      </c>
      <c r="D85" s="28">
        <v>0</v>
      </c>
      <c r="E85" s="28">
        <v>0</v>
      </c>
      <c r="F85" s="28">
        <f>'BSC (Dome)'!N65</f>
        <v>10329.9</v>
      </c>
      <c r="G85" s="28">
        <v>0</v>
      </c>
      <c r="H85" s="28">
        <v>0</v>
      </c>
      <c r="I85" s="28">
        <f t="shared" si="9"/>
        <v>10329.9</v>
      </c>
      <c r="L85" s="46"/>
    </row>
    <row r="86" spans="1:12" s="44" customFormat="1" ht="42.75" customHeight="1" x14ac:dyDescent="0.5">
      <c r="A86" s="19" t="s">
        <v>258</v>
      </c>
      <c r="B86" s="28">
        <f>'Comp YTD 2018-2017 Dec'!B97</f>
        <v>13386.65</v>
      </c>
      <c r="C86" s="28">
        <f>BPM!N69</f>
        <v>0</v>
      </c>
      <c r="D86" s="28">
        <f>DEP!N66</f>
        <v>0</v>
      </c>
      <c r="E86" s="28">
        <v>0</v>
      </c>
      <c r="F86" s="28">
        <v>0</v>
      </c>
      <c r="G86" s="28">
        <v>0</v>
      </c>
      <c r="H86" s="28">
        <v>0</v>
      </c>
      <c r="I86" s="28">
        <f t="shared" si="9"/>
        <v>13386.65</v>
      </c>
      <c r="L86" s="46"/>
    </row>
    <row r="87" spans="1:12" s="44" customFormat="1" ht="42.75" customHeight="1" x14ac:dyDescent="0.5">
      <c r="A87" s="19" t="s">
        <v>259</v>
      </c>
      <c r="B87" s="28">
        <f>'Comp YTD 2018-2017 Dec'!B98</f>
        <v>7861.9500000000007</v>
      </c>
      <c r="C87" s="28">
        <v>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8">
        <f t="shared" si="9"/>
        <v>7861.9500000000007</v>
      </c>
      <c r="L87" s="46"/>
    </row>
    <row r="88" spans="1:12" s="44" customFormat="1" ht="42.75" customHeight="1" x14ac:dyDescent="0.5">
      <c r="A88" s="19" t="s">
        <v>260</v>
      </c>
      <c r="B88" s="28">
        <f>'Comp YTD 2018-2017 Dec'!B99</f>
        <v>3295.27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f t="shared" si="9"/>
        <v>3295.27</v>
      </c>
      <c r="L88" s="46"/>
    </row>
    <row r="89" spans="1:12" s="44" customFormat="1" ht="42.75" customHeight="1" x14ac:dyDescent="0.5">
      <c r="A89" s="19" t="s">
        <v>261</v>
      </c>
      <c r="B89" s="28">
        <f>'Comp YTD 2018-2017 Dec'!B100</f>
        <v>8245.32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f t="shared" si="9"/>
        <v>8245.32</v>
      </c>
      <c r="L89" s="46"/>
    </row>
    <row r="90" spans="1:12" s="44" customFormat="1" ht="42.75" customHeight="1" x14ac:dyDescent="0.5">
      <c r="A90" s="26" t="s">
        <v>263</v>
      </c>
      <c r="B90" s="32">
        <f>SUM(B70:B89)</f>
        <v>315077.45000000007</v>
      </c>
      <c r="C90" s="32">
        <f t="shared" ref="C90:H90" si="10">SUM(C70:C89)</f>
        <v>37849.89</v>
      </c>
      <c r="D90" s="32">
        <f t="shared" si="10"/>
        <v>46813.159999999996</v>
      </c>
      <c r="E90" s="32">
        <f t="shared" si="10"/>
        <v>2341.81</v>
      </c>
      <c r="F90" s="32">
        <f t="shared" si="10"/>
        <v>30412.489999999998</v>
      </c>
      <c r="G90" s="32">
        <f t="shared" si="10"/>
        <v>1325</v>
      </c>
      <c r="H90" s="32">
        <f t="shared" si="10"/>
        <v>402.15</v>
      </c>
      <c r="I90" s="32">
        <f t="shared" si="9"/>
        <v>434221.95000000007</v>
      </c>
      <c r="L90" s="46"/>
    </row>
    <row r="91" spans="1:12" s="44" customFormat="1" ht="42.75" customHeight="1" x14ac:dyDescent="0.5">
      <c r="A91" s="19"/>
      <c r="B91" s="28"/>
      <c r="C91" s="28"/>
      <c r="D91" s="28"/>
      <c r="E91" s="28"/>
      <c r="F91" s="28"/>
      <c r="G91" s="28"/>
      <c r="H91" s="28"/>
      <c r="I91" s="28">
        <f>SUM(B91:F91)</f>
        <v>0</v>
      </c>
      <c r="L91" s="46"/>
    </row>
    <row r="92" spans="1:12" s="44" customFormat="1" ht="42.75" customHeight="1" thickBot="1" x14ac:dyDescent="0.55000000000000004">
      <c r="A92" s="26" t="s">
        <v>264</v>
      </c>
      <c r="B92" s="38">
        <f t="shared" ref="B92:H92" si="11">B42+B67+B90</f>
        <v>2603441.9700000002</v>
      </c>
      <c r="C92" s="38">
        <f t="shared" si="11"/>
        <v>43394.58</v>
      </c>
      <c r="D92" s="38">
        <f t="shared" si="11"/>
        <v>579422.87999999989</v>
      </c>
      <c r="E92" s="38">
        <f t="shared" si="11"/>
        <v>2450.81</v>
      </c>
      <c r="F92" s="38">
        <f t="shared" si="11"/>
        <v>385956.18</v>
      </c>
      <c r="G92" s="38">
        <f t="shared" si="11"/>
        <v>48101.350000000006</v>
      </c>
      <c r="H92" s="38">
        <f t="shared" si="11"/>
        <v>74416.709999999992</v>
      </c>
      <c r="I92" s="38">
        <f>SUM(B92:H92)</f>
        <v>3737184.4800000004</v>
      </c>
      <c r="L92" s="46"/>
    </row>
    <row r="93" spans="1:12" s="44" customFormat="1" ht="42.75" customHeight="1" x14ac:dyDescent="0.5">
      <c r="A93" s="19"/>
      <c r="B93" s="28"/>
      <c r="C93" s="28"/>
      <c r="D93" s="28"/>
      <c r="E93" s="28"/>
      <c r="F93" s="28"/>
      <c r="G93" s="28"/>
      <c r="H93" s="28"/>
      <c r="I93" s="28"/>
      <c r="L93" s="46"/>
    </row>
    <row r="94" spans="1:12" s="44" customFormat="1" ht="42.75" customHeight="1" x14ac:dyDescent="0.5">
      <c r="A94" s="26" t="s">
        <v>462</v>
      </c>
      <c r="B94" s="28"/>
      <c r="C94" s="28"/>
      <c r="D94" s="28"/>
      <c r="E94" s="28"/>
      <c r="F94" s="28"/>
      <c r="G94" s="28"/>
      <c r="H94" s="28"/>
      <c r="I94" s="28"/>
      <c r="L94" s="46"/>
    </row>
    <row r="95" spans="1:12" s="44" customFormat="1" ht="42.75" customHeight="1" x14ac:dyDescent="0.5">
      <c r="A95" s="19" t="s">
        <v>267</v>
      </c>
      <c r="B95" s="28">
        <f>'Comp YTD 2018-2017 Dec'!B106</f>
        <v>62500</v>
      </c>
      <c r="C95" s="28">
        <v>0</v>
      </c>
      <c r="D95" s="28">
        <f>DEP!N76</f>
        <v>62500</v>
      </c>
      <c r="E95" s="28">
        <v>0</v>
      </c>
      <c r="F95" s="28">
        <f>'BSC (Dome)'!N76+'BSC (Dome)'!N77</f>
        <v>29000</v>
      </c>
      <c r="G95" s="28">
        <f>'Oliari Co.'!N21+'Oliari Co.'!N22+'Oliari Co.'!N23</f>
        <v>88500</v>
      </c>
      <c r="H95" s="28">
        <f>'722 Bedford St'!N22+'722 Bedford St'!N23</f>
        <v>0</v>
      </c>
      <c r="I95" s="28">
        <f t="shared" ref="I95:I107" si="12">SUM(B95:H95)</f>
        <v>242500</v>
      </c>
      <c r="L95" s="46"/>
    </row>
    <row r="96" spans="1:12" s="44" customFormat="1" ht="42.75" customHeight="1" x14ac:dyDescent="0.5">
      <c r="A96" s="19" t="s">
        <v>268</v>
      </c>
      <c r="B96" s="28">
        <f>'Comp YTD 2018-2017 Dec'!B107</f>
        <v>-692.20000000001164</v>
      </c>
      <c r="C96" s="28">
        <v>0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8">
        <f t="shared" si="12"/>
        <v>-692.20000000001164</v>
      </c>
      <c r="L96" s="46"/>
    </row>
    <row r="97" spans="1:12" s="44" customFormat="1" ht="42.75" customHeight="1" x14ac:dyDescent="0.5">
      <c r="A97" s="19" t="s">
        <v>326</v>
      </c>
      <c r="B97" s="28">
        <f>'Comp YTD 2018-2017 Dec'!B108</f>
        <v>0</v>
      </c>
      <c r="C97" s="28">
        <f>-BPM!N73</f>
        <v>-172148.75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8">
        <f t="shared" si="12"/>
        <v>-172148.75</v>
      </c>
      <c r="L97" s="46"/>
    </row>
    <row r="98" spans="1:12" s="44" customFormat="1" ht="42.75" customHeight="1" x14ac:dyDescent="0.5">
      <c r="A98" s="19" t="s">
        <v>386</v>
      </c>
      <c r="B98" s="28">
        <f>'Comp YTD 2018-2017 Dec'!B109</f>
        <v>31752.38</v>
      </c>
      <c r="C98" s="28">
        <f>-BPM!N74</f>
        <v>-31752.38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f t="shared" si="12"/>
        <v>0</v>
      </c>
      <c r="L98" s="46"/>
    </row>
    <row r="99" spans="1:12" s="44" customFormat="1" ht="42.75" customHeight="1" x14ac:dyDescent="0.5">
      <c r="A99" s="19" t="s">
        <v>269</v>
      </c>
      <c r="B99" s="28">
        <f>'Comp YTD 2018-2017 Dec'!B110</f>
        <v>65930</v>
      </c>
      <c r="C99" s="28">
        <v>0</v>
      </c>
      <c r="D99" s="28">
        <v>0</v>
      </c>
      <c r="E99" s="28">
        <v>0</v>
      </c>
      <c r="F99" s="28">
        <v>0</v>
      </c>
      <c r="G99" s="28">
        <v>0</v>
      </c>
      <c r="H99" s="28">
        <v>0</v>
      </c>
      <c r="I99" s="28">
        <f t="shared" si="12"/>
        <v>65930</v>
      </c>
      <c r="L99" s="46"/>
    </row>
    <row r="100" spans="1:12" s="44" customFormat="1" ht="42.75" customHeight="1" x14ac:dyDescent="0.5">
      <c r="A100" s="19" t="s">
        <v>270</v>
      </c>
      <c r="B100" s="28">
        <f>'Comp YTD 2018-2017 Dec'!B111</f>
        <v>118539.97</v>
      </c>
      <c r="C100" s="28">
        <f>-BPM!N75</f>
        <v>5253.0599999999995</v>
      </c>
      <c r="D100" s="28">
        <f>DEP!N77</f>
        <v>12791.05</v>
      </c>
      <c r="E100" s="28">
        <f>Lending!N17</f>
        <v>15650.05</v>
      </c>
      <c r="F100" s="28">
        <v>0</v>
      </c>
      <c r="G100" s="28">
        <f>'Oliari Co.'!N25</f>
        <v>18277.920000000002</v>
      </c>
      <c r="H100" s="28">
        <v>0</v>
      </c>
      <c r="I100" s="28">
        <f t="shared" si="12"/>
        <v>170512.05</v>
      </c>
      <c r="L100" s="46"/>
    </row>
    <row r="101" spans="1:12" s="44" customFormat="1" ht="42.75" customHeight="1" x14ac:dyDescent="0.5">
      <c r="A101" s="19" t="s">
        <v>271</v>
      </c>
      <c r="B101" s="28">
        <f>'Comp YTD 2018-2017 Dec'!B112</f>
        <v>-76457.739999999991</v>
      </c>
      <c r="C101" s="28">
        <v>0</v>
      </c>
      <c r="D101" s="28">
        <v>0</v>
      </c>
      <c r="E101" s="28">
        <f>Lending!N18</f>
        <v>-2772.08</v>
      </c>
      <c r="F101" s="28">
        <f>'BSC (Dome)'!N79+'BSC (Dome)'!N80</f>
        <v>-48571.47</v>
      </c>
      <c r="G101" s="28">
        <f>'Oliari Co.'!N26</f>
        <v>-4304.6499999999996</v>
      </c>
      <c r="H101" s="28">
        <f>'722 Bedford St'!N26</f>
        <v>0</v>
      </c>
      <c r="I101" s="28">
        <f t="shared" si="12"/>
        <v>-132105.94</v>
      </c>
      <c r="L101" s="46"/>
    </row>
    <row r="102" spans="1:12" s="44" customFormat="1" ht="42.75" customHeight="1" x14ac:dyDescent="0.5">
      <c r="A102" s="19" t="s">
        <v>272</v>
      </c>
      <c r="B102" s="28">
        <f>'Comp YTD 2018-2017 Dec'!B113</f>
        <v>0.1</v>
      </c>
      <c r="C102" s="28">
        <v>0</v>
      </c>
      <c r="D102" s="28">
        <v>0</v>
      </c>
      <c r="E102" s="28"/>
      <c r="F102" s="28">
        <f>'BSC (Dome)'!N78</f>
        <v>1833.08</v>
      </c>
      <c r="G102" s="28">
        <f>'Oliari Co.'!N24</f>
        <v>1.01</v>
      </c>
      <c r="H102" s="28">
        <v>0</v>
      </c>
      <c r="I102" s="28">
        <f t="shared" si="12"/>
        <v>1834.1899999999998</v>
      </c>
      <c r="L102" s="46"/>
    </row>
    <row r="103" spans="1:12" s="44" customFormat="1" ht="42.75" customHeight="1" x14ac:dyDescent="0.5">
      <c r="A103" s="19" t="s">
        <v>401</v>
      </c>
      <c r="B103" s="28">
        <f>'Comp YTD 2018-2017 Dec'!B114</f>
        <v>2087.77</v>
      </c>
      <c r="C103" s="28">
        <v>0</v>
      </c>
      <c r="D103" s="28">
        <v>0</v>
      </c>
      <c r="E103" s="28">
        <v>0</v>
      </c>
      <c r="F103" s="28">
        <v>0</v>
      </c>
      <c r="G103" s="28">
        <v>0</v>
      </c>
      <c r="H103" s="28">
        <v>0</v>
      </c>
      <c r="I103" s="28">
        <f t="shared" si="12"/>
        <v>2087.77</v>
      </c>
      <c r="L103" s="46"/>
    </row>
    <row r="104" spans="1:12" s="44" customFormat="1" ht="42.75" customHeight="1" x14ac:dyDescent="0.5">
      <c r="A104" s="19" t="s">
        <v>438</v>
      </c>
      <c r="B104" s="28">
        <f>'Comp YTD 2018-2017 Dec'!B115</f>
        <v>0</v>
      </c>
      <c r="C104" s="28">
        <v>0</v>
      </c>
      <c r="D104" s="28">
        <v>0</v>
      </c>
      <c r="E104" s="28">
        <v>0</v>
      </c>
      <c r="F104" s="28">
        <v>0</v>
      </c>
      <c r="G104" s="28">
        <v>0</v>
      </c>
      <c r="H104" s="28">
        <v>0</v>
      </c>
      <c r="I104" s="28">
        <f t="shared" si="12"/>
        <v>0</v>
      </c>
      <c r="L104" s="46"/>
    </row>
    <row r="105" spans="1:12" s="44" customFormat="1" ht="42.75" customHeight="1" x14ac:dyDescent="0.5">
      <c r="A105" s="19" t="s">
        <v>439</v>
      </c>
      <c r="B105" s="28">
        <f>'Comp YTD 2018-2017 Dec'!B116</f>
        <v>0</v>
      </c>
      <c r="C105" s="28">
        <v>0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I105" s="28">
        <f t="shared" si="12"/>
        <v>0</v>
      </c>
      <c r="L105" s="46"/>
    </row>
    <row r="106" spans="1:12" s="44" customFormat="1" ht="42.75" customHeight="1" x14ac:dyDescent="0.5">
      <c r="A106" s="19" t="s">
        <v>402</v>
      </c>
      <c r="B106" s="28">
        <f>'Comp YTD 2018-2017 Dec'!B117</f>
        <v>7848.21</v>
      </c>
      <c r="C106" s="28">
        <v>0</v>
      </c>
      <c r="D106" s="28">
        <v>0</v>
      </c>
      <c r="E106" s="28">
        <v>0</v>
      </c>
      <c r="F106" s="28">
        <v>0</v>
      </c>
      <c r="G106" s="28">
        <v>0</v>
      </c>
      <c r="H106" s="28">
        <v>0</v>
      </c>
      <c r="I106" s="28">
        <f t="shared" si="12"/>
        <v>7848.21</v>
      </c>
      <c r="L106" s="46"/>
    </row>
    <row r="107" spans="1:12" s="44" customFormat="1" ht="42.75" customHeight="1" x14ac:dyDescent="0.5">
      <c r="A107" s="19" t="s">
        <v>449</v>
      </c>
      <c r="B107" s="28">
        <f>'Comp YTD 2018-2017 Dec'!B119</f>
        <v>0</v>
      </c>
      <c r="C107" s="28">
        <v>0</v>
      </c>
      <c r="D107" s="28">
        <v>0</v>
      </c>
      <c r="E107" s="28">
        <v>0</v>
      </c>
      <c r="F107" s="28">
        <v>0</v>
      </c>
      <c r="G107" s="28">
        <v>0</v>
      </c>
      <c r="H107" s="28">
        <v>0</v>
      </c>
      <c r="I107" s="28">
        <f t="shared" si="12"/>
        <v>0</v>
      </c>
      <c r="L107" s="46"/>
    </row>
    <row r="108" spans="1:12" s="44" customFormat="1" ht="42.75" customHeight="1" x14ac:dyDescent="0.5">
      <c r="A108" s="26" t="s">
        <v>463</v>
      </c>
      <c r="B108" s="32">
        <f t="shared" ref="B108:I108" si="13">SUM(B95:B107)</f>
        <v>211508.49000000002</v>
      </c>
      <c r="C108" s="32">
        <f t="shared" si="13"/>
        <v>-198648.07</v>
      </c>
      <c r="D108" s="32">
        <f t="shared" si="13"/>
        <v>75291.05</v>
      </c>
      <c r="E108" s="32">
        <f t="shared" si="13"/>
        <v>12877.97</v>
      </c>
      <c r="F108" s="32">
        <f t="shared" si="13"/>
        <v>-17738.39</v>
      </c>
      <c r="G108" s="32">
        <f t="shared" si="13"/>
        <v>102474.28</v>
      </c>
      <c r="H108" s="32">
        <f t="shared" si="13"/>
        <v>0</v>
      </c>
      <c r="I108" s="32">
        <f t="shared" si="13"/>
        <v>185765.32999999996</v>
      </c>
      <c r="L108" s="46"/>
    </row>
    <row r="109" spans="1:12" s="44" customFormat="1" ht="42.75" customHeight="1" x14ac:dyDescent="0.5">
      <c r="A109" s="26"/>
      <c r="B109" s="28"/>
      <c r="C109" s="28"/>
      <c r="D109" s="28"/>
      <c r="E109" s="28"/>
      <c r="F109" s="28"/>
      <c r="G109" s="28"/>
      <c r="H109" s="28"/>
      <c r="I109" s="28">
        <f>SUM(B109:F109)</f>
        <v>0</v>
      </c>
      <c r="L109" s="46"/>
    </row>
    <row r="110" spans="1:12" s="44" customFormat="1" ht="42.75" customHeight="1" thickBot="1" x14ac:dyDescent="0.55000000000000004">
      <c r="A110" s="26" t="s">
        <v>266</v>
      </c>
      <c r="B110" s="42">
        <f t="shared" ref="B110:H110" si="14">B27-B92+B108</f>
        <v>564230.0599994848</v>
      </c>
      <c r="C110" s="42">
        <f t="shared" si="14"/>
        <v>169575.52999999595</v>
      </c>
      <c r="D110" s="42">
        <f t="shared" si="14"/>
        <v>300509.56000000011</v>
      </c>
      <c r="E110" s="42">
        <f t="shared" si="14"/>
        <v>10427.16</v>
      </c>
      <c r="F110" s="42">
        <f t="shared" si="14"/>
        <v>100914.39000000003</v>
      </c>
      <c r="G110" s="42">
        <f t="shared" si="14"/>
        <v>54372.929999999993</v>
      </c>
      <c r="H110" s="42">
        <f t="shared" si="14"/>
        <v>-74416.709999999992</v>
      </c>
      <c r="I110" s="42">
        <f>SUM(B110:H110)</f>
        <v>1125612.9199994809</v>
      </c>
      <c r="L110" s="46"/>
    </row>
    <row r="111" spans="1:12" ht="15.75" thickTop="1" x14ac:dyDescent="0.25">
      <c r="B111" s="15"/>
      <c r="C111" s="15"/>
      <c r="D111" s="15"/>
      <c r="E111" s="15"/>
      <c r="F111" s="15"/>
      <c r="G111" s="15"/>
      <c r="H111" s="15"/>
      <c r="I111" s="15"/>
    </row>
    <row r="113" spans="1:9" ht="31.5" x14ac:dyDescent="0.5">
      <c r="A113" t="s">
        <v>331</v>
      </c>
      <c r="B113" s="28">
        <f>CNT!N287</f>
        <v>44839.909999842464</v>
      </c>
      <c r="C113" s="28">
        <f>BPM!N80</f>
        <v>169575.52999999226</v>
      </c>
      <c r="D113" s="28">
        <f>DEP!N82</f>
        <v>844796.72</v>
      </c>
      <c r="E113" s="28">
        <f>Lending!N21</f>
        <v>10427.16</v>
      </c>
      <c r="F113" s="28">
        <f>'BSC (Dome)'!N85</f>
        <v>-29868.69</v>
      </c>
      <c r="G113" s="28">
        <f>'Oliari Co.'!N29</f>
        <v>54372.929999999993</v>
      </c>
      <c r="H113" s="28">
        <f>'722 Bedford St'!N29</f>
        <v>-74416.709999999992</v>
      </c>
      <c r="I113" s="14">
        <f>SUM(B113:H113)</f>
        <v>1019726.8499998346</v>
      </c>
    </row>
    <row r="114" spans="1:9" x14ac:dyDescent="0.25">
      <c r="B114" s="14">
        <f t="shared" ref="B114:H114" si="15">B110-B113</f>
        <v>519390.14999964234</v>
      </c>
      <c r="C114" s="14">
        <f t="shared" si="15"/>
        <v>3.6961864680051804E-9</v>
      </c>
      <c r="D114" s="14">
        <f t="shared" si="15"/>
        <v>-544287.15999999992</v>
      </c>
      <c r="E114" s="14">
        <f t="shared" si="15"/>
        <v>0</v>
      </c>
      <c r="F114" s="14">
        <f t="shared" si="15"/>
        <v>130783.08000000003</v>
      </c>
      <c r="G114" s="14">
        <f t="shared" si="15"/>
        <v>0</v>
      </c>
      <c r="H114" s="14">
        <f t="shared" si="15"/>
        <v>0</v>
      </c>
      <c r="I114" s="14">
        <f>I110-I113</f>
        <v>105886.0699996464</v>
      </c>
    </row>
    <row r="115" spans="1:9" x14ac:dyDescent="0.25">
      <c r="B115" s="14"/>
      <c r="C115" s="14"/>
      <c r="D115" s="14"/>
      <c r="E115" s="14"/>
      <c r="I115" s="15"/>
    </row>
    <row r="116" spans="1:9" x14ac:dyDescent="0.25">
      <c r="B116" s="14"/>
      <c r="C116" s="14"/>
      <c r="D116" s="14"/>
      <c r="E116" s="14"/>
    </row>
    <row r="117" spans="1:9" x14ac:dyDescent="0.25">
      <c r="B117" s="14"/>
      <c r="C117" s="14"/>
      <c r="D117" s="14"/>
      <c r="E117" s="14"/>
    </row>
    <row r="118" spans="1:9" x14ac:dyDescent="0.25">
      <c r="B118" s="14"/>
      <c r="C118" s="14"/>
      <c r="D118" s="14"/>
      <c r="E118" s="14"/>
    </row>
    <row r="119" spans="1:9" x14ac:dyDescent="0.25">
      <c r="B119" s="14"/>
      <c r="C119" s="14"/>
      <c r="D119" s="14"/>
      <c r="E119" s="14"/>
    </row>
    <row r="120" spans="1:9" x14ac:dyDescent="0.25">
      <c r="B120" s="14"/>
      <c r="C120" s="14"/>
      <c r="D120" s="14"/>
      <c r="E120" s="14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27" orientation="portrait" r:id="rId1"/>
  <headerFooter>
    <oddFooter>&amp;C&amp;24Page &amp;P of &amp;N</oddFooter>
  </headerFooter>
  <rowBreaks count="2" manualBreakCount="2">
    <brk id="28" max="6" man="1"/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47"/>
  <sheetViews>
    <sheetView zoomScale="50" zoomScaleNormal="50" workbookViewId="0">
      <pane ySplit="18" topLeftCell="A19" activePane="bottomLeft" state="frozen"/>
      <selection activeCell="D13" sqref="D13"/>
      <selection pane="bottomLeft" activeCell="D13" sqref="D13"/>
    </sheetView>
  </sheetViews>
  <sheetFormatPr defaultRowHeight="15" x14ac:dyDescent="0.25"/>
  <cols>
    <col min="1" max="1" width="82.42578125" bestFit="1" customWidth="1"/>
    <col min="2" max="2" width="39.42578125" style="12" bestFit="1" customWidth="1"/>
    <col min="3" max="3" width="33.28515625" style="12" bestFit="1" customWidth="1"/>
    <col min="4" max="4" width="29.5703125" style="12" bestFit="1" customWidth="1"/>
    <col min="5" max="5" width="24.42578125" style="12" bestFit="1" customWidth="1"/>
    <col min="6" max="6" width="27.5703125" style="12" bestFit="1" customWidth="1"/>
    <col min="7" max="8" width="26.140625" style="12" bestFit="1" customWidth="1"/>
    <col min="9" max="9" width="38.140625" style="12" bestFit="1" customWidth="1"/>
    <col min="10" max="10" width="11.42578125" style="12" customWidth="1"/>
    <col min="11" max="11" width="82.42578125" style="12" bestFit="1" customWidth="1"/>
    <col min="12" max="12" width="38.140625" style="12" bestFit="1" customWidth="1"/>
    <col min="13" max="13" width="33.28515625" style="12" bestFit="1" customWidth="1"/>
    <col min="14" max="14" width="29.5703125" style="12" bestFit="1" customWidth="1"/>
    <col min="15" max="15" width="24.7109375" style="12" customWidth="1"/>
    <col min="16" max="18" width="27" style="12" bestFit="1" customWidth="1"/>
    <col min="19" max="19" width="38.140625" style="12" bestFit="1" customWidth="1"/>
    <col min="20" max="20" width="11.28515625" style="12" customWidth="1"/>
    <col min="21" max="21" width="68" style="12" bestFit="1" customWidth="1"/>
    <col min="22" max="22" width="11.42578125" style="12" customWidth="1"/>
    <col min="23" max="23" width="39.42578125" bestFit="1" customWidth="1"/>
    <col min="24" max="24" width="11.42578125" customWidth="1"/>
    <col min="25" max="25" width="39.42578125" bestFit="1" customWidth="1"/>
    <col min="26" max="26" width="11.42578125" customWidth="1"/>
    <col min="27" max="27" width="39.42578125" style="5" bestFit="1" customWidth="1"/>
    <col min="28" max="28" width="4.28515625" style="5" customWidth="1"/>
    <col min="29" max="29" width="21.140625" style="6" bestFit="1" customWidth="1"/>
    <col min="30" max="30" width="4.28515625" style="5" customWidth="1"/>
    <col min="31" max="31" width="23" style="6" bestFit="1" customWidth="1"/>
  </cols>
  <sheetData>
    <row r="1" spans="1:31" ht="24.95" customHeight="1" x14ac:dyDescent="0.25">
      <c r="A1" s="209" t="s">
        <v>411</v>
      </c>
      <c r="B1" s="209"/>
      <c r="C1" s="209"/>
      <c r="D1" s="209"/>
      <c r="E1" s="209"/>
      <c r="F1" s="209"/>
      <c r="G1" s="209"/>
      <c r="H1" s="209"/>
      <c r="I1" s="209"/>
    </row>
    <row r="2" spans="1:31" ht="24.95" customHeight="1" x14ac:dyDescent="0.25">
      <c r="A2" s="209"/>
      <c r="B2" s="209"/>
      <c r="C2" s="209"/>
      <c r="D2" s="209"/>
      <c r="E2" s="209"/>
      <c r="F2" s="209"/>
      <c r="G2" s="209"/>
      <c r="H2" s="209"/>
      <c r="I2" s="209"/>
    </row>
    <row r="3" spans="1:31" ht="24.95" customHeight="1" x14ac:dyDescent="0.25">
      <c r="A3" s="209"/>
      <c r="B3" s="209"/>
      <c r="C3" s="209"/>
      <c r="D3" s="209"/>
      <c r="E3" s="209"/>
      <c r="F3" s="209"/>
      <c r="G3" s="209"/>
      <c r="H3" s="209"/>
      <c r="I3" s="209"/>
    </row>
    <row r="4" spans="1:31" ht="24.95" customHeight="1" x14ac:dyDescent="0.25">
      <c r="A4" s="209"/>
      <c r="B4" s="209"/>
      <c r="C4" s="209"/>
      <c r="D4" s="209"/>
      <c r="E4" s="209"/>
      <c r="F4" s="209"/>
      <c r="G4" s="209"/>
      <c r="H4" s="209"/>
      <c r="I4" s="209"/>
    </row>
    <row r="5" spans="1:31" x14ac:dyDescent="0.25">
      <c r="A5" s="209"/>
      <c r="B5" s="209"/>
      <c r="C5" s="209"/>
      <c r="D5" s="209"/>
      <c r="E5" s="209"/>
      <c r="F5" s="209"/>
      <c r="G5" s="209"/>
      <c r="H5" s="209"/>
      <c r="I5" s="209"/>
    </row>
    <row r="6" spans="1:31" ht="40.5" customHeight="1" x14ac:dyDescent="0.7">
      <c r="A6" s="210" t="s">
        <v>347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10"/>
      <c r="AB6" s="210"/>
      <c r="AC6" s="210"/>
      <c r="AD6" s="210"/>
      <c r="AE6" s="210"/>
    </row>
    <row r="7" spans="1:31" ht="40.5" customHeight="1" x14ac:dyDescent="0.7">
      <c r="A7" s="210" t="s">
        <v>537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0"/>
      <c r="AA7" s="210"/>
      <c r="AB7" s="210"/>
      <c r="AC7" s="210"/>
      <c r="AD7" s="210"/>
      <c r="AE7" s="210"/>
    </row>
    <row r="8" spans="1:31" ht="14.25" customHeight="1" thickBot="1" x14ac:dyDescent="0.3"/>
    <row r="9" spans="1:31" s="11" customFormat="1" ht="55.5" customHeight="1" x14ac:dyDescent="0.7">
      <c r="A9" s="211">
        <v>2018</v>
      </c>
      <c r="B9" s="212"/>
      <c r="C9" s="212"/>
      <c r="D9" s="212"/>
      <c r="E9" s="212"/>
      <c r="F9" s="212"/>
      <c r="G9" s="212"/>
      <c r="H9" s="212"/>
      <c r="I9" s="213"/>
      <c r="J9" s="13"/>
      <c r="K9" s="211">
        <v>2017</v>
      </c>
      <c r="L9" s="212"/>
      <c r="M9" s="212"/>
      <c r="N9" s="212"/>
      <c r="O9" s="212"/>
      <c r="P9" s="212"/>
      <c r="Q9" s="212"/>
      <c r="R9" s="212"/>
      <c r="S9" s="213"/>
      <c r="T9" s="108"/>
      <c r="U9" s="214" t="s">
        <v>404</v>
      </c>
      <c r="V9" s="215"/>
      <c r="W9" s="215"/>
      <c r="X9" s="215"/>
      <c r="Y9" s="215"/>
      <c r="Z9" s="215"/>
      <c r="AA9" s="215"/>
      <c r="AB9" s="215"/>
      <c r="AC9" s="215"/>
      <c r="AD9" s="215"/>
      <c r="AE9" s="216"/>
    </row>
    <row r="10" spans="1:31" s="11" customFormat="1" ht="30" customHeight="1" x14ac:dyDescent="0.5">
      <c r="A10" s="203" t="s">
        <v>405</v>
      </c>
      <c r="B10" s="204"/>
      <c r="C10" s="204"/>
      <c r="D10" s="204"/>
      <c r="E10" s="204"/>
      <c r="F10" s="204"/>
      <c r="G10" s="204"/>
      <c r="H10" s="204"/>
      <c r="I10" s="205"/>
      <c r="J10" s="13"/>
      <c r="K10" s="203" t="s">
        <v>405</v>
      </c>
      <c r="L10" s="204"/>
      <c r="M10" s="204"/>
      <c r="N10" s="204"/>
      <c r="O10" s="204"/>
      <c r="P10" s="204"/>
      <c r="Q10" s="204"/>
      <c r="R10" s="204"/>
      <c r="S10" s="205"/>
      <c r="T10" s="25"/>
      <c r="U10" s="217"/>
      <c r="V10" s="218"/>
      <c r="W10" s="218"/>
      <c r="X10" s="218"/>
      <c r="Y10" s="218"/>
      <c r="Z10" s="218"/>
      <c r="AA10" s="218"/>
      <c r="AB10" s="218"/>
      <c r="AC10" s="218"/>
      <c r="AD10" s="218"/>
      <c r="AE10" s="219"/>
    </row>
    <row r="11" spans="1:31" s="11" customFormat="1" ht="30" customHeight="1" x14ac:dyDescent="0.5">
      <c r="A11" s="203" t="s">
        <v>346</v>
      </c>
      <c r="B11" s="204"/>
      <c r="C11" s="204"/>
      <c r="D11" s="204"/>
      <c r="E11" s="204"/>
      <c r="F11" s="204"/>
      <c r="G11" s="204"/>
      <c r="H11" s="204"/>
      <c r="I11" s="205"/>
      <c r="J11" s="13"/>
      <c r="K11" s="203" t="s">
        <v>346</v>
      </c>
      <c r="L11" s="204"/>
      <c r="M11" s="204"/>
      <c r="N11" s="204"/>
      <c r="O11" s="204"/>
      <c r="P11" s="204"/>
      <c r="Q11" s="204"/>
      <c r="R11" s="204"/>
      <c r="S11" s="205"/>
      <c r="T11" s="25"/>
      <c r="U11" s="217"/>
      <c r="V11" s="218"/>
      <c r="W11" s="218"/>
      <c r="X11" s="218"/>
      <c r="Y11" s="218"/>
      <c r="Z11" s="218"/>
      <c r="AA11" s="218"/>
      <c r="AB11" s="218"/>
      <c r="AC11" s="218"/>
      <c r="AD11" s="218"/>
      <c r="AE11" s="219"/>
    </row>
    <row r="12" spans="1:31" s="11" customFormat="1" ht="30" customHeight="1" thickBot="1" x14ac:dyDescent="0.55000000000000004">
      <c r="A12" s="206">
        <v>43131</v>
      </c>
      <c r="B12" s="207"/>
      <c r="C12" s="207"/>
      <c r="D12" s="207"/>
      <c r="E12" s="207"/>
      <c r="F12" s="207"/>
      <c r="G12" s="207"/>
      <c r="H12" s="207"/>
      <c r="I12" s="208"/>
      <c r="J12" s="13"/>
      <c r="K12" s="206">
        <v>43100</v>
      </c>
      <c r="L12" s="207"/>
      <c r="M12" s="207"/>
      <c r="N12" s="207"/>
      <c r="O12" s="207"/>
      <c r="P12" s="207"/>
      <c r="Q12" s="207"/>
      <c r="R12" s="207"/>
      <c r="S12" s="208"/>
      <c r="T12" s="25"/>
      <c r="U12" s="220"/>
      <c r="V12" s="221"/>
      <c r="W12" s="221"/>
      <c r="X12" s="221"/>
      <c r="Y12" s="221"/>
      <c r="Z12" s="221"/>
      <c r="AA12" s="221"/>
      <c r="AB12" s="221"/>
      <c r="AC12" s="221"/>
      <c r="AD12" s="221"/>
      <c r="AE12" s="222"/>
    </row>
    <row r="13" spans="1:31" s="19" customFormat="1" ht="24.75" customHeight="1" x14ac:dyDescent="0.5">
      <c r="A13" s="16"/>
      <c r="B13" s="17"/>
      <c r="C13" s="17"/>
      <c r="D13" s="17"/>
      <c r="E13" s="17"/>
      <c r="F13" s="17"/>
      <c r="G13" s="17"/>
      <c r="H13" s="17"/>
      <c r="I13" s="17"/>
      <c r="J13" s="18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8"/>
      <c r="W13" s="20"/>
      <c r="Y13" s="20"/>
      <c r="AA13" s="20"/>
      <c r="AB13" s="20"/>
      <c r="AC13" s="20"/>
      <c r="AD13" s="20"/>
      <c r="AE13" s="20"/>
    </row>
    <row r="14" spans="1:31" s="19" customFormat="1" ht="24.75" customHeight="1" x14ac:dyDescent="0.5">
      <c r="B14" s="18"/>
      <c r="C14" s="18"/>
      <c r="D14" s="18"/>
      <c r="E14" s="18"/>
      <c r="F14" s="18"/>
      <c r="G14" s="18"/>
      <c r="H14" s="18"/>
      <c r="I14" s="18"/>
      <c r="J14" s="17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17"/>
      <c r="W14" s="22"/>
      <c r="X14" s="16"/>
      <c r="Y14" s="22"/>
      <c r="Z14" s="16"/>
      <c r="AA14" s="22"/>
      <c r="AB14" s="22"/>
      <c r="AC14" s="23"/>
      <c r="AD14" s="22"/>
      <c r="AE14" s="23"/>
    </row>
    <row r="15" spans="1:31" s="19" customFormat="1" ht="24.75" customHeight="1" x14ac:dyDescent="0.5">
      <c r="B15" s="18"/>
      <c r="C15" s="18"/>
      <c r="D15" s="18"/>
      <c r="E15" s="18"/>
      <c r="F15" s="18"/>
      <c r="G15" s="18"/>
      <c r="H15" s="18"/>
      <c r="I15" s="18"/>
      <c r="J15" s="17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17"/>
      <c r="W15" s="22"/>
      <c r="X15" s="16"/>
      <c r="Y15" s="22"/>
      <c r="Z15" s="16"/>
      <c r="AA15" s="22"/>
      <c r="AB15" s="22"/>
      <c r="AC15" s="16" t="s">
        <v>340</v>
      </c>
      <c r="AD15" s="22"/>
      <c r="AE15" s="23"/>
    </row>
    <row r="16" spans="1:31" s="19" customFormat="1" ht="24.75" customHeight="1" x14ac:dyDescent="0.5">
      <c r="B16" s="18"/>
      <c r="C16" s="18"/>
      <c r="D16" s="18"/>
      <c r="E16" s="18"/>
      <c r="F16" s="18"/>
      <c r="G16" s="18"/>
      <c r="H16" s="18"/>
      <c r="I16" s="18"/>
      <c r="J16" s="17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7"/>
      <c r="W16" s="16"/>
      <c r="X16" s="16"/>
      <c r="Y16" s="16"/>
      <c r="Z16" s="16"/>
      <c r="AA16" s="16" t="s">
        <v>340</v>
      </c>
      <c r="AB16" s="53"/>
      <c r="AC16" s="23" t="s">
        <v>343</v>
      </c>
      <c r="AD16" s="16"/>
      <c r="AE16" s="16" t="s">
        <v>342</v>
      </c>
    </row>
    <row r="17" spans="1:31" s="19" customFormat="1" ht="24.75" customHeight="1" x14ac:dyDescent="0.5">
      <c r="B17" s="18"/>
      <c r="C17" s="18"/>
      <c r="D17" s="18"/>
      <c r="E17" s="18"/>
      <c r="F17" s="18"/>
      <c r="G17" s="18"/>
      <c r="H17" s="18"/>
      <c r="I17" s="17" t="s">
        <v>207</v>
      </c>
      <c r="J17" s="17"/>
      <c r="K17" s="18"/>
      <c r="L17" s="18"/>
      <c r="M17" s="18"/>
      <c r="N17" s="18"/>
      <c r="O17" s="18"/>
      <c r="P17" s="18"/>
      <c r="Q17" s="18"/>
      <c r="R17" s="18"/>
      <c r="S17" s="17" t="s">
        <v>207</v>
      </c>
      <c r="T17" s="17"/>
      <c r="U17" s="18"/>
      <c r="V17" s="17"/>
      <c r="W17" s="16">
        <v>2018</v>
      </c>
      <c r="X17" s="16"/>
      <c r="Y17" s="16">
        <v>2017</v>
      </c>
      <c r="Z17" s="16"/>
      <c r="AA17" s="16" t="s">
        <v>341</v>
      </c>
      <c r="AB17" s="53"/>
      <c r="AC17" s="16" t="s">
        <v>341</v>
      </c>
      <c r="AD17" s="16"/>
      <c r="AE17" s="16" t="s">
        <v>344</v>
      </c>
    </row>
    <row r="18" spans="1:31" s="19" customFormat="1" ht="24.75" customHeight="1" x14ac:dyDescent="0.5">
      <c r="B18" s="24" t="s">
        <v>212</v>
      </c>
      <c r="C18" s="24" t="s">
        <v>214</v>
      </c>
      <c r="D18" s="24" t="s">
        <v>213</v>
      </c>
      <c r="E18" s="24" t="s">
        <v>215</v>
      </c>
      <c r="F18" s="24" t="s">
        <v>216</v>
      </c>
      <c r="G18" s="24" t="s">
        <v>406</v>
      </c>
      <c r="H18" s="24" t="s">
        <v>418</v>
      </c>
      <c r="I18" s="24">
        <v>2018</v>
      </c>
      <c r="J18" s="25"/>
      <c r="K18" s="18"/>
      <c r="L18" s="24" t="s">
        <v>212</v>
      </c>
      <c r="M18" s="24" t="s">
        <v>214</v>
      </c>
      <c r="N18" s="24" t="s">
        <v>213</v>
      </c>
      <c r="O18" s="24" t="s">
        <v>215</v>
      </c>
      <c r="P18" s="24" t="s">
        <v>216</v>
      </c>
      <c r="Q18" s="24" t="s">
        <v>406</v>
      </c>
      <c r="R18" s="24" t="s">
        <v>418</v>
      </c>
      <c r="S18" s="24">
        <v>2017</v>
      </c>
      <c r="T18" s="25"/>
      <c r="U18" s="18"/>
      <c r="V18" s="25"/>
      <c r="W18" s="52"/>
      <c r="X18" s="25"/>
      <c r="Y18" s="52"/>
      <c r="Z18" s="25"/>
      <c r="AA18" s="52" t="s">
        <v>338</v>
      </c>
      <c r="AB18" s="53"/>
      <c r="AC18" s="52" t="s">
        <v>339</v>
      </c>
      <c r="AD18" s="52"/>
      <c r="AE18" s="52" t="s">
        <v>339</v>
      </c>
    </row>
    <row r="19" spans="1:31" s="19" customFormat="1" ht="30" customHeight="1" x14ac:dyDescent="0.5">
      <c r="A19" s="26" t="s">
        <v>62</v>
      </c>
      <c r="B19" s="18"/>
      <c r="C19" s="18"/>
      <c r="D19" s="18"/>
      <c r="E19" s="18"/>
      <c r="F19" s="18"/>
      <c r="G19" s="18"/>
      <c r="H19" s="18"/>
      <c r="I19" s="18"/>
      <c r="J19" s="18"/>
      <c r="K19" s="27" t="s">
        <v>62</v>
      </c>
      <c r="L19" s="18"/>
      <c r="M19" s="18"/>
      <c r="N19" s="18"/>
      <c r="O19" s="18"/>
      <c r="P19" s="18"/>
      <c r="Q19" s="18"/>
      <c r="R19" s="18"/>
      <c r="S19" s="18"/>
      <c r="T19" s="18"/>
      <c r="U19" s="27" t="s">
        <v>62</v>
      </c>
      <c r="V19" s="18"/>
      <c r="AB19" s="56"/>
      <c r="AC19" s="23"/>
      <c r="AE19" s="23"/>
    </row>
    <row r="20" spans="1:31" s="19" customFormat="1" ht="30" customHeight="1" x14ac:dyDescent="0.5">
      <c r="A20" s="19" t="s">
        <v>409</v>
      </c>
      <c r="B20" s="28">
        <f>'Comp YTD 2018-2017 Dec'!B19</f>
        <v>2678192192.04</v>
      </c>
      <c r="C20" s="28">
        <f>'Comp YTD 2018-2017 Dec'!C19</f>
        <v>30848650.639999997</v>
      </c>
      <c r="D20" s="28">
        <f>'Comp YTD 2018-2017 Dec'!D19</f>
        <v>910323.34</v>
      </c>
      <c r="E20" s="28">
        <f>'Comp YTD 2018-2017 Dec'!E19</f>
        <v>0</v>
      </c>
      <c r="F20" s="28">
        <f>'Comp YTD 2018-2017 Dec'!F19</f>
        <v>505677.55000000005</v>
      </c>
      <c r="G20" s="28">
        <f>'Comp YTD 2018-2017 Dec'!G19</f>
        <v>0</v>
      </c>
      <c r="H20" s="28">
        <f>'Comp YTD 2018-2017 Dec'!H19</f>
        <v>0</v>
      </c>
      <c r="I20" s="28">
        <f>SUM(B20:H20)</f>
        <v>2710456843.5700002</v>
      </c>
      <c r="J20" s="29"/>
      <c r="K20" s="19" t="s">
        <v>409</v>
      </c>
      <c r="L20" s="28">
        <f>'Comp YTD 2018-2017 Dec'!B199</f>
        <v>3213901966.48</v>
      </c>
      <c r="M20" s="28">
        <f>'Comp YTD 2018-2017 Dec'!C199</f>
        <v>45482062.029999994</v>
      </c>
      <c r="N20" s="28">
        <f>'Comp YTD 2018-2017 Dec'!D199</f>
        <v>2390338.6800000002</v>
      </c>
      <c r="O20" s="28">
        <f>'Comp YTD 2018-2017 Dec'!E199</f>
        <v>0</v>
      </c>
      <c r="P20" s="28">
        <f>'Comp YTD 2018-2017 Dec'!F199</f>
        <v>826657.42</v>
      </c>
      <c r="Q20" s="28">
        <f>'Comp YTD 2018-2017 Dec'!G199</f>
        <v>0</v>
      </c>
      <c r="R20" s="28">
        <f>'Comp YTD 2018-2017 Dec'!H199</f>
        <v>0</v>
      </c>
      <c r="S20" s="28">
        <f t="shared" ref="S20:S27" si="0">SUM(L20:R20)</f>
        <v>3262601024.6100001</v>
      </c>
      <c r="T20" s="28"/>
      <c r="U20" s="18" t="s">
        <v>409</v>
      </c>
      <c r="V20" s="29"/>
      <c r="W20" s="31">
        <f>I20</f>
        <v>2710456843.5700002</v>
      </c>
      <c r="X20" s="30"/>
      <c r="Y20" s="31">
        <f t="shared" ref="Y20:Y27" si="1">S20</f>
        <v>3262601024.6100001</v>
      </c>
      <c r="Z20" s="30"/>
      <c r="AA20" s="31">
        <f>I20-S20</f>
        <v>-552144181.03999996</v>
      </c>
      <c r="AB20" s="57"/>
      <c r="AC20" s="30">
        <f>I20/S20</f>
        <v>0.83076564468804415</v>
      </c>
      <c r="AD20" s="31"/>
      <c r="AE20" s="30">
        <f>AC20-1</f>
        <v>-0.16923435531195585</v>
      </c>
    </row>
    <row r="21" spans="1:31" s="19" customFormat="1" ht="30" customHeight="1" x14ac:dyDescent="0.5">
      <c r="A21" s="26" t="s">
        <v>223</v>
      </c>
      <c r="B21" s="32">
        <f t="shared" ref="B21:H21" si="2">SUM(B20:B20)</f>
        <v>2678192192.04</v>
      </c>
      <c r="C21" s="32">
        <f t="shared" si="2"/>
        <v>30848650.639999997</v>
      </c>
      <c r="D21" s="32">
        <f t="shared" si="2"/>
        <v>910323.34</v>
      </c>
      <c r="E21" s="32">
        <f t="shared" si="2"/>
        <v>0</v>
      </c>
      <c r="F21" s="32">
        <f t="shared" si="2"/>
        <v>505677.55000000005</v>
      </c>
      <c r="G21" s="32">
        <f t="shared" si="2"/>
        <v>0</v>
      </c>
      <c r="H21" s="32">
        <f t="shared" si="2"/>
        <v>0</v>
      </c>
      <c r="I21" s="32">
        <f>SUM(B21:H21)</f>
        <v>2710456843.5700002</v>
      </c>
      <c r="J21" s="33"/>
      <c r="K21" s="27" t="s">
        <v>223</v>
      </c>
      <c r="L21" s="32">
        <f>SUM(L20:L20)</f>
        <v>3213901966.48</v>
      </c>
      <c r="M21" s="32">
        <f t="shared" ref="M21:R21" si="3">SUM(M20:M20)</f>
        <v>45482062.029999994</v>
      </c>
      <c r="N21" s="32">
        <f t="shared" si="3"/>
        <v>2390338.6800000002</v>
      </c>
      <c r="O21" s="32">
        <f t="shared" si="3"/>
        <v>0</v>
      </c>
      <c r="P21" s="32">
        <f t="shared" si="3"/>
        <v>826657.42</v>
      </c>
      <c r="Q21" s="32">
        <f>SUM(Q20:Q20)</f>
        <v>0</v>
      </c>
      <c r="R21" s="32">
        <f t="shared" si="3"/>
        <v>0</v>
      </c>
      <c r="S21" s="32">
        <f t="shared" si="0"/>
        <v>3262601024.6100001</v>
      </c>
      <c r="T21" s="54"/>
      <c r="U21" s="27" t="s">
        <v>223</v>
      </c>
      <c r="V21" s="33"/>
      <c r="W21" s="36">
        <f>I21</f>
        <v>2710456843.5700002</v>
      </c>
      <c r="X21" s="35"/>
      <c r="Y21" s="36">
        <f t="shared" si="1"/>
        <v>3262601024.6100001</v>
      </c>
      <c r="Z21" s="35"/>
      <c r="AA21" s="36">
        <f>I21-S21</f>
        <v>-552144181.03999996</v>
      </c>
      <c r="AB21" s="57"/>
      <c r="AC21" s="34">
        <f>I21/S21</f>
        <v>0.83076564468804415</v>
      </c>
      <c r="AD21" s="36"/>
      <c r="AE21" s="34">
        <f t="shared" ref="AE21:AE27" si="4">AC21-1</f>
        <v>-0.16923435531195585</v>
      </c>
    </row>
    <row r="22" spans="1:31" s="19" customFormat="1" ht="30" customHeight="1" x14ac:dyDescent="0.5">
      <c r="B22" s="28"/>
      <c r="C22" s="28"/>
      <c r="D22" s="28"/>
      <c r="E22" s="28"/>
      <c r="F22" s="28"/>
      <c r="G22" s="28"/>
      <c r="H22" s="28"/>
      <c r="I22" s="28">
        <f>SUM(B22:H22)</f>
        <v>0</v>
      </c>
      <c r="J22" s="18"/>
      <c r="K22" s="18"/>
      <c r="L22" s="28"/>
      <c r="M22" s="28"/>
      <c r="N22" s="28"/>
      <c r="O22" s="28"/>
      <c r="P22" s="28"/>
      <c r="Q22" s="28"/>
      <c r="R22" s="28"/>
      <c r="S22" s="28">
        <f t="shared" si="0"/>
        <v>0</v>
      </c>
      <c r="T22" s="28"/>
      <c r="U22" s="18"/>
      <c r="V22" s="18"/>
      <c r="W22" s="31"/>
      <c r="Y22" s="31">
        <f t="shared" si="1"/>
        <v>0</v>
      </c>
      <c r="AA22" s="31"/>
      <c r="AB22" s="57"/>
      <c r="AC22" s="37"/>
      <c r="AD22" s="31"/>
      <c r="AE22" s="37"/>
    </row>
    <row r="23" spans="1:31" s="19" customFormat="1" ht="30" customHeight="1" x14ac:dyDescent="0.5">
      <c r="A23" s="26" t="s">
        <v>208</v>
      </c>
      <c r="B23" s="28"/>
      <c r="C23" s="28"/>
      <c r="D23" s="28"/>
      <c r="E23" s="28"/>
      <c r="F23" s="28"/>
      <c r="G23" s="28"/>
      <c r="H23" s="28"/>
      <c r="I23" s="28">
        <f>SUM(B23:H23)</f>
        <v>0</v>
      </c>
      <c r="J23" s="18"/>
      <c r="K23" s="27" t="s">
        <v>208</v>
      </c>
      <c r="L23" s="28"/>
      <c r="M23" s="28"/>
      <c r="N23" s="28"/>
      <c r="O23" s="28"/>
      <c r="P23" s="28"/>
      <c r="Q23" s="28"/>
      <c r="R23" s="28"/>
      <c r="S23" s="28">
        <f t="shared" si="0"/>
        <v>0</v>
      </c>
      <c r="T23" s="28"/>
      <c r="U23" s="27" t="s">
        <v>208</v>
      </c>
      <c r="V23" s="18"/>
      <c r="W23" s="31"/>
      <c r="Y23" s="31">
        <f t="shared" si="1"/>
        <v>0</v>
      </c>
      <c r="AA23" s="31"/>
      <c r="AB23" s="57"/>
      <c r="AC23" s="37"/>
      <c r="AD23" s="31"/>
      <c r="AE23" s="37"/>
    </row>
    <row r="24" spans="1:31" s="19" customFormat="1" ht="30" customHeight="1" x14ac:dyDescent="0.5">
      <c r="A24" s="19" t="s">
        <v>410</v>
      </c>
      <c r="B24" s="28">
        <f>'Comp YTD 2018-2017 Dec'!B30</f>
        <v>2675236028.5000005</v>
      </c>
      <c r="C24" s="28">
        <f>'Comp YTD 2018-2017 Dec'!C30</f>
        <v>30437032.460000001</v>
      </c>
      <c r="D24" s="28">
        <f>'Comp YTD 2018-2017 Dec'!D30</f>
        <v>105681.95</v>
      </c>
      <c r="E24" s="28">
        <f>'Comp YTD 2018-2017 Dec'!E30</f>
        <v>0</v>
      </c>
      <c r="F24" s="28">
        <f>'Comp YTD 2018-2017 Dec'!F30</f>
        <v>1068.5899999999999</v>
      </c>
      <c r="G24" s="28">
        <f>'Comp YTD 2018-2017 Dec'!G30</f>
        <v>0</v>
      </c>
      <c r="H24" s="28">
        <f>'Comp YTD 2018-2017 Dec'!H30</f>
        <v>0</v>
      </c>
      <c r="I24" s="28">
        <f>'Comp YTD 2018-2017 Dec'!I30</f>
        <v>2705779811.5000005</v>
      </c>
      <c r="J24" s="29"/>
      <c r="K24" s="19" t="s">
        <v>410</v>
      </c>
      <c r="L24" s="28">
        <f>'Comp YTD 2018-2017 Dec'!B210</f>
        <v>3211736180.3699994</v>
      </c>
      <c r="M24" s="28">
        <f>'Comp YTD 2018-2017 Dec'!C210</f>
        <v>44733464.300000004</v>
      </c>
      <c r="N24" s="28">
        <f>'Comp YTD 2018-2017 Dec'!D210</f>
        <v>391100.86</v>
      </c>
      <c r="O24" s="28">
        <f>'Comp YTD 2018-2017 Dec'!E210</f>
        <v>0</v>
      </c>
      <c r="P24" s="28">
        <f>'Comp YTD 2018-2017 Dec'!F210</f>
        <v>1651.32</v>
      </c>
      <c r="Q24" s="28">
        <f>'Comp YTD 2018-2017 Dec'!G210</f>
        <v>0</v>
      </c>
      <c r="R24" s="28">
        <f>'Comp YTD 2018-2017 Dec'!H210</f>
        <v>0</v>
      </c>
      <c r="S24" s="28">
        <f t="shared" si="0"/>
        <v>3256862396.8499999</v>
      </c>
      <c r="T24" s="28"/>
      <c r="U24" s="18" t="s">
        <v>410</v>
      </c>
      <c r="V24" s="29"/>
      <c r="W24" s="31">
        <f>I24</f>
        <v>2705779811.5000005</v>
      </c>
      <c r="X24" s="30"/>
      <c r="Y24" s="31">
        <f t="shared" si="1"/>
        <v>3256862396.8499999</v>
      </c>
      <c r="Z24" s="30"/>
      <c r="AA24" s="31">
        <f>I24-S24</f>
        <v>-551082585.34999943</v>
      </c>
      <c r="AB24" s="57"/>
      <c r="AC24" s="30">
        <f>I24/S24</f>
        <v>0.83079340844028282</v>
      </c>
      <c r="AD24" s="31"/>
      <c r="AE24" s="30">
        <f t="shared" si="4"/>
        <v>-0.16920659155971718</v>
      </c>
    </row>
    <row r="25" spans="1:31" s="19" customFormat="1" ht="30" customHeight="1" x14ac:dyDescent="0.5">
      <c r="A25" s="26" t="s">
        <v>224</v>
      </c>
      <c r="B25" s="32">
        <f t="shared" ref="B25:H25" si="5">SUM(B24:B24)</f>
        <v>2675236028.5000005</v>
      </c>
      <c r="C25" s="32">
        <f t="shared" si="5"/>
        <v>30437032.460000001</v>
      </c>
      <c r="D25" s="32">
        <f t="shared" si="5"/>
        <v>105681.95</v>
      </c>
      <c r="E25" s="32">
        <f t="shared" si="5"/>
        <v>0</v>
      </c>
      <c r="F25" s="32">
        <f t="shared" si="5"/>
        <v>1068.5899999999999</v>
      </c>
      <c r="G25" s="32">
        <f t="shared" si="5"/>
        <v>0</v>
      </c>
      <c r="H25" s="32">
        <f t="shared" si="5"/>
        <v>0</v>
      </c>
      <c r="I25" s="32">
        <f t="shared" ref="I25:I31" si="6">SUM(B25:H25)</f>
        <v>2705779811.5000005</v>
      </c>
      <c r="J25" s="33"/>
      <c r="K25" s="27" t="s">
        <v>224</v>
      </c>
      <c r="L25" s="32">
        <f t="shared" ref="L25:R25" si="7">SUM(L24:L24)</f>
        <v>3211736180.3699994</v>
      </c>
      <c r="M25" s="32">
        <f t="shared" si="7"/>
        <v>44733464.300000004</v>
      </c>
      <c r="N25" s="32">
        <f t="shared" si="7"/>
        <v>391100.86</v>
      </c>
      <c r="O25" s="32">
        <f t="shared" si="7"/>
        <v>0</v>
      </c>
      <c r="P25" s="32">
        <f t="shared" si="7"/>
        <v>1651.32</v>
      </c>
      <c r="Q25" s="32">
        <f t="shared" si="7"/>
        <v>0</v>
      </c>
      <c r="R25" s="32">
        <f t="shared" si="7"/>
        <v>0</v>
      </c>
      <c r="S25" s="32">
        <f t="shared" si="0"/>
        <v>3256862396.8499999</v>
      </c>
      <c r="T25" s="54"/>
      <c r="U25" s="27" t="s">
        <v>224</v>
      </c>
      <c r="V25" s="33"/>
      <c r="W25" s="36">
        <f>I25</f>
        <v>2705779811.5000005</v>
      </c>
      <c r="X25" s="35"/>
      <c r="Y25" s="36">
        <f t="shared" si="1"/>
        <v>3256862396.8499999</v>
      </c>
      <c r="Z25" s="35"/>
      <c r="AA25" s="36">
        <f>SUM(AA24:AA24)</f>
        <v>-551082585.34999943</v>
      </c>
      <c r="AB25" s="57"/>
      <c r="AC25" s="34">
        <f>I25/S25</f>
        <v>0.83079340844028282</v>
      </c>
      <c r="AD25" s="36"/>
      <c r="AE25" s="34">
        <f t="shared" si="4"/>
        <v>-0.16920659155971718</v>
      </c>
    </row>
    <row r="26" spans="1:31" s="19" customFormat="1" ht="30" customHeight="1" x14ac:dyDescent="0.5">
      <c r="B26" s="28"/>
      <c r="C26" s="28"/>
      <c r="D26" s="28"/>
      <c r="E26" s="28"/>
      <c r="F26" s="28"/>
      <c r="G26" s="28"/>
      <c r="H26" s="28"/>
      <c r="I26" s="28">
        <f t="shared" si="6"/>
        <v>0</v>
      </c>
      <c r="J26" s="18"/>
      <c r="K26" s="18"/>
      <c r="L26" s="28"/>
      <c r="M26" s="28"/>
      <c r="N26" s="28"/>
      <c r="O26" s="28"/>
      <c r="P26" s="28"/>
      <c r="Q26" s="28"/>
      <c r="R26" s="28"/>
      <c r="S26" s="28">
        <f t="shared" si="0"/>
        <v>0</v>
      </c>
      <c r="T26" s="28"/>
      <c r="U26" s="18"/>
      <c r="V26" s="18"/>
      <c r="W26" s="31">
        <f>I26</f>
        <v>0</v>
      </c>
      <c r="Y26" s="31">
        <f t="shared" si="1"/>
        <v>0</v>
      </c>
      <c r="AA26" s="31"/>
      <c r="AB26" s="57"/>
      <c r="AC26" s="30"/>
      <c r="AD26" s="31"/>
      <c r="AE26" s="30"/>
    </row>
    <row r="27" spans="1:31" s="19" customFormat="1" ht="30" customHeight="1" thickBot="1" x14ac:dyDescent="0.55000000000000004">
      <c r="A27" s="26" t="s">
        <v>211</v>
      </c>
      <c r="B27" s="38">
        <f t="shared" ref="B27:H27" si="8">B21-B25</f>
        <v>2956163.539999485</v>
      </c>
      <c r="C27" s="38">
        <f t="shared" si="8"/>
        <v>411618.17999999598</v>
      </c>
      <c r="D27" s="38">
        <f t="shared" si="8"/>
        <v>804641.39</v>
      </c>
      <c r="E27" s="38">
        <f t="shared" si="8"/>
        <v>0</v>
      </c>
      <c r="F27" s="38">
        <f t="shared" si="8"/>
        <v>504608.96</v>
      </c>
      <c r="G27" s="38">
        <f>G21-G25</f>
        <v>0</v>
      </c>
      <c r="H27" s="38">
        <f t="shared" si="8"/>
        <v>0</v>
      </c>
      <c r="I27" s="38">
        <f t="shared" si="6"/>
        <v>4677032.0699994816</v>
      </c>
      <c r="J27" s="18"/>
      <c r="K27" s="27" t="s">
        <v>211</v>
      </c>
      <c r="L27" s="38">
        <f t="shared" ref="L27:R27" si="9">L21-L25</f>
        <v>2165786.1100006104</v>
      </c>
      <c r="M27" s="38">
        <f t="shared" si="9"/>
        <v>748597.72999998927</v>
      </c>
      <c r="N27" s="38">
        <f t="shared" si="9"/>
        <v>1999237.8200000003</v>
      </c>
      <c r="O27" s="38">
        <f t="shared" si="9"/>
        <v>0</v>
      </c>
      <c r="P27" s="38">
        <f t="shared" si="9"/>
        <v>825006.10000000009</v>
      </c>
      <c r="Q27" s="38">
        <f>Q21-Q25</f>
        <v>0</v>
      </c>
      <c r="R27" s="38">
        <f t="shared" si="9"/>
        <v>0</v>
      </c>
      <c r="S27" s="38">
        <f t="shared" si="0"/>
        <v>5738627.7600005995</v>
      </c>
      <c r="T27" s="54"/>
      <c r="U27" s="27" t="s">
        <v>211</v>
      </c>
      <c r="V27" s="18"/>
      <c r="W27" s="39">
        <f>I27</f>
        <v>4677032.0699994816</v>
      </c>
      <c r="Y27" s="39">
        <f t="shared" si="1"/>
        <v>5738627.7600005995</v>
      </c>
      <c r="AA27" s="39">
        <f>I27-S27</f>
        <v>-1061595.690001118</v>
      </c>
      <c r="AB27" s="57"/>
      <c r="AC27" s="40">
        <f>I27/S27</f>
        <v>0.8150087905333997</v>
      </c>
      <c r="AD27" s="39"/>
      <c r="AE27" s="40">
        <f t="shared" si="4"/>
        <v>-0.1849912094666003</v>
      </c>
    </row>
    <row r="28" spans="1:31" s="19" customFormat="1" ht="30" customHeight="1" x14ac:dyDescent="0.5">
      <c r="B28" s="28"/>
      <c r="C28" s="28"/>
      <c r="D28" s="28"/>
      <c r="E28" s="28"/>
      <c r="F28" s="28"/>
      <c r="G28" s="28"/>
      <c r="H28" s="28"/>
      <c r="I28" s="28">
        <f t="shared" si="6"/>
        <v>0</v>
      </c>
      <c r="J28" s="18"/>
      <c r="K28" s="18"/>
      <c r="L28" s="28"/>
      <c r="M28" s="28"/>
      <c r="N28" s="28"/>
      <c r="O28" s="28"/>
      <c r="P28" s="28"/>
      <c r="Q28" s="28"/>
      <c r="R28" s="28"/>
      <c r="S28" s="28"/>
      <c r="T28" s="28"/>
      <c r="U28" s="18"/>
      <c r="V28" s="18"/>
      <c r="W28" s="31"/>
      <c r="Y28" s="31"/>
      <c r="AA28" s="31"/>
      <c r="AB28" s="57"/>
      <c r="AC28" s="37"/>
      <c r="AD28" s="31"/>
      <c r="AE28" s="37"/>
    </row>
    <row r="29" spans="1:31" s="19" customFormat="1" ht="30" customHeight="1" x14ac:dyDescent="0.5">
      <c r="A29" s="26" t="s">
        <v>209</v>
      </c>
      <c r="B29" s="28"/>
      <c r="C29" s="28"/>
      <c r="D29" s="28"/>
      <c r="E29" s="28"/>
      <c r="F29" s="28"/>
      <c r="G29" s="28"/>
      <c r="H29" s="28"/>
      <c r="I29" s="28">
        <f t="shared" si="6"/>
        <v>0</v>
      </c>
      <c r="J29" s="18"/>
      <c r="K29" s="27" t="s">
        <v>209</v>
      </c>
      <c r="L29" s="28"/>
      <c r="M29" s="28"/>
      <c r="N29" s="28"/>
      <c r="O29" s="28"/>
      <c r="P29" s="28"/>
      <c r="Q29" s="28"/>
      <c r="R29" s="28"/>
      <c r="S29" s="28"/>
      <c r="T29" s="28"/>
      <c r="U29" s="27" t="s">
        <v>209</v>
      </c>
      <c r="V29" s="18"/>
      <c r="W29" s="31"/>
      <c r="Y29" s="31"/>
      <c r="AA29" s="31"/>
      <c r="AB29" s="57"/>
      <c r="AC29" s="37"/>
      <c r="AD29" s="31"/>
      <c r="AE29" s="37"/>
    </row>
    <row r="30" spans="1:31" s="19" customFormat="1" ht="30" customHeight="1" x14ac:dyDescent="0.5">
      <c r="A30" s="26" t="s">
        <v>225</v>
      </c>
      <c r="B30" s="28">
        <f>'Comp YTD 2018-2017 Dec'!B47</f>
        <v>1250155.2400000002</v>
      </c>
      <c r="C30" s="28">
        <f>'Comp YTD 2018-2017 Dec'!C47</f>
        <v>311697.20000000007</v>
      </c>
      <c r="D30" s="28">
        <f>'Comp YTD 2018-2017 Dec'!D47</f>
        <v>396553.38999999996</v>
      </c>
      <c r="E30" s="28">
        <f>'Comp YTD 2018-2017 Dec'!E47</f>
        <v>0</v>
      </c>
      <c r="F30" s="28">
        <f>'Comp YTD 2018-2017 Dec'!F47</f>
        <v>198986.71999999997</v>
      </c>
      <c r="G30" s="28">
        <f>'Comp YTD 2018-2017 Dec'!G47</f>
        <v>0</v>
      </c>
      <c r="H30" s="28">
        <f>'Comp YTD 2018-2017 Dec'!H47</f>
        <v>0</v>
      </c>
      <c r="I30" s="28">
        <f t="shared" si="6"/>
        <v>2157392.5500000003</v>
      </c>
      <c r="J30" s="18"/>
      <c r="K30" s="27" t="s">
        <v>225</v>
      </c>
      <c r="L30" s="28">
        <f>'Comp YTD 2018-2017 Dec'!B227</f>
        <v>4854293.9799999995</v>
      </c>
      <c r="M30" s="28">
        <f>'Comp YTD 2018-2017 Dec'!C227</f>
        <v>0</v>
      </c>
      <c r="N30" s="28">
        <f>'Comp YTD 2018-2017 Dec'!D227</f>
        <v>206396.49999999997</v>
      </c>
      <c r="O30" s="28">
        <f>'Comp YTD 2018-2017 Dec'!E227</f>
        <v>0</v>
      </c>
      <c r="P30" s="28">
        <f>'Comp YTD 2018-2017 Dec'!F227</f>
        <v>407136.8</v>
      </c>
      <c r="Q30" s="28">
        <f>'Comp YTD 2018-2017 Dec'!G227</f>
        <v>0</v>
      </c>
      <c r="R30" s="28">
        <f>'Comp YTD 2018-2017 Dec'!H227</f>
        <v>0</v>
      </c>
      <c r="S30" s="28">
        <f>SUM(L30:R30)</f>
        <v>5467827.2799999993</v>
      </c>
      <c r="T30" s="28"/>
      <c r="U30" s="27" t="s">
        <v>225</v>
      </c>
      <c r="V30" s="18"/>
      <c r="W30" s="31">
        <f>I30</f>
        <v>2157392.5500000003</v>
      </c>
      <c r="Y30" s="31">
        <f t="shared" ref="Y30:Y37" si="10">S30</f>
        <v>5467827.2799999993</v>
      </c>
      <c r="AA30" s="31">
        <f>I30-S30</f>
        <v>-3310434.7299999991</v>
      </c>
      <c r="AB30" s="57"/>
      <c r="AC30" s="37">
        <f>I30/S30</f>
        <v>0.39456121042652986</v>
      </c>
      <c r="AD30" s="31"/>
      <c r="AE30" s="37">
        <f>AC30-1</f>
        <v>-0.60543878957347008</v>
      </c>
    </row>
    <row r="31" spans="1:31" s="19" customFormat="1" ht="30" customHeight="1" x14ac:dyDescent="0.5">
      <c r="A31" s="26" t="s">
        <v>486</v>
      </c>
      <c r="B31" s="28">
        <f>'Comp YTD 2018-2017 Dec'!B72</f>
        <v>1038209.2799999999</v>
      </c>
      <c r="C31" s="28">
        <f>'Comp YTD 2018-2017 Dec'!C72</f>
        <v>44385.990000000005</v>
      </c>
      <c r="D31" s="28">
        <f>'Comp YTD 2018-2017 Dec'!D72</f>
        <v>464820.0799999999</v>
      </c>
      <c r="E31" s="28">
        <f>'Comp YTD 2018-2017 Dec'!E72</f>
        <v>109</v>
      </c>
      <c r="F31" s="28">
        <f>'Comp YTD 2018-2017 Dec'!F72</f>
        <v>156556.97000000003</v>
      </c>
      <c r="G31" s="28">
        <f>'Comp YTD 2018-2017 Dec'!G72</f>
        <v>46776.350000000006</v>
      </c>
      <c r="H31" s="28">
        <f>'Comp YTD 2018-2017 Dec'!H72</f>
        <v>74014.559999999998</v>
      </c>
      <c r="I31" s="28">
        <f t="shared" si="6"/>
        <v>1824872.23</v>
      </c>
      <c r="J31" s="18"/>
      <c r="K31" s="27" t="s">
        <v>486</v>
      </c>
      <c r="L31" s="28">
        <f>'Comp YTD 2018-2017 Dec'!B257</f>
        <v>1685256.53</v>
      </c>
      <c r="M31" s="28">
        <f>'Comp YTD 2018-2017 Dec'!C257</f>
        <v>17231.099999999999</v>
      </c>
      <c r="N31" s="28">
        <f>'Comp YTD 2018-2017 Dec'!D257</f>
        <v>869181.06000000017</v>
      </c>
      <c r="O31" s="28">
        <f>'Comp YTD 2018-2017 Dec'!E257</f>
        <v>0</v>
      </c>
      <c r="P31" s="28">
        <f>'Comp YTD 2018-2017 Dec'!F257</f>
        <v>344714.62000000005</v>
      </c>
      <c r="Q31" s="28">
        <f>'Comp YTD 2018-2017 Dec'!G257</f>
        <v>111806.15000000001</v>
      </c>
      <c r="R31" s="28">
        <f>'Comp YTD 2018-2017 Dec'!H257</f>
        <v>136756</v>
      </c>
      <c r="S31" s="28">
        <f>SUM(L31:R31)</f>
        <v>3164945.4600000004</v>
      </c>
      <c r="T31" s="28"/>
      <c r="U31" s="27" t="s">
        <v>486</v>
      </c>
      <c r="V31" s="18"/>
      <c r="W31" s="31">
        <f>I31</f>
        <v>1824872.23</v>
      </c>
      <c r="Y31" s="31">
        <f t="shared" si="10"/>
        <v>3164945.4600000004</v>
      </c>
      <c r="AA31" s="31">
        <f>I31-S31</f>
        <v>-1340073.2300000004</v>
      </c>
      <c r="AB31" s="57"/>
      <c r="AC31" s="37">
        <f>I31/S31</f>
        <v>0.57658883954354134</v>
      </c>
      <c r="AD31" s="31"/>
      <c r="AE31" s="37">
        <f>AC31-1</f>
        <v>-0.42341116045645866</v>
      </c>
    </row>
    <row r="32" spans="1:31" s="19" customFormat="1" ht="30" customHeight="1" x14ac:dyDescent="0.5">
      <c r="A32" s="26" t="s">
        <v>250</v>
      </c>
      <c r="B32" s="28">
        <f>'Comp YTD 2018-2017 Dec'!B101</f>
        <v>315077.45000000007</v>
      </c>
      <c r="C32" s="28">
        <f>'Comp YTD 2018-2017 Dec'!C101</f>
        <v>46989.14</v>
      </c>
      <c r="D32" s="28">
        <f>'Comp YTD 2018-2017 Dec'!D101</f>
        <v>75602.760000000009</v>
      </c>
      <c r="E32" s="28">
        <f>'Comp YTD 2018-2017 Dec'!E101</f>
        <v>2341.81</v>
      </c>
      <c r="F32" s="28">
        <f>'Comp YTD 2018-2017 Dec'!F101</f>
        <v>30412.489999999998</v>
      </c>
      <c r="G32" s="28">
        <f>'Comp YTD 2018-2017 Dec'!G101</f>
        <v>1325</v>
      </c>
      <c r="H32" s="28">
        <f>'Comp YTD 2018-2017 Dec'!H101</f>
        <v>402.15</v>
      </c>
      <c r="I32" s="28">
        <f>'Comp YTD 2018-2017 Dec'!I101</f>
        <v>472150.8000000001</v>
      </c>
      <c r="J32" s="18"/>
      <c r="K32" s="27" t="s">
        <v>250</v>
      </c>
      <c r="L32" s="28">
        <f>'Comp YTD 2018-2017 Dec'!B280</f>
        <v>773146.87</v>
      </c>
      <c r="M32" s="28">
        <f>'Comp YTD 2018-2017 Dec'!C280</f>
        <v>83215.520000000004</v>
      </c>
      <c r="N32" s="28">
        <f>'Comp YTD 2018-2017 Dec'!D280</f>
        <v>106488.09000000001</v>
      </c>
      <c r="O32" s="28">
        <f>'Comp YTD 2018-2017 Dec'!E280</f>
        <v>7892.37</v>
      </c>
      <c r="P32" s="28">
        <f>'Comp YTD 2018-2017 Dec'!F280</f>
        <v>64606.78</v>
      </c>
      <c r="Q32" s="28">
        <f>'Comp YTD 2018-2017 Dec'!G280</f>
        <v>11156.87</v>
      </c>
      <c r="R32" s="28">
        <f>'Comp YTD 2018-2017 Dec'!H280</f>
        <v>2757.27</v>
      </c>
      <c r="S32" s="28">
        <f>SUM(L32:R32)</f>
        <v>1049263.77</v>
      </c>
      <c r="T32" s="28"/>
      <c r="U32" s="27" t="s">
        <v>250</v>
      </c>
      <c r="V32" s="18"/>
      <c r="W32" s="31">
        <f>I32</f>
        <v>472150.8000000001</v>
      </c>
      <c r="Y32" s="31">
        <f t="shared" si="10"/>
        <v>1049263.77</v>
      </c>
      <c r="AA32" s="31">
        <f>I32-S32</f>
        <v>-577112.97</v>
      </c>
      <c r="AB32" s="57"/>
      <c r="AC32" s="37">
        <f>I32/S32</f>
        <v>0.44998294375493408</v>
      </c>
      <c r="AD32" s="31"/>
      <c r="AE32" s="37">
        <f>AC32-1</f>
        <v>-0.55001705624506592</v>
      </c>
    </row>
    <row r="33" spans="1:32" s="19" customFormat="1" ht="30" customHeight="1" thickBot="1" x14ac:dyDescent="0.55000000000000004">
      <c r="A33" s="26" t="s">
        <v>264</v>
      </c>
      <c r="B33" s="38">
        <f>SUM(B30:B32)</f>
        <v>2603441.9700000002</v>
      </c>
      <c r="C33" s="38">
        <f>SUM(C30:C32)</f>
        <v>403072.33000000007</v>
      </c>
      <c r="D33" s="38">
        <f t="shared" ref="D33:I33" si="11">SUM(D30:D32)</f>
        <v>936976.22999999986</v>
      </c>
      <c r="E33" s="38">
        <f t="shared" si="11"/>
        <v>2450.81</v>
      </c>
      <c r="F33" s="38">
        <f t="shared" si="11"/>
        <v>385956.18</v>
      </c>
      <c r="G33" s="38">
        <f>SUM(G30:G32)</f>
        <v>48101.350000000006</v>
      </c>
      <c r="H33" s="38">
        <f t="shared" si="11"/>
        <v>74416.709999999992</v>
      </c>
      <c r="I33" s="38">
        <f t="shared" si="11"/>
        <v>4454415.58</v>
      </c>
      <c r="J33" s="18"/>
      <c r="K33" s="27" t="s">
        <v>264</v>
      </c>
      <c r="L33" s="38">
        <f>SUM(L30:L32)</f>
        <v>7312697.3799999999</v>
      </c>
      <c r="M33" s="38">
        <f t="shared" ref="M33:R33" si="12">SUM(M30:M32)</f>
        <v>100446.62</v>
      </c>
      <c r="N33" s="38">
        <f t="shared" si="12"/>
        <v>1182065.6500000001</v>
      </c>
      <c r="O33" s="38">
        <f t="shared" si="12"/>
        <v>7892.37</v>
      </c>
      <c r="P33" s="38">
        <f t="shared" si="12"/>
        <v>816458.20000000007</v>
      </c>
      <c r="Q33" s="38">
        <f>SUM(Q30:Q32)</f>
        <v>122963.02</v>
      </c>
      <c r="R33" s="38">
        <f t="shared" si="12"/>
        <v>139513.26999999999</v>
      </c>
      <c r="S33" s="38">
        <f>SUM(S30:S32)</f>
        <v>9682036.5099999998</v>
      </c>
      <c r="T33" s="54"/>
      <c r="U33" s="27" t="s">
        <v>264</v>
      </c>
      <c r="V33" s="18"/>
      <c r="W33" s="39">
        <f>I33</f>
        <v>4454415.58</v>
      </c>
      <c r="Y33" s="39">
        <f t="shared" si="10"/>
        <v>9682036.5099999998</v>
      </c>
      <c r="AA33" s="39">
        <f>I33-S33</f>
        <v>-5227620.93</v>
      </c>
      <c r="AB33" s="57"/>
      <c r="AC33" s="41">
        <f>I33/S33</f>
        <v>0.46007010770918899</v>
      </c>
      <c r="AD33" s="39"/>
      <c r="AE33" s="41">
        <f>AC33-1</f>
        <v>-0.53992989229081101</v>
      </c>
    </row>
    <row r="34" spans="1:32" s="19" customFormat="1" ht="30" customHeight="1" x14ac:dyDescent="0.5">
      <c r="B34" s="28"/>
      <c r="C34" s="28"/>
      <c r="D34" s="28"/>
      <c r="E34" s="28"/>
      <c r="F34" s="28"/>
      <c r="G34" s="28"/>
      <c r="H34" s="28"/>
      <c r="I34" s="28"/>
      <c r="J34" s="18"/>
      <c r="K34" s="18"/>
      <c r="L34" s="28"/>
      <c r="M34" s="28"/>
      <c r="N34" s="28"/>
      <c r="O34" s="28"/>
      <c r="P34" s="28"/>
      <c r="Q34" s="28"/>
      <c r="R34" s="28"/>
      <c r="S34" s="28"/>
      <c r="T34" s="28"/>
      <c r="U34" s="18"/>
      <c r="V34" s="18"/>
      <c r="W34" s="22"/>
      <c r="Y34" s="22">
        <f t="shared" si="10"/>
        <v>0</v>
      </c>
      <c r="AA34" s="22"/>
      <c r="AB34" s="58"/>
      <c r="AC34" s="37"/>
      <c r="AD34" s="22"/>
      <c r="AE34" s="37"/>
    </row>
    <row r="35" spans="1:32" s="19" customFormat="1" ht="30" customHeight="1" x14ac:dyDescent="0.5">
      <c r="A35" s="26" t="s">
        <v>462</v>
      </c>
      <c r="B35" s="28">
        <f>'Comp YTD 2018-2017 Dec'!B120</f>
        <v>211508.49000000002</v>
      </c>
      <c r="C35" s="28">
        <f>'Comp YTD 2018-2017 Dec'!C120</f>
        <v>-25807.119999999988</v>
      </c>
      <c r="D35" s="28">
        <f>'Comp YTD 2018-2017 Dec'!D120</f>
        <v>75291.05</v>
      </c>
      <c r="E35" s="28">
        <f>'Comp YTD 2018-2017 Dec'!E120</f>
        <v>12877.97</v>
      </c>
      <c r="F35" s="28">
        <f>'Comp YTD 2018-2017 Dec'!F120</f>
        <v>-17738.39</v>
      </c>
      <c r="G35" s="28">
        <f>'Comp YTD 2018-2017 Dec'!G120</f>
        <v>127474.28000000001</v>
      </c>
      <c r="H35" s="28">
        <f>'Comp YTD 2018-2017 Dec'!H120</f>
        <v>0</v>
      </c>
      <c r="I35" s="28">
        <f>SUM(B35:H35)</f>
        <v>383606.28</v>
      </c>
      <c r="J35" s="18"/>
      <c r="K35" s="26" t="s">
        <v>462</v>
      </c>
      <c r="L35" s="28">
        <f>'Comp YTD 2018-2017 Dec'!B304</f>
        <v>611305.22</v>
      </c>
      <c r="M35" s="28">
        <f>'Comp YTD 2018-2017 Dec'!C304</f>
        <v>-424552.5</v>
      </c>
      <c r="N35" s="28">
        <f>'Comp YTD 2018-2017 Dec'!D304</f>
        <v>168406.78</v>
      </c>
      <c r="O35" s="28">
        <f>'Comp YTD 2018-2017 Dec'!E304</f>
        <v>76646.33</v>
      </c>
      <c r="P35" s="28">
        <f>'Comp YTD 2018-2017 Dec'!F304</f>
        <v>-54732.12000000001</v>
      </c>
      <c r="Q35" s="28">
        <f>'Comp YTD 2018-2017 Dec'!G304</f>
        <v>225936.52</v>
      </c>
      <c r="R35" s="28">
        <f>'Comp YTD 2018-2017 Dec'!H304</f>
        <v>100000</v>
      </c>
      <c r="S35" s="28">
        <f>SUM(L35:R35)</f>
        <v>703010.23</v>
      </c>
      <c r="T35" s="28"/>
      <c r="U35" s="27" t="s">
        <v>462</v>
      </c>
      <c r="V35" s="18"/>
      <c r="W35" s="22">
        <f>I35</f>
        <v>383606.28</v>
      </c>
      <c r="Y35" s="22">
        <f t="shared" si="10"/>
        <v>703010.23</v>
      </c>
      <c r="AA35" s="22">
        <f>I35-S35</f>
        <v>-319403.94999999995</v>
      </c>
      <c r="AB35" s="58"/>
      <c r="AC35" s="37">
        <f>I35/S35</f>
        <v>0.54566244363186589</v>
      </c>
      <c r="AD35" s="23"/>
      <c r="AE35" s="37">
        <f>AC35-1</f>
        <v>-0.45433755636813411</v>
      </c>
      <c r="AF35" s="23"/>
    </row>
    <row r="36" spans="1:32" s="19" customFormat="1" ht="30" customHeight="1" x14ac:dyDescent="0.5">
      <c r="A36" s="26"/>
      <c r="B36" s="28"/>
      <c r="C36" s="28"/>
      <c r="D36" s="28"/>
      <c r="E36" s="28"/>
      <c r="F36" s="28"/>
      <c r="G36" s="28"/>
      <c r="H36" s="28"/>
      <c r="I36" s="28">
        <f>SUM(B36:H36)</f>
        <v>0</v>
      </c>
      <c r="J36" s="29"/>
      <c r="K36" s="27"/>
      <c r="L36" s="28"/>
      <c r="M36" s="28"/>
      <c r="N36" s="28"/>
      <c r="O36" s="28"/>
      <c r="P36" s="28"/>
      <c r="Q36" s="28"/>
      <c r="R36" s="28"/>
      <c r="S36" s="28">
        <f>SUM(L36:R36)</f>
        <v>0</v>
      </c>
      <c r="T36" s="28"/>
      <c r="U36" s="27"/>
      <c r="V36" s="29"/>
      <c r="W36" s="31"/>
      <c r="X36" s="30"/>
      <c r="Y36" s="31">
        <f t="shared" si="10"/>
        <v>0</v>
      </c>
      <c r="Z36" s="30"/>
      <c r="AA36" s="31"/>
      <c r="AB36" s="57"/>
      <c r="AC36" s="23"/>
      <c r="AD36" s="23"/>
      <c r="AE36" s="23"/>
      <c r="AF36" s="23"/>
    </row>
    <row r="37" spans="1:32" s="19" customFormat="1" ht="30" customHeight="1" thickBot="1" x14ac:dyDescent="0.55000000000000004">
      <c r="A37" s="26" t="s">
        <v>266</v>
      </c>
      <c r="B37" s="42">
        <f t="shared" ref="B37:I37" si="13">B27-B33+B35</f>
        <v>564230.0599994848</v>
      </c>
      <c r="C37" s="42">
        <f t="shared" si="13"/>
        <v>-17261.270000004086</v>
      </c>
      <c r="D37" s="42">
        <f t="shared" si="13"/>
        <v>-57043.789999999848</v>
      </c>
      <c r="E37" s="42">
        <f t="shared" si="13"/>
        <v>10427.16</v>
      </c>
      <c r="F37" s="42">
        <f t="shared" si="13"/>
        <v>100914.39000000003</v>
      </c>
      <c r="G37" s="42">
        <f>G27-G33+G35</f>
        <v>79372.930000000008</v>
      </c>
      <c r="H37" s="42">
        <f t="shared" si="13"/>
        <v>-74416.709999999992</v>
      </c>
      <c r="I37" s="42">
        <f t="shared" si="13"/>
        <v>606222.7699994815</v>
      </c>
      <c r="J37" s="18"/>
      <c r="K37" s="27" t="s">
        <v>266</v>
      </c>
      <c r="L37" s="42">
        <f t="shared" ref="L37:R37" si="14">L27-L33+L35</f>
        <v>-4535606.0499993898</v>
      </c>
      <c r="M37" s="42">
        <f t="shared" si="14"/>
        <v>223598.60999998928</v>
      </c>
      <c r="N37" s="42">
        <f t="shared" si="14"/>
        <v>985578.95000000019</v>
      </c>
      <c r="O37" s="42">
        <f t="shared" si="14"/>
        <v>68753.960000000006</v>
      </c>
      <c r="P37" s="42">
        <f t="shared" si="14"/>
        <v>-46184.219999999987</v>
      </c>
      <c r="Q37" s="42">
        <f>Q27-Q33+Q35</f>
        <v>102973.49999999999</v>
      </c>
      <c r="R37" s="42">
        <f t="shared" si="14"/>
        <v>-39513.26999999999</v>
      </c>
      <c r="S37" s="42">
        <f>SUM(L37:R37)</f>
        <v>-3240398.5199994007</v>
      </c>
      <c r="T37" s="55"/>
      <c r="U37" s="27" t="s">
        <v>266</v>
      </c>
      <c r="V37" s="18"/>
      <c r="W37" s="43">
        <f>W27-W33+W35</f>
        <v>606222.7699994815</v>
      </c>
      <c r="Y37" s="43">
        <f t="shared" si="10"/>
        <v>-3240398.5199994007</v>
      </c>
      <c r="AA37" s="43">
        <f>I37-S37</f>
        <v>3846621.2899988825</v>
      </c>
      <c r="AB37" s="59"/>
      <c r="AC37" s="40">
        <f>I37/S37</f>
        <v>-0.18708278202756173</v>
      </c>
      <c r="AD37" s="39"/>
      <c r="AE37" s="40">
        <f>AC37-1</f>
        <v>-1.1870827820275618</v>
      </c>
      <c r="AF37" s="23"/>
    </row>
    <row r="38" spans="1:32" ht="30" customHeight="1" thickTop="1" x14ac:dyDescent="0.25">
      <c r="B38" s="15"/>
      <c r="C38" s="15"/>
      <c r="D38" s="15"/>
      <c r="E38" s="15"/>
      <c r="F38" s="15"/>
      <c r="G38" s="15"/>
      <c r="H38" s="15"/>
      <c r="I38" s="15"/>
      <c r="AB38" s="60"/>
      <c r="AD38" s="6"/>
      <c r="AF38" s="6"/>
    </row>
    <row r="39" spans="1:32" ht="30" customHeight="1" x14ac:dyDescent="0.25">
      <c r="L39" s="15"/>
      <c r="AB39" s="60"/>
      <c r="AD39" s="6"/>
      <c r="AF39" s="6"/>
    </row>
    <row r="40" spans="1:32" s="19" customFormat="1" ht="30" customHeight="1" x14ac:dyDescent="0.5">
      <c r="A40" s="19" t="s">
        <v>331</v>
      </c>
      <c r="B40" s="28">
        <f>B37-'Comp YTD 2018-2017 Dec'!B173</f>
        <v>0</v>
      </c>
      <c r="C40" s="28">
        <f>C37-'Comp YTD 2018-2017 Dec'!C173</f>
        <v>0</v>
      </c>
      <c r="D40" s="28">
        <f>D37-'Comp YTD 2018-2017 Dec'!D173</f>
        <v>0</v>
      </c>
      <c r="E40" s="28">
        <f>E37-Lending!N21</f>
        <v>0</v>
      </c>
      <c r="F40" s="28">
        <f>F37-'Comp YTD 2018-2017 Dec'!F173</f>
        <v>0</v>
      </c>
      <c r="G40" s="28">
        <f>G37-'Comp YTD 2018-2017 Dec'!G173</f>
        <v>0</v>
      </c>
      <c r="H40" s="28">
        <f>H37-'722 Bedford St'!N29</f>
        <v>0</v>
      </c>
      <c r="I40" s="28">
        <f>SUM(B40:H40)</f>
        <v>0</v>
      </c>
      <c r="J40" s="29"/>
      <c r="K40" s="18"/>
      <c r="L40" s="28">
        <f>'Comp YTD 2018-2017 Dec'!B306</f>
        <v>-4535606.0499993898</v>
      </c>
      <c r="M40" s="28">
        <f>'Comp YTD 2018-2017 Dec'!C306</f>
        <v>223598.60999998928</v>
      </c>
      <c r="N40" s="28">
        <f>'Comp YTD 2018-2017 Dec'!D306</f>
        <v>985578.95000000019</v>
      </c>
      <c r="O40" s="28">
        <f>'Comp YTD 2018-2017 Dec'!E306</f>
        <v>68753.960000000006</v>
      </c>
      <c r="P40" s="28">
        <f>'Comp YTD 2018-2017 Dec'!F306</f>
        <v>-46184.219999999987</v>
      </c>
      <c r="Q40" s="28">
        <f>'Comp YTD 2018-2017 Dec'!G306</f>
        <v>102973.49999999999</v>
      </c>
      <c r="R40" s="28">
        <f>'Comp YTD 2018-2017 Dec'!H306</f>
        <v>-39513.26999999999</v>
      </c>
      <c r="S40" s="28">
        <f>'Comp YTD 2018-2017 Dec'!I306</f>
        <v>-3240398.5199994007</v>
      </c>
      <c r="T40" s="28"/>
      <c r="U40" s="18"/>
      <c r="V40" s="29"/>
      <c r="W40" s="31"/>
      <c r="X40" s="30"/>
      <c r="Y40" s="31"/>
      <c r="Z40" s="30"/>
      <c r="AA40" s="31"/>
      <c r="AB40" s="31"/>
      <c r="AC40" s="23"/>
      <c r="AD40" s="23"/>
      <c r="AE40" s="23"/>
      <c r="AF40" s="23"/>
    </row>
    <row r="41" spans="1:32" s="19" customFormat="1" ht="30" customHeight="1" x14ac:dyDescent="0.5">
      <c r="B41" s="28"/>
      <c r="C41" s="28"/>
      <c r="D41" s="28"/>
      <c r="E41" s="28"/>
      <c r="F41" s="28"/>
      <c r="G41" s="28"/>
      <c r="H41" s="28"/>
      <c r="I41" s="28"/>
      <c r="J41" s="29"/>
      <c r="K41" s="18"/>
      <c r="L41" s="28">
        <f>L37-L40</f>
        <v>0</v>
      </c>
      <c r="M41" s="28">
        <f t="shared" ref="M41:R41" si="15">M37-M40</f>
        <v>0</v>
      </c>
      <c r="N41" s="28">
        <f t="shared" si="15"/>
        <v>0</v>
      </c>
      <c r="O41" s="28">
        <f t="shared" si="15"/>
        <v>0</v>
      </c>
      <c r="P41" s="28">
        <f t="shared" si="15"/>
        <v>0</v>
      </c>
      <c r="Q41" s="28">
        <f>Q37-Q40</f>
        <v>0</v>
      </c>
      <c r="R41" s="28">
        <f t="shared" si="15"/>
        <v>0</v>
      </c>
      <c r="S41" s="28">
        <f>S37-S40</f>
        <v>0</v>
      </c>
      <c r="T41" s="28"/>
      <c r="U41" s="18"/>
      <c r="V41" s="29"/>
      <c r="W41" s="31">
        <f>I37-W37</f>
        <v>0</v>
      </c>
      <c r="X41" s="30"/>
      <c r="Y41" s="31">
        <f>Y37-S37</f>
        <v>0</v>
      </c>
      <c r="Z41" s="30"/>
      <c r="AA41" s="31">
        <f>AA21-AA25-AA33+AA35-AA37</f>
        <v>5.8300793170928955E-7</v>
      </c>
      <c r="AB41" s="31"/>
      <c r="AC41" s="23"/>
      <c r="AD41" s="23"/>
      <c r="AE41" s="23"/>
      <c r="AF41" s="23"/>
    </row>
    <row r="42" spans="1:32" s="19" customFormat="1" ht="30" customHeight="1" x14ac:dyDescent="0.5">
      <c r="B42" s="28"/>
      <c r="C42" s="28"/>
      <c r="D42" s="28"/>
      <c r="E42" s="28"/>
      <c r="F42" s="28"/>
      <c r="G42" s="28"/>
      <c r="H42" s="28"/>
      <c r="I42" s="28"/>
      <c r="J42" s="29"/>
      <c r="K42" s="18"/>
      <c r="L42" s="28"/>
      <c r="M42" s="28"/>
      <c r="N42" s="28"/>
      <c r="O42" s="28"/>
      <c r="P42" s="28"/>
      <c r="Q42" s="28"/>
      <c r="R42" s="28"/>
      <c r="S42" s="28"/>
      <c r="T42" s="28"/>
      <c r="U42" s="18"/>
      <c r="V42" s="29"/>
      <c r="W42" s="31"/>
      <c r="X42" s="30"/>
      <c r="Y42" s="31"/>
      <c r="Z42" s="30"/>
      <c r="AA42" s="31"/>
      <c r="AB42" s="31"/>
      <c r="AC42" s="23"/>
      <c r="AD42" s="23"/>
      <c r="AE42" s="23"/>
      <c r="AF42" s="23"/>
    </row>
    <row r="43" spans="1:32" s="19" customFormat="1" ht="30" customHeight="1" x14ac:dyDescent="0.5">
      <c r="B43" s="28"/>
      <c r="C43" s="28"/>
      <c r="D43" s="28"/>
      <c r="E43" s="28"/>
      <c r="F43" s="28"/>
      <c r="G43" s="28"/>
      <c r="H43" s="28"/>
      <c r="I43" s="28"/>
      <c r="J43" s="29"/>
      <c r="K43" s="18"/>
      <c r="L43" s="28"/>
      <c r="M43" s="28"/>
      <c r="N43" s="28"/>
      <c r="O43" s="28"/>
      <c r="P43" s="28"/>
      <c r="Q43" s="28"/>
      <c r="R43" s="28"/>
      <c r="S43" s="28"/>
      <c r="T43" s="28"/>
      <c r="U43" s="18"/>
      <c r="V43" s="29"/>
      <c r="W43" s="31"/>
      <c r="X43" s="30"/>
      <c r="Y43" s="31"/>
      <c r="Z43" s="30"/>
      <c r="AA43" s="31"/>
      <c r="AB43" s="31"/>
      <c r="AC43" s="23"/>
      <c r="AD43" s="23"/>
      <c r="AE43" s="23"/>
      <c r="AF43" s="23"/>
    </row>
    <row r="44" spans="1:32" x14ac:dyDescent="0.25">
      <c r="B44" s="14"/>
      <c r="C44" s="14"/>
      <c r="D44" s="14"/>
      <c r="E44" s="14"/>
    </row>
    <row r="45" spans="1:32" x14ac:dyDescent="0.25">
      <c r="B45" s="14"/>
      <c r="C45" s="14"/>
      <c r="D45" s="14"/>
      <c r="E45" s="14"/>
    </row>
    <row r="46" spans="1:32" x14ac:dyDescent="0.25">
      <c r="B46" s="14"/>
      <c r="C46" s="14"/>
      <c r="D46" s="14"/>
      <c r="E46" s="14"/>
    </row>
    <row r="47" spans="1:32" x14ac:dyDescent="0.25">
      <c r="B47" s="14"/>
      <c r="C47" s="14"/>
      <c r="D47" s="14"/>
      <c r="E47" s="14"/>
    </row>
  </sheetData>
  <mergeCells count="12">
    <mergeCell ref="K11:S11"/>
    <mergeCell ref="A12:I12"/>
    <mergeCell ref="K12:S12"/>
    <mergeCell ref="A1:I5"/>
    <mergeCell ref="A6:AE6"/>
    <mergeCell ref="A7:AE7"/>
    <mergeCell ref="A9:I9"/>
    <mergeCell ref="K9:S9"/>
    <mergeCell ref="U9:AE12"/>
    <mergeCell ref="A10:I10"/>
    <mergeCell ref="K10:S10"/>
    <mergeCell ref="A11:I11"/>
  </mergeCells>
  <pageMargins left="0.7" right="0.7" top="0.75" bottom="0.75" header="0.3" footer="0.3"/>
  <pageSetup scale="25" orientation="portrait" r:id="rId1"/>
  <headerFooter>
    <oddFooter>Page &amp;P of &amp;N</oddFooter>
  </headerFooter>
  <colBreaks count="2" manualBreakCount="2">
    <brk id="9" max="1048575" man="1"/>
    <brk id="20" min="8" max="1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1FC11-DED3-4BD0-9756-CA309A938966}">
  <dimension ref="A2:AJ150"/>
  <sheetViews>
    <sheetView view="pageBreakPreview" zoomScale="20" zoomScaleNormal="25" zoomScaleSheetLayoutView="20" workbookViewId="0">
      <pane ySplit="14" topLeftCell="A114" activePane="bottomLeft" state="frozen"/>
      <selection activeCell="B82" sqref="B82"/>
      <selection pane="bottomLeft" activeCell="L132" sqref="L132"/>
    </sheetView>
  </sheetViews>
  <sheetFormatPr defaultRowHeight="57.75" x14ac:dyDescent="0.85"/>
  <cols>
    <col min="1" max="1" width="178.7109375" style="163" customWidth="1"/>
    <col min="2" max="2" width="72.5703125" style="75" hidden="1" customWidth="1"/>
    <col min="3" max="3" width="72.5703125" style="75" customWidth="1"/>
    <col min="4" max="11" width="65.7109375" style="75" customWidth="1"/>
    <col min="12" max="12" width="72.5703125" style="75" customWidth="1"/>
    <col min="13" max="13" width="40.7109375" style="75" customWidth="1"/>
    <col min="14" max="14" width="11.42578125" style="75" customWidth="1"/>
    <col min="15" max="15" width="155.42578125" style="75" bestFit="1" customWidth="1"/>
    <col min="16" max="16" width="78.7109375" style="75" customWidth="1"/>
    <col min="17" max="17" width="73.28515625" style="75" bestFit="1" customWidth="1"/>
    <col min="18" max="18" width="57.7109375" style="75" customWidth="1"/>
    <col min="19" max="19" width="69.7109375" style="75" customWidth="1"/>
    <col min="20" max="20" width="54" style="75" customWidth="1"/>
    <col min="21" max="21" width="68.28515625" style="75" customWidth="1"/>
    <col min="22" max="22" width="72.140625" style="75" customWidth="1"/>
    <col min="23" max="23" width="80.7109375" style="75" customWidth="1"/>
    <col min="24" max="24" width="50.140625" style="163" customWidth="1"/>
    <col min="25" max="25" width="155.42578125" style="75" bestFit="1" customWidth="1"/>
    <col min="26" max="26" width="11.42578125" style="163" customWidth="1"/>
    <col min="27" max="27" width="80.7109375" style="163" customWidth="1"/>
    <col min="28" max="28" width="11.42578125" style="163" customWidth="1"/>
    <col min="29" max="29" width="80.7109375" style="163" customWidth="1"/>
    <col min="30" max="30" width="11.42578125" style="163" customWidth="1"/>
    <col min="31" max="31" width="80.7109375" style="164" customWidth="1"/>
    <col min="32" max="32" width="4.28515625" style="164" customWidth="1"/>
    <col min="33" max="33" width="80.7109375" style="165" customWidth="1"/>
    <col min="34" max="34" width="4.28515625" style="164" customWidth="1"/>
    <col min="35" max="35" width="50.7109375" style="165" customWidth="1"/>
  </cols>
  <sheetData>
    <row r="2" spans="1:35" ht="40.5" customHeight="1" x14ac:dyDescent="0.85">
      <c r="A2" s="226" t="s">
        <v>347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</row>
    <row r="3" spans="1:35" ht="40.5" customHeight="1" x14ac:dyDescent="0.85">
      <c r="A3" s="226" t="s">
        <v>549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</row>
    <row r="4" spans="1:35" ht="14.25" customHeight="1" thickBot="1" x14ac:dyDescent="0.9"/>
    <row r="5" spans="1:35" s="11" customFormat="1" ht="54.95" customHeight="1" x14ac:dyDescent="0.85">
      <c r="A5" s="227">
        <v>2018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9"/>
      <c r="N5" s="75"/>
      <c r="O5" s="227">
        <v>2017</v>
      </c>
      <c r="P5" s="228"/>
      <c r="Q5" s="228"/>
      <c r="R5" s="228"/>
      <c r="S5" s="228"/>
      <c r="T5" s="228"/>
      <c r="U5" s="228"/>
      <c r="V5" s="228"/>
      <c r="W5" s="228"/>
      <c r="X5" s="229"/>
      <c r="Y5" s="230" t="s">
        <v>404</v>
      </c>
      <c r="Z5" s="231"/>
      <c r="AA5" s="231"/>
      <c r="AB5" s="231"/>
      <c r="AC5" s="231"/>
      <c r="AD5" s="231"/>
      <c r="AE5" s="231"/>
      <c r="AF5" s="231"/>
      <c r="AG5" s="231"/>
      <c r="AH5" s="231"/>
      <c r="AI5" s="232"/>
    </row>
    <row r="6" spans="1:35" s="11" customFormat="1" ht="54.95" customHeight="1" x14ac:dyDescent="0.85">
      <c r="A6" s="239" t="s">
        <v>405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1"/>
      <c r="N6" s="75"/>
      <c r="O6" s="239" t="s">
        <v>405</v>
      </c>
      <c r="P6" s="240"/>
      <c r="Q6" s="240"/>
      <c r="R6" s="240"/>
      <c r="S6" s="240"/>
      <c r="T6" s="240"/>
      <c r="U6" s="240"/>
      <c r="V6" s="240"/>
      <c r="W6" s="240"/>
      <c r="X6" s="241"/>
      <c r="Y6" s="233"/>
      <c r="Z6" s="234"/>
      <c r="AA6" s="234"/>
      <c r="AB6" s="234"/>
      <c r="AC6" s="234"/>
      <c r="AD6" s="234"/>
      <c r="AE6" s="234"/>
      <c r="AF6" s="234"/>
      <c r="AG6" s="234"/>
      <c r="AH6" s="234"/>
      <c r="AI6" s="235"/>
    </row>
    <row r="7" spans="1:35" s="11" customFormat="1" ht="54.95" customHeight="1" x14ac:dyDescent="0.85">
      <c r="A7" s="239" t="s">
        <v>346</v>
      </c>
      <c r="B7" s="240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1"/>
      <c r="N7" s="75"/>
      <c r="O7" s="239" t="s">
        <v>346</v>
      </c>
      <c r="P7" s="240"/>
      <c r="Q7" s="240"/>
      <c r="R7" s="240"/>
      <c r="S7" s="240"/>
      <c r="T7" s="240"/>
      <c r="U7" s="240"/>
      <c r="V7" s="240"/>
      <c r="W7" s="240"/>
      <c r="X7" s="241"/>
      <c r="Y7" s="233"/>
      <c r="Z7" s="234"/>
      <c r="AA7" s="234"/>
      <c r="AB7" s="234"/>
      <c r="AC7" s="234"/>
      <c r="AD7" s="234"/>
      <c r="AE7" s="234"/>
      <c r="AF7" s="234"/>
      <c r="AG7" s="234"/>
      <c r="AH7" s="234"/>
      <c r="AI7" s="235"/>
    </row>
    <row r="8" spans="1:35" s="11" customFormat="1" ht="54.95" customHeight="1" thickBot="1" x14ac:dyDescent="0.9">
      <c r="A8" s="223">
        <v>43373</v>
      </c>
      <c r="B8" s="224"/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5"/>
      <c r="N8" s="75"/>
      <c r="O8" s="223">
        <v>43008</v>
      </c>
      <c r="P8" s="224"/>
      <c r="Q8" s="224"/>
      <c r="R8" s="224"/>
      <c r="S8" s="224"/>
      <c r="T8" s="224"/>
      <c r="U8" s="224"/>
      <c r="V8" s="224"/>
      <c r="W8" s="224"/>
      <c r="X8" s="225"/>
      <c r="Y8" s="236"/>
      <c r="Z8" s="237"/>
      <c r="AA8" s="237"/>
      <c r="AB8" s="237"/>
      <c r="AC8" s="237"/>
      <c r="AD8" s="237"/>
      <c r="AE8" s="237"/>
      <c r="AF8" s="237"/>
      <c r="AG8" s="237"/>
      <c r="AH8" s="237"/>
      <c r="AI8" s="238"/>
    </row>
    <row r="9" spans="1:35" s="19" customFormat="1" ht="54.95" customHeight="1" x14ac:dyDescent="0.85">
      <c r="A9" s="166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75"/>
      <c r="O9" s="120"/>
      <c r="P9" s="120"/>
      <c r="Q9" s="120"/>
      <c r="R9" s="120"/>
      <c r="S9" s="120"/>
      <c r="T9" s="120"/>
      <c r="U9" s="120"/>
      <c r="V9" s="120"/>
      <c r="W9" s="120"/>
      <c r="X9" s="166"/>
      <c r="Y9" s="120"/>
      <c r="Z9" s="163"/>
      <c r="AA9" s="167"/>
      <c r="AB9" s="163"/>
      <c r="AC9" s="167"/>
      <c r="AD9" s="163"/>
      <c r="AE9" s="167"/>
      <c r="AF9" s="167"/>
      <c r="AG9" s="167"/>
      <c r="AH9" s="167"/>
      <c r="AI9" s="167"/>
    </row>
    <row r="10" spans="1:35" s="19" customFormat="1" ht="54.95" customHeight="1" x14ac:dyDescent="0.85">
      <c r="A10" s="163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120">
        <v>2018</v>
      </c>
      <c r="N10" s="120"/>
      <c r="O10" s="77"/>
      <c r="P10" s="77"/>
      <c r="Q10" s="77"/>
      <c r="R10" s="77"/>
      <c r="S10" s="77"/>
      <c r="T10" s="77"/>
      <c r="U10" s="77"/>
      <c r="V10" s="77"/>
      <c r="W10" s="77"/>
      <c r="X10" s="166">
        <v>2017</v>
      </c>
      <c r="Y10" s="77"/>
      <c r="Z10" s="166"/>
      <c r="AA10" s="164"/>
      <c r="AB10" s="166"/>
      <c r="AC10" s="164"/>
      <c r="AD10" s="166"/>
      <c r="AE10" s="164"/>
      <c r="AF10" s="164"/>
      <c r="AG10" s="165"/>
      <c r="AH10" s="164"/>
      <c r="AI10" s="165"/>
    </row>
    <row r="11" spans="1:35" s="19" customFormat="1" ht="54.95" customHeight="1" x14ac:dyDescent="0.85">
      <c r="A11" s="163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120" t="s">
        <v>345</v>
      </c>
      <c r="N11" s="120"/>
      <c r="O11" s="77"/>
      <c r="P11" s="77"/>
      <c r="Q11" s="77"/>
      <c r="R11" s="77"/>
      <c r="S11" s="77"/>
      <c r="T11" s="77"/>
      <c r="U11" s="77"/>
      <c r="V11" s="77"/>
      <c r="W11" s="77"/>
      <c r="X11" s="166" t="s">
        <v>345</v>
      </c>
      <c r="Y11" s="77"/>
      <c r="Z11" s="166"/>
      <c r="AA11" s="164"/>
      <c r="AB11" s="166"/>
      <c r="AC11" s="164"/>
      <c r="AD11" s="166"/>
      <c r="AE11" s="164"/>
      <c r="AF11" s="164"/>
      <c r="AG11" s="166" t="s">
        <v>340</v>
      </c>
      <c r="AH11" s="164"/>
      <c r="AI11" s="165"/>
    </row>
    <row r="12" spans="1:35" s="19" customFormat="1" ht="54.95" customHeight="1" x14ac:dyDescent="0.85">
      <c r="A12" s="163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120" t="s">
        <v>343</v>
      </c>
      <c r="N12" s="120"/>
      <c r="O12" s="75"/>
      <c r="P12" s="75"/>
      <c r="Q12" s="75"/>
      <c r="R12" s="75"/>
      <c r="S12" s="75"/>
      <c r="T12" s="75"/>
      <c r="U12" s="75"/>
      <c r="V12" s="75"/>
      <c r="W12" s="75"/>
      <c r="X12" s="166" t="s">
        <v>343</v>
      </c>
      <c r="Y12" s="75"/>
      <c r="Z12" s="166"/>
      <c r="AA12" s="166"/>
      <c r="AB12" s="166"/>
      <c r="AC12" s="166"/>
      <c r="AD12" s="166"/>
      <c r="AE12" s="166" t="s">
        <v>340</v>
      </c>
      <c r="AF12" s="166"/>
      <c r="AG12" s="165" t="s">
        <v>343</v>
      </c>
      <c r="AH12" s="166"/>
      <c r="AI12" s="166" t="s">
        <v>342</v>
      </c>
    </row>
    <row r="13" spans="1:35" s="19" customFormat="1" ht="54.95" customHeight="1" x14ac:dyDescent="0.85">
      <c r="A13" s="163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120" t="s">
        <v>207</v>
      </c>
      <c r="M13" s="120" t="s">
        <v>207</v>
      </c>
      <c r="N13" s="120"/>
      <c r="O13" s="75"/>
      <c r="P13" s="75"/>
      <c r="Q13" s="75"/>
      <c r="R13" s="75"/>
      <c r="S13" s="75"/>
      <c r="T13" s="75"/>
      <c r="U13" s="75"/>
      <c r="V13" s="75"/>
      <c r="W13" s="120" t="s">
        <v>207</v>
      </c>
      <c r="X13" s="166" t="s">
        <v>207</v>
      </c>
      <c r="Y13" s="75"/>
      <c r="Z13" s="166"/>
      <c r="AA13" s="166">
        <v>2018</v>
      </c>
      <c r="AB13" s="166"/>
      <c r="AC13" s="166">
        <v>2017</v>
      </c>
      <c r="AD13" s="166"/>
      <c r="AE13" s="166" t="s">
        <v>341</v>
      </c>
      <c r="AF13" s="166"/>
      <c r="AG13" s="166" t="s">
        <v>341</v>
      </c>
      <c r="AH13" s="166"/>
      <c r="AI13" s="166" t="s">
        <v>344</v>
      </c>
    </row>
    <row r="14" spans="1:35" s="19" customFormat="1" ht="54.95" customHeight="1" x14ac:dyDescent="0.85">
      <c r="A14" s="163"/>
      <c r="B14" s="78" t="s">
        <v>212</v>
      </c>
      <c r="C14" s="78"/>
      <c r="D14" s="78" t="s">
        <v>214</v>
      </c>
      <c r="E14" s="78"/>
      <c r="F14" s="78" t="s">
        <v>213</v>
      </c>
      <c r="G14" s="78" t="s">
        <v>215</v>
      </c>
      <c r="H14" s="78" t="s">
        <v>216</v>
      </c>
      <c r="I14" s="78" t="s">
        <v>406</v>
      </c>
      <c r="J14" s="78"/>
      <c r="K14" s="78" t="s">
        <v>418</v>
      </c>
      <c r="L14" s="78">
        <v>2018</v>
      </c>
      <c r="M14" s="122" t="s">
        <v>339</v>
      </c>
      <c r="N14" s="122"/>
      <c r="O14" s="75"/>
      <c r="P14" s="78" t="s">
        <v>212</v>
      </c>
      <c r="Q14" s="78" t="s">
        <v>214</v>
      </c>
      <c r="R14" s="78" t="s">
        <v>213</v>
      </c>
      <c r="S14" s="78" t="s">
        <v>215</v>
      </c>
      <c r="T14" s="78" t="s">
        <v>216</v>
      </c>
      <c r="U14" s="78" t="s">
        <v>406</v>
      </c>
      <c r="V14" s="78" t="s">
        <v>418</v>
      </c>
      <c r="W14" s="78">
        <v>2017</v>
      </c>
      <c r="X14" s="122" t="s">
        <v>339</v>
      </c>
      <c r="Y14" s="75"/>
      <c r="Z14" s="122"/>
      <c r="AA14" s="168"/>
      <c r="AB14" s="122"/>
      <c r="AC14" s="168"/>
      <c r="AD14" s="122"/>
      <c r="AE14" s="168" t="s">
        <v>338</v>
      </c>
      <c r="AF14" s="168"/>
      <c r="AG14" s="168" t="s">
        <v>339</v>
      </c>
      <c r="AH14" s="168"/>
      <c r="AI14" s="168" t="s">
        <v>339</v>
      </c>
    </row>
    <row r="15" spans="1:35" s="19" customFormat="1" ht="54.95" customHeight="1" x14ac:dyDescent="0.85">
      <c r="A15" s="169" t="s">
        <v>62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80" t="s">
        <v>62</v>
      </c>
      <c r="P15" s="75"/>
      <c r="Q15" s="75"/>
      <c r="R15" s="75"/>
      <c r="S15" s="75"/>
      <c r="T15" s="75"/>
      <c r="U15" s="75"/>
      <c r="V15" s="75"/>
      <c r="W15" s="75"/>
      <c r="X15" s="163"/>
      <c r="Y15" s="80" t="s">
        <v>62</v>
      </c>
      <c r="Z15" s="163"/>
      <c r="AA15" s="163"/>
      <c r="AB15" s="163"/>
      <c r="AC15" s="163"/>
      <c r="AD15" s="163"/>
      <c r="AE15" s="163"/>
      <c r="AF15" s="163"/>
      <c r="AG15" s="165"/>
      <c r="AH15" s="163"/>
      <c r="AI15" s="165"/>
    </row>
    <row r="16" spans="1:35" s="19" customFormat="1" ht="54.95" customHeight="1" x14ac:dyDescent="0.85">
      <c r="A16" s="75" t="s">
        <v>217</v>
      </c>
      <c r="B16" s="81">
        <f>[1]CNT!N105+[1]CNT!N116</f>
        <v>987640134.21000004</v>
      </c>
      <c r="C16" s="81"/>
      <c r="D16" s="81">
        <f>[1]BPM!K8+[1]BPM!K15</f>
        <v>57867472.350000001</v>
      </c>
      <c r="E16" s="81"/>
      <c r="F16" s="81">
        <v>0</v>
      </c>
      <c r="G16" s="81">
        <v>0</v>
      </c>
      <c r="H16" s="81">
        <v>0</v>
      </c>
      <c r="I16" s="81">
        <v>0</v>
      </c>
      <c r="J16" s="81"/>
      <c r="K16" s="81">
        <v>0</v>
      </c>
      <c r="L16" s="81">
        <f t="shared" ref="L16:L49" si="0">SUM(B16:K16)</f>
        <v>1045507606.5600001</v>
      </c>
      <c r="M16" s="82">
        <f>L16/$L$23</f>
        <v>0.24990452083606465</v>
      </c>
      <c r="N16" s="82"/>
      <c r="O16" s="75" t="s">
        <v>217</v>
      </c>
      <c r="P16" s="81">
        <f>1401448405.97+-33730913.42</f>
        <v>1367717492.55</v>
      </c>
      <c r="Q16" s="81">
        <f>28903208.77-79187.92</f>
        <v>28824020.849999998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f>SUM(P16:V16)</f>
        <v>1396541513.3999999</v>
      </c>
      <c r="X16" s="170">
        <f>W16/$W$23</f>
        <v>0.49973432480410579</v>
      </c>
      <c r="Y16" s="75" t="s">
        <v>217</v>
      </c>
      <c r="Z16" s="170"/>
      <c r="AA16" s="171">
        <f>L16</f>
        <v>1045507606.5600001</v>
      </c>
      <c r="AB16" s="170"/>
      <c r="AC16" s="171">
        <f>W16</f>
        <v>1396541513.3999999</v>
      </c>
      <c r="AD16" s="170"/>
      <c r="AE16" s="171">
        <f>L16-W16</f>
        <v>-351033906.83999979</v>
      </c>
      <c r="AF16" s="171"/>
      <c r="AG16" s="170">
        <f>L16/W16</f>
        <v>0.74864054990719342</v>
      </c>
      <c r="AH16" s="171"/>
      <c r="AI16" s="170">
        <f>AG16-1</f>
        <v>-0.25135945009280658</v>
      </c>
    </row>
    <row r="17" spans="1:35" s="19" customFormat="1" ht="54.95" customHeight="1" x14ac:dyDescent="0.85">
      <c r="A17" s="163" t="s">
        <v>218</v>
      </c>
      <c r="B17" s="81">
        <f>[1]CNT!N106+[1]CNT!N117</f>
        <v>3095980605.7100005</v>
      </c>
      <c r="C17" s="81"/>
      <c r="D17" s="81">
        <f>[1]BPM!K9+[1]BPM!K16</f>
        <v>2741915.1799999997</v>
      </c>
      <c r="E17" s="81"/>
      <c r="F17" s="81">
        <v>0</v>
      </c>
      <c r="G17" s="81">
        <v>0</v>
      </c>
      <c r="H17" s="81">
        <v>0</v>
      </c>
      <c r="I17" s="81">
        <v>0</v>
      </c>
      <c r="J17" s="81"/>
      <c r="K17" s="81">
        <v>0</v>
      </c>
      <c r="L17" s="81">
        <f t="shared" si="0"/>
        <v>3098722520.8900003</v>
      </c>
      <c r="M17" s="82">
        <f t="shared" ref="M17:M22" si="1">L17/$L$23</f>
        <v>0.74067827142345821</v>
      </c>
      <c r="N17" s="82"/>
      <c r="O17" s="75" t="s">
        <v>218</v>
      </c>
      <c r="P17" s="81">
        <f>1378948171.55+-46277983.36</f>
        <v>1332670188.1900001</v>
      </c>
      <c r="Q17" s="81">
        <f>6232136.35-1431.24</f>
        <v>6230705.1099999994</v>
      </c>
      <c r="R17" s="81">
        <v>0</v>
      </c>
      <c r="S17" s="81">
        <v>0</v>
      </c>
      <c r="T17" s="81">
        <v>0</v>
      </c>
      <c r="U17" s="81">
        <v>0</v>
      </c>
      <c r="V17" s="81">
        <v>0</v>
      </c>
      <c r="W17" s="81">
        <f t="shared" ref="W17:W93" si="2">SUM(P17:V17)</f>
        <v>1338900893.3</v>
      </c>
      <c r="X17" s="170">
        <f t="shared" ref="X17:X22" si="3">W17/$W$23</f>
        <v>0.47910837413198065</v>
      </c>
      <c r="Y17" s="75" t="s">
        <v>218</v>
      </c>
      <c r="Z17" s="170"/>
      <c r="AA17" s="171">
        <f t="shared" ref="AA17:AA80" si="4">L17</f>
        <v>3098722520.8900003</v>
      </c>
      <c r="AB17" s="170"/>
      <c r="AC17" s="171">
        <f t="shared" ref="AC17:AC80" si="5">W17</f>
        <v>1338900893.3</v>
      </c>
      <c r="AD17" s="170"/>
      <c r="AE17" s="171">
        <f t="shared" ref="AE17:AE23" si="6">L17-W17</f>
        <v>1759821627.5900004</v>
      </c>
      <c r="AF17" s="171"/>
      <c r="AG17" s="170">
        <f t="shared" ref="AG17:AG22" si="7">L17/W17</f>
        <v>2.3143778127241021</v>
      </c>
      <c r="AH17" s="171"/>
      <c r="AI17" s="170">
        <f t="shared" ref="AI17:AI89" si="8">AG17-1</f>
        <v>1.3143778127241021</v>
      </c>
    </row>
    <row r="18" spans="1:35" s="19" customFormat="1" ht="54.95" customHeight="1" x14ac:dyDescent="0.85">
      <c r="A18" s="163" t="s">
        <v>219</v>
      </c>
      <c r="B18" s="81">
        <f>[1]CNT!N107+[1]CNT!N118</f>
        <v>13281836.700000001</v>
      </c>
      <c r="C18" s="81"/>
      <c r="D18" s="81">
        <f>[1]BPM!K10</f>
        <v>275361.21000000002</v>
      </c>
      <c r="E18" s="81"/>
      <c r="F18" s="81">
        <v>0</v>
      </c>
      <c r="G18" s="81">
        <v>0</v>
      </c>
      <c r="H18" s="81">
        <v>0</v>
      </c>
      <c r="I18" s="81">
        <v>0</v>
      </c>
      <c r="J18" s="81"/>
      <c r="K18" s="81">
        <v>0</v>
      </c>
      <c r="L18" s="81">
        <f t="shared" si="0"/>
        <v>13557197.910000002</v>
      </c>
      <c r="M18" s="82">
        <f t="shared" si="1"/>
        <v>3.2405360098007236E-3</v>
      </c>
      <c r="N18" s="82"/>
      <c r="O18" s="75" t="s">
        <v>219</v>
      </c>
      <c r="P18" s="81">
        <f>18438504.08+-15873.1</f>
        <v>18422630.979999997</v>
      </c>
      <c r="Q18" s="81">
        <v>1823263.51</v>
      </c>
      <c r="R18" s="81">
        <v>0</v>
      </c>
      <c r="S18" s="81">
        <v>0</v>
      </c>
      <c r="T18" s="81">
        <v>0</v>
      </c>
      <c r="U18" s="81">
        <v>0</v>
      </c>
      <c r="V18" s="81">
        <v>0</v>
      </c>
      <c r="W18" s="81">
        <f t="shared" si="2"/>
        <v>20245894.489999998</v>
      </c>
      <c r="X18" s="170">
        <f t="shared" si="3"/>
        <v>7.244731585803868E-3</v>
      </c>
      <c r="Y18" s="75" t="s">
        <v>219</v>
      </c>
      <c r="Z18" s="170"/>
      <c r="AA18" s="171">
        <f t="shared" si="4"/>
        <v>13557197.910000002</v>
      </c>
      <c r="AB18" s="170"/>
      <c r="AC18" s="171">
        <f t="shared" si="5"/>
        <v>20245894.489999998</v>
      </c>
      <c r="AD18" s="170"/>
      <c r="AE18" s="171">
        <f t="shared" si="6"/>
        <v>-6688696.5799999963</v>
      </c>
      <c r="AF18" s="171"/>
      <c r="AG18" s="170">
        <f t="shared" si="7"/>
        <v>0.6696270158227029</v>
      </c>
      <c r="AH18" s="171"/>
      <c r="AI18" s="170">
        <f t="shared" si="8"/>
        <v>-0.3303729841772971</v>
      </c>
    </row>
    <row r="19" spans="1:35" s="19" customFormat="1" ht="54.95" customHeight="1" x14ac:dyDescent="0.85">
      <c r="A19" s="75" t="s">
        <v>421</v>
      </c>
      <c r="B19" s="81">
        <f>[1]CNT!N108+[1]CNT!N119</f>
        <v>11807404.91</v>
      </c>
      <c r="C19" s="81"/>
      <c r="D19" s="81">
        <f>[1]BPM!K11</f>
        <v>21067.5</v>
      </c>
      <c r="E19" s="81"/>
      <c r="F19" s="81">
        <v>0</v>
      </c>
      <c r="G19" s="81">
        <v>0</v>
      </c>
      <c r="H19" s="81">
        <v>0</v>
      </c>
      <c r="I19" s="81">
        <v>0</v>
      </c>
      <c r="J19" s="81"/>
      <c r="K19" s="81">
        <v>0</v>
      </c>
      <c r="L19" s="81">
        <f t="shared" si="0"/>
        <v>11828472.41</v>
      </c>
      <c r="M19" s="82">
        <f t="shared" si="1"/>
        <v>2.8273239824334281E-3</v>
      </c>
      <c r="N19" s="82"/>
      <c r="O19" s="75" t="s">
        <v>421</v>
      </c>
      <c r="P19" s="81">
        <f>31789098.68+-68810</f>
        <v>31720288.68</v>
      </c>
      <c r="Q19" s="81">
        <v>11928.98</v>
      </c>
      <c r="R19" s="81">
        <v>0</v>
      </c>
      <c r="S19" s="81">
        <v>0</v>
      </c>
      <c r="T19" s="81">
        <v>0</v>
      </c>
      <c r="U19" s="81">
        <v>0</v>
      </c>
      <c r="V19" s="81">
        <v>0</v>
      </c>
      <c r="W19" s="81">
        <f t="shared" si="2"/>
        <v>31732217.66</v>
      </c>
      <c r="X19" s="170">
        <f t="shared" si="3"/>
        <v>1.1354963826496032E-2</v>
      </c>
      <c r="Y19" s="75" t="s">
        <v>421</v>
      </c>
      <c r="Z19" s="170"/>
      <c r="AA19" s="171">
        <f t="shared" si="4"/>
        <v>11828472.41</v>
      </c>
      <c r="AB19" s="170"/>
      <c r="AC19" s="171">
        <f t="shared" si="5"/>
        <v>31732217.66</v>
      </c>
      <c r="AD19" s="170"/>
      <c r="AE19" s="171">
        <f t="shared" si="6"/>
        <v>-19903745.25</v>
      </c>
      <c r="AF19" s="171"/>
      <c r="AG19" s="170">
        <f t="shared" si="7"/>
        <v>0.37275908468604652</v>
      </c>
      <c r="AH19" s="171"/>
      <c r="AI19" s="170">
        <f t="shared" si="8"/>
        <v>-0.62724091531395354</v>
      </c>
    </row>
    <row r="20" spans="1:35" s="19" customFormat="1" ht="54.95" customHeight="1" x14ac:dyDescent="0.85">
      <c r="A20" s="163" t="s">
        <v>220</v>
      </c>
      <c r="B20" s="81">
        <f>[1]CNT!N112+[1]CNT!N122</f>
        <v>5022730.9700000007</v>
      </c>
      <c r="C20" s="81"/>
      <c r="D20" s="81">
        <f>0</f>
        <v>0</v>
      </c>
      <c r="E20" s="81"/>
      <c r="F20" s="81">
        <v>0</v>
      </c>
      <c r="G20" s="81">
        <v>0</v>
      </c>
      <c r="H20" s="81">
        <v>0</v>
      </c>
      <c r="I20" s="81">
        <v>0</v>
      </c>
      <c r="J20" s="81"/>
      <c r="K20" s="81">
        <v>0</v>
      </c>
      <c r="L20" s="81">
        <f t="shared" si="0"/>
        <v>5022730.9700000007</v>
      </c>
      <c r="M20" s="82">
        <f t="shared" si="1"/>
        <v>1.2005681914417313E-3</v>
      </c>
      <c r="N20" s="82"/>
      <c r="O20" s="75" t="s">
        <v>220</v>
      </c>
      <c r="P20" s="81">
        <f>1572053+-4425</f>
        <v>1567628</v>
      </c>
      <c r="Q20" s="81">
        <f>32977-2300</f>
        <v>30677</v>
      </c>
      <c r="R20" s="81">
        <v>0</v>
      </c>
      <c r="S20" s="81">
        <v>0</v>
      </c>
      <c r="T20" s="81">
        <v>0</v>
      </c>
      <c r="U20" s="81">
        <v>0</v>
      </c>
      <c r="V20" s="81">
        <v>0</v>
      </c>
      <c r="W20" s="81">
        <f t="shared" si="2"/>
        <v>1598305</v>
      </c>
      <c r="X20" s="170">
        <f t="shared" si="3"/>
        <v>5.7193277990101057E-4</v>
      </c>
      <c r="Y20" s="75" t="s">
        <v>220</v>
      </c>
      <c r="Z20" s="170"/>
      <c r="AA20" s="171">
        <f t="shared" si="4"/>
        <v>5022730.9700000007</v>
      </c>
      <c r="AB20" s="170"/>
      <c r="AC20" s="171">
        <f t="shared" si="5"/>
        <v>1598305</v>
      </c>
      <c r="AD20" s="170"/>
      <c r="AE20" s="171">
        <f t="shared" si="6"/>
        <v>3424425.9700000007</v>
      </c>
      <c r="AF20" s="171"/>
      <c r="AG20" s="170">
        <f t="shared" si="7"/>
        <v>3.1425359803041353</v>
      </c>
      <c r="AH20" s="171"/>
      <c r="AI20" s="170">
        <f t="shared" si="8"/>
        <v>2.1425359803041353</v>
      </c>
    </row>
    <row r="21" spans="1:35" s="19" customFormat="1" ht="54.95" customHeight="1" x14ac:dyDescent="0.85">
      <c r="A21" s="163" t="s">
        <v>221</v>
      </c>
      <c r="B21" s="81">
        <f>[1]CNT!N123+[1]CNT!N125+[1]CNT!N124+[1]CNT!N126</f>
        <v>2622625.92</v>
      </c>
      <c r="C21" s="81"/>
      <c r="D21" s="81">
        <f>[1]BPM!K12</f>
        <v>2039.82</v>
      </c>
      <c r="E21" s="81"/>
      <c r="F21" s="81">
        <v>0</v>
      </c>
      <c r="G21" s="81">
        <v>0</v>
      </c>
      <c r="H21" s="81">
        <v>0</v>
      </c>
      <c r="I21" s="81">
        <v>0</v>
      </c>
      <c r="J21" s="81"/>
      <c r="K21" s="81">
        <v>0</v>
      </c>
      <c r="L21" s="81">
        <f t="shared" si="0"/>
        <v>2624665.7399999998</v>
      </c>
      <c r="M21" s="82">
        <f t="shared" si="1"/>
        <v>6.2736591297281297E-4</v>
      </c>
      <c r="N21" s="82"/>
      <c r="O21" s="75" t="s">
        <v>221</v>
      </c>
      <c r="P21" s="81">
        <v>0</v>
      </c>
      <c r="Q21" s="81">
        <v>0</v>
      </c>
      <c r="R21" s="81">
        <v>0</v>
      </c>
      <c r="S21" s="81">
        <v>0</v>
      </c>
      <c r="T21" s="81">
        <v>0</v>
      </c>
      <c r="U21" s="81">
        <v>0</v>
      </c>
      <c r="V21" s="81">
        <v>0</v>
      </c>
      <c r="W21" s="81">
        <f t="shared" si="2"/>
        <v>0</v>
      </c>
      <c r="X21" s="170">
        <f t="shared" si="3"/>
        <v>0</v>
      </c>
      <c r="Y21" s="75" t="s">
        <v>221</v>
      </c>
      <c r="Z21" s="170"/>
      <c r="AA21" s="171">
        <f t="shared" si="4"/>
        <v>2624665.7399999998</v>
      </c>
      <c r="AB21" s="170"/>
      <c r="AC21" s="171">
        <f t="shared" si="5"/>
        <v>0</v>
      </c>
      <c r="AD21" s="170"/>
      <c r="AE21" s="171">
        <f t="shared" si="6"/>
        <v>2624665.7399999998</v>
      </c>
      <c r="AF21" s="171"/>
      <c r="AG21" s="172">
        <v>0</v>
      </c>
      <c r="AH21" s="171"/>
      <c r="AI21" s="172">
        <v>0</v>
      </c>
    </row>
    <row r="22" spans="1:35" s="19" customFormat="1" ht="54.95" customHeight="1" x14ac:dyDescent="0.85">
      <c r="A22" s="163" t="s">
        <v>222</v>
      </c>
      <c r="B22" s="81">
        <f>[1]CNT!N110+[1]CNT!N111+[1]CNT!N113+[1]CNT!N114+[1]CNT!N115+[1]CNT!N109+[1]CNT!N121</f>
        <v>751779.69</v>
      </c>
      <c r="C22" s="81"/>
      <c r="D22" s="81">
        <f>[1]BPM!K14+[1]BPM!K13</f>
        <v>2611630.5</v>
      </c>
      <c r="E22" s="81"/>
      <c r="F22" s="81">
        <f>[1]DEP!K17</f>
        <v>2454254.9000000004</v>
      </c>
      <c r="G22" s="81">
        <v>0</v>
      </c>
      <c r="H22" s="81">
        <f>'[1]BSC (Dome)'!K14</f>
        <v>547363.97000000009</v>
      </c>
      <c r="I22" s="81">
        <v>0</v>
      </c>
      <c r="J22" s="81"/>
      <c r="K22" s="81">
        <v>0</v>
      </c>
      <c r="L22" s="81">
        <f t="shared" si="0"/>
        <v>6365029.0599999996</v>
      </c>
      <c r="M22" s="82">
        <f t="shared" si="1"/>
        <v>1.5214136438285607E-3</v>
      </c>
      <c r="N22" s="82"/>
      <c r="O22" s="75" t="s">
        <v>222</v>
      </c>
      <c r="P22" s="81">
        <f>415+1294974.51+20000+386524.32+51735.58+187966.6+-1807.5</f>
        <v>1939808.5100000002</v>
      </c>
      <c r="Q22" s="81">
        <f>192+57651.07+1319010.58</f>
        <v>1376853.6500000001</v>
      </c>
      <c r="R22" s="81">
        <v>1680196.53</v>
      </c>
      <c r="S22" s="81">
        <v>0</v>
      </c>
      <c r="T22" s="81">
        <v>552239.02</v>
      </c>
      <c r="U22" s="81">
        <v>0</v>
      </c>
      <c r="V22" s="81">
        <v>0</v>
      </c>
      <c r="W22" s="81">
        <f>SUM(P22:V22)</f>
        <v>5549097.7100000009</v>
      </c>
      <c r="X22" s="170">
        <f t="shared" si="3"/>
        <v>1.9856728717126157E-3</v>
      </c>
      <c r="Y22" s="75" t="s">
        <v>222</v>
      </c>
      <c r="Z22" s="170"/>
      <c r="AA22" s="171">
        <f t="shared" si="4"/>
        <v>6365029.0599999996</v>
      </c>
      <c r="AB22" s="170"/>
      <c r="AC22" s="171">
        <f t="shared" si="5"/>
        <v>5549097.7100000009</v>
      </c>
      <c r="AD22" s="170"/>
      <c r="AE22" s="171">
        <f t="shared" si="6"/>
        <v>815931.3499999987</v>
      </c>
      <c r="AF22" s="171"/>
      <c r="AG22" s="170">
        <f t="shared" si="7"/>
        <v>1.1470385624188257</v>
      </c>
      <c r="AH22" s="171"/>
      <c r="AI22" s="170">
        <f t="shared" si="8"/>
        <v>0.14703856241882574</v>
      </c>
    </row>
    <row r="23" spans="1:35" s="19" customFormat="1" ht="54.95" customHeight="1" x14ac:dyDescent="0.85">
      <c r="A23" s="169" t="s">
        <v>223</v>
      </c>
      <c r="B23" s="83">
        <f>SUM(B16:B22)</f>
        <v>4117107118.1100001</v>
      </c>
      <c r="C23" s="83"/>
      <c r="D23" s="83">
        <f>SUM(D16:D22)</f>
        <v>63519486.560000002</v>
      </c>
      <c r="E23" s="83"/>
      <c r="F23" s="83">
        <f t="shared" ref="F23:K23" si="9">SUM(F16:F22)</f>
        <v>2454254.9000000004</v>
      </c>
      <c r="G23" s="83">
        <f t="shared" si="9"/>
        <v>0</v>
      </c>
      <c r="H23" s="83">
        <f>SUM(H16:H22)</f>
        <v>547363.97000000009</v>
      </c>
      <c r="I23" s="83">
        <f>SUM(I16:I22)</f>
        <v>0</v>
      </c>
      <c r="J23" s="83"/>
      <c r="K23" s="83">
        <f t="shared" si="9"/>
        <v>0</v>
      </c>
      <c r="L23" s="83">
        <f t="shared" si="0"/>
        <v>4183628223.54</v>
      </c>
      <c r="M23" s="84">
        <f>SUM(M16:M22)</f>
        <v>1.0000000000000002</v>
      </c>
      <c r="N23" s="85"/>
      <c r="O23" s="80" t="s">
        <v>223</v>
      </c>
      <c r="P23" s="83">
        <f>SUM(P16:P22)</f>
        <v>2754038036.9099998</v>
      </c>
      <c r="Q23" s="83">
        <f t="shared" ref="Q23:V23" si="10">SUM(Q16:Q22)</f>
        <v>38297449.099999987</v>
      </c>
      <c r="R23" s="83">
        <f t="shared" si="10"/>
        <v>1680196.53</v>
      </c>
      <c r="S23" s="83">
        <f t="shared" si="10"/>
        <v>0</v>
      </c>
      <c r="T23" s="83">
        <f>SUM(T16:T22)</f>
        <v>552239.02</v>
      </c>
      <c r="U23" s="83">
        <f>SUM(U16:U22)</f>
        <v>0</v>
      </c>
      <c r="V23" s="83">
        <f t="shared" si="10"/>
        <v>0</v>
      </c>
      <c r="W23" s="83">
        <f t="shared" si="2"/>
        <v>2794567921.5599999</v>
      </c>
      <c r="X23" s="173">
        <f>SUM(X16:X22)</f>
        <v>0.99999999999999989</v>
      </c>
      <c r="Y23" s="80" t="s">
        <v>223</v>
      </c>
      <c r="Z23" s="174"/>
      <c r="AA23" s="175">
        <f t="shared" si="4"/>
        <v>4183628223.54</v>
      </c>
      <c r="AB23" s="174"/>
      <c r="AC23" s="175">
        <f t="shared" si="5"/>
        <v>2794567921.5599999</v>
      </c>
      <c r="AD23" s="174"/>
      <c r="AE23" s="175">
        <f t="shared" si="6"/>
        <v>1389060301.98</v>
      </c>
      <c r="AF23" s="175"/>
      <c r="AG23" s="173">
        <f>L23/W23</f>
        <v>1.4970572700214031</v>
      </c>
      <c r="AH23" s="175"/>
      <c r="AI23" s="173">
        <f t="shared" si="8"/>
        <v>0.4970572700214031</v>
      </c>
    </row>
    <row r="24" spans="1:35" s="19" customFormat="1" ht="54.95" customHeight="1" x14ac:dyDescent="0.85">
      <c r="A24" s="163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>
        <f t="shared" si="0"/>
        <v>0</v>
      </c>
      <c r="M24" s="75"/>
      <c r="N24" s="75"/>
      <c r="O24" s="75"/>
      <c r="P24" s="81"/>
      <c r="Q24" s="81"/>
      <c r="R24" s="81"/>
      <c r="S24" s="81"/>
      <c r="T24" s="81"/>
      <c r="U24" s="81"/>
      <c r="V24" s="81"/>
      <c r="W24" s="81">
        <f t="shared" si="2"/>
        <v>0</v>
      </c>
      <c r="X24" s="163"/>
      <c r="Y24" s="75"/>
      <c r="Z24" s="163"/>
      <c r="AA24" s="171"/>
      <c r="AB24" s="163"/>
      <c r="AC24" s="171">
        <f t="shared" si="5"/>
        <v>0</v>
      </c>
      <c r="AD24" s="163"/>
      <c r="AE24" s="171"/>
      <c r="AF24" s="171"/>
      <c r="AG24" s="176"/>
      <c r="AH24" s="171"/>
      <c r="AI24" s="176"/>
    </row>
    <row r="25" spans="1:35" s="19" customFormat="1" ht="54.95" customHeight="1" x14ac:dyDescent="0.85">
      <c r="A25" s="169" t="s">
        <v>208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>
        <f t="shared" si="0"/>
        <v>0</v>
      </c>
      <c r="M25" s="75"/>
      <c r="N25" s="75"/>
      <c r="O25" s="80" t="s">
        <v>208</v>
      </c>
      <c r="P25" s="81"/>
      <c r="Q25" s="81"/>
      <c r="R25" s="81"/>
      <c r="S25" s="81"/>
      <c r="T25" s="81"/>
      <c r="U25" s="81"/>
      <c r="V25" s="81"/>
      <c r="W25" s="81">
        <f t="shared" si="2"/>
        <v>0</v>
      </c>
      <c r="X25" s="163"/>
      <c r="Y25" s="80" t="s">
        <v>208</v>
      </c>
      <c r="Z25" s="163"/>
      <c r="AA25" s="171"/>
      <c r="AB25" s="163"/>
      <c r="AC25" s="171">
        <f t="shared" si="5"/>
        <v>0</v>
      </c>
      <c r="AD25" s="163"/>
      <c r="AE25" s="171"/>
      <c r="AF25" s="171"/>
      <c r="AG25" s="176"/>
      <c r="AH25" s="171"/>
      <c r="AI25" s="176"/>
    </row>
    <row r="26" spans="1:35" s="19" customFormat="1" ht="54.95" customHeight="1" x14ac:dyDescent="0.85">
      <c r="A26" s="163" t="s">
        <v>217</v>
      </c>
      <c r="B26" s="81">
        <f>[1]CNT!N131+[1]CNT!N136+[1]CNT!N148+[1]CNT!N152+[1]CNT!N153+[1]CNT!N157+[1]CNT!N161+[1]CNT!N168</f>
        <v>1004400301.8899999</v>
      </c>
      <c r="C26" s="81"/>
      <c r="D26" s="81">
        <f>[1]BPM!K20+[1]BPM!K31</f>
        <v>57705401.129999995</v>
      </c>
      <c r="E26" s="81"/>
      <c r="F26" s="81">
        <v>0</v>
      </c>
      <c r="G26" s="81">
        <v>0</v>
      </c>
      <c r="H26" s="81">
        <v>0</v>
      </c>
      <c r="I26" s="81">
        <v>0</v>
      </c>
      <c r="J26" s="81"/>
      <c r="K26" s="81">
        <v>0</v>
      </c>
      <c r="L26" s="81">
        <f t="shared" si="0"/>
        <v>1062105703.0199999</v>
      </c>
      <c r="M26" s="82">
        <f>L26/$L$33</f>
        <v>0.25436495017164118</v>
      </c>
      <c r="N26" s="82"/>
      <c r="O26" s="75" t="s">
        <v>217</v>
      </c>
      <c r="P26" s="81">
        <f>1362886644.91+294837140.99+-2594673018.01+-295913828.8+2586538353.1+-851593.54+2442343.61</f>
        <v>1355266042.2599998</v>
      </c>
      <c r="Q26" s="81">
        <f>28518484.54+606.81+14337.65</f>
        <v>28533428.999999996</v>
      </c>
      <c r="R26" s="81">
        <v>0</v>
      </c>
      <c r="S26" s="81">
        <v>0</v>
      </c>
      <c r="T26" s="81">
        <v>0</v>
      </c>
      <c r="U26" s="81">
        <v>0</v>
      </c>
      <c r="V26" s="81">
        <v>0</v>
      </c>
      <c r="W26" s="81">
        <f t="shared" si="2"/>
        <v>1383799471.2599998</v>
      </c>
      <c r="X26" s="170">
        <f>W26/$W$33</f>
        <v>0.49642234805915786</v>
      </c>
      <c r="Y26" s="75" t="s">
        <v>217</v>
      </c>
      <c r="Z26" s="170"/>
      <c r="AA26" s="171">
        <f t="shared" si="4"/>
        <v>1062105703.0199999</v>
      </c>
      <c r="AB26" s="170"/>
      <c r="AC26" s="171">
        <f t="shared" si="5"/>
        <v>1383799471.2599998</v>
      </c>
      <c r="AD26" s="170"/>
      <c r="AE26" s="171">
        <f>L26-W26</f>
        <v>-321693768.23999989</v>
      </c>
      <c r="AF26" s="171"/>
      <c r="AG26" s="170">
        <f>L26/W26</f>
        <v>0.76752862324258153</v>
      </c>
      <c r="AH26" s="171"/>
      <c r="AI26" s="170">
        <f t="shared" si="8"/>
        <v>-0.23247137675741847</v>
      </c>
    </row>
    <row r="27" spans="1:35" s="19" customFormat="1" ht="54.95" customHeight="1" x14ac:dyDescent="0.85">
      <c r="A27" s="163" t="s">
        <v>218</v>
      </c>
      <c r="B27" s="81">
        <f>[1]CNT!N132+[1]CNT!N137+[1]CNT!N149+[1]CNT!N154+[1]CNT!N158+[1]CNT!N162+[1]CNT!N165+[1]CNT!N169</f>
        <v>3091078805.7099991</v>
      </c>
      <c r="C27" s="81"/>
      <c r="D27" s="81">
        <f>[1]BPM!K21+[1]BPM!K32</f>
        <v>2518888.9</v>
      </c>
      <c r="E27" s="81"/>
      <c r="F27" s="81">
        <v>0</v>
      </c>
      <c r="G27" s="81">
        <v>0</v>
      </c>
      <c r="H27" s="81">
        <v>0</v>
      </c>
      <c r="I27" s="81">
        <v>0</v>
      </c>
      <c r="J27" s="81"/>
      <c r="K27" s="81">
        <v>0</v>
      </c>
      <c r="L27" s="81">
        <f t="shared" si="0"/>
        <v>3093597694.6099992</v>
      </c>
      <c r="M27" s="82">
        <f t="shared" ref="M27:M32" si="11">L27/$L$33</f>
        <v>0.74088936835862074</v>
      </c>
      <c r="N27" s="82"/>
      <c r="O27" s="75" t="s">
        <v>218</v>
      </c>
      <c r="P27" s="81">
        <f>1331870709.1+717950801.68+-715682100.11+6772900937.69+584217.48+-6770619534.22+-2691428.5</f>
        <v>1334313603.119998</v>
      </c>
      <c r="Q27" s="81">
        <f>6147408.13+156.76+-92990.65</f>
        <v>6054574.2399999993</v>
      </c>
      <c r="R27" s="81">
        <v>0</v>
      </c>
      <c r="S27" s="81">
        <v>0</v>
      </c>
      <c r="T27" s="81">
        <v>0</v>
      </c>
      <c r="U27" s="81">
        <v>0</v>
      </c>
      <c r="V27" s="81">
        <v>0</v>
      </c>
      <c r="W27" s="81">
        <f t="shared" si="2"/>
        <v>1340368177.359998</v>
      </c>
      <c r="X27" s="170">
        <f t="shared" ref="X27:X32" si="12">W27/$W$33</f>
        <v>0.48084186451015426</v>
      </c>
      <c r="Y27" s="75" t="s">
        <v>218</v>
      </c>
      <c r="Z27" s="170"/>
      <c r="AA27" s="171">
        <f t="shared" si="4"/>
        <v>3093597694.6099992</v>
      </c>
      <c r="AB27" s="170"/>
      <c r="AC27" s="171">
        <f t="shared" si="5"/>
        <v>1340368177.359998</v>
      </c>
      <c r="AD27" s="170"/>
      <c r="AE27" s="171">
        <f t="shared" ref="AE27:AE32" si="13">L27-W27</f>
        <v>1753229517.2500012</v>
      </c>
      <c r="AF27" s="171"/>
      <c r="AG27" s="170">
        <f t="shared" ref="AG27:AG32" si="14">L27/W27</f>
        <v>2.3080208459612783</v>
      </c>
      <c r="AH27" s="171"/>
      <c r="AI27" s="170">
        <f t="shared" si="8"/>
        <v>1.3080208459612783</v>
      </c>
    </row>
    <row r="28" spans="1:35" s="19" customFormat="1" ht="54.95" customHeight="1" x14ac:dyDescent="0.85">
      <c r="A28" s="163" t="s">
        <v>219</v>
      </c>
      <c r="B28" s="81">
        <f>[1]CNT!N133+[1]CNT!N138+[1]CNT!N150+[1]CNT!N155+[1]CNT!N159+[1]CNT!N163+[1]CNT!N167+[1]CNT!N170</f>
        <v>12587660.74</v>
      </c>
      <c r="C28" s="81"/>
      <c r="D28" s="81">
        <f>[1]BPM!K22+[1]BPM!K33</f>
        <v>256268.82</v>
      </c>
      <c r="E28" s="81"/>
      <c r="F28" s="81">
        <v>0</v>
      </c>
      <c r="G28" s="81">
        <v>0</v>
      </c>
      <c r="H28" s="81">
        <v>0</v>
      </c>
      <c r="I28" s="81">
        <v>0</v>
      </c>
      <c r="J28" s="81"/>
      <c r="K28" s="81">
        <v>0</v>
      </c>
      <c r="L28" s="81">
        <f t="shared" si="0"/>
        <v>12843929.560000001</v>
      </c>
      <c r="M28" s="82">
        <f t="shared" si="11"/>
        <v>3.0760078712014504E-3</v>
      </c>
      <c r="N28" s="82"/>
      <c r="O28" s="75" t="s">
        <v>219</v>
      </c>
      <c r="P28" s="81">
        <f>18359498.66+6151280+-6244582.5+5794396.9+-16403.49+-5903503.5+-82329.81</f>
        <v>18058356.260000005</v>
      </c>
      <c r="Q28" s="81">
        <f>1754656.42+2641.2</f>
        <v>1757297.6199999999</v>
      </c>
      <c r="R28" s="81">
        <v>0</v>
      </c>
      <c r="S28" s="81">
        <v>0</v>
      </c>
      <c r="T28" s="81">
        <v>0</v>
      </c>
      <c r="U28" s="81">
        <v>0</v>
      </c>
      <c r="V28" s="81">
        <v>0</v>
      </c>
      <c r="W28" s="81">
        <f t="shared" si="2"/>
        <v>19815653.880000006</v>
      </c>
      <c r="X28" s="170">
        <f t="shared" si="12"/>
        <v>7.1086408339788411E-3</v>
      </c>
      <c r="Y28" s="75" t="s">
        <v>219</v>
      </c>
      <c r="Z28" s="170"/>
      <c r="AA28" s="171">
        <f t="shared" si="4"/>
        <v>12843929.560000001</v>
      </c>
      <c r="AB28" s="170"/>
      <c r="AC28" s="171">
        <f t="shared" si="5"/>
        <v>19815653.880000006</v>
      </c>
      <c r="AD28" s="170"/>
      <c r="AE28" s="171">
        <f>L28-W28</f>
        <v>-6971724.3200000059</v>
      </c>
      <c r="AF28" s="171"/>
      <c r="AG28" s="170">
        <f t="shared" si="14"/>
        <v>0.64817086722348405</v>
      </c>
      <c r="AH28" s="171"/>
      <c r="AI28" s="170">
        <f t="shared" si="8"/>
        <v>-0.35182913277651595</v>
      </c>
    </row>
    <row r="29" spans="1:35" s="19" customFormat="1" ht="54.95" customHeight="1" x14ac:dyDescent="0.85">
      <c r="A29" s="163" t="s">
        <v>421</v>
      </c>
      <c r="B29" s="81">
        <f>[1]CNT!N134+[1]CNT!N139+[1]CNT!N151+[1]CNT!N156+[1]CNT!N160+[1]CNT!N164+[1]CNT!N171+[1]CNT!N172</f>
        <v>12058066.880000003</v>
      </c>
      <c r="C29" s="81"/>
      <c r="D29" s="81">
        <f>[1]BPM!K23</f>
        <v>13142</v>
      </c>
      <c r="E29" s="81"/>
      <c r="F29" s="81">
        <v>0</v>
      </c>
      <c r="G29" s="81">
        <v>0</v>
      </c>
      <c r="H29" s="81">
        <v>0</v>
      </c>
      <c r="I29" s="81">
        <v>0</v>
      </c>
      <c r="J29" s="81"/>
      <c r="K29" s="81">
        <v>0</v>
      </c>
      <c r="L29" s="81">
        <f t="shared" si="0"/>
        <v>12071208.880000003</v>
      </c>
      <c r="M29" s="82">
        <f t="shared" si="11"/>
        <v>2.8909480822313736E-3</v>
      </c>
      <c r="N29" s="82"/>
      <c r="O29" s="75" t="s">
        <v>421</v>
      </c>
      <c r="P29" s="81">
        <f>31216421.82+153873.75+-157755+2326124.63+-93508.88+876786.34+-2698078.23</f>
        <v>31623864.430000003</v>
      </c>
      <c r="Q29" s="81">
        <f>11092.65-65</f>
        <v>11027.65</v>
      </c>
      <c r="R29" s="81">
        <v>0</v>
      </c>
      <c r="S29" s="81">
        <v>0</v>
      </c>
      <c r="T29" s="81">
        <v>0</v>
      </c>
      <c r="U29" s="81">
        <v>0</v>
      </c>
      <c r="V29" s="81">
        <v>0</v>
      </c>
      <c r="W29" s="81">
        <f t="shared" si="2"/>
        <v>31634892.080000002</v>
      </c>
      <c r="X29" s="170">
        <f t="shared" si="12"/>
        <v>1.1348658337506336E-2</v>
      </c>
      <c r="Y29" s="75" t="s">
        <v>421</v>
      </c>
      <c r="Z29" s="170"/>
      <c r="AA29" s="171">
        <f t="shared" si="4"/>
        <v>12071208.880000003</v>
      </c>
      <c r="AB29" s="170"/>
      <c r="AC29" s="171">
        <f t="shared" si="5"/>
        <v>31634892.080000002</v>
      </c>
      <c r="AD29" s="170"/>
      <c r="AE29" s="171">
        <f t="shared" si="13"/>
        <v>-19563683.199999999</v>
      </c>
      <c r="AF29" s="171"/>
      <c r="AG29" s="170">
        <f t="shared" si="14"/>
        <v>0.38157894926506108</v>
      </c>
      <c r="AH29" s="171"/>
      <c r="AI29" s="170">
        <f t="shared" si="8"/>
        <v>-0.61842105073493892</v>
      </c>
    </row>
    <row r="30" spans="1:35" s="19" customFormat="1" ht="54.95" customHeight="1" x14ac:dyDescent="0.85">
      <c r="A30" s="163" t="s">
        <v>220</v>
      </c>
      <c r="B30" s="81">
        <f>[1]CNT!N135+[1]CNT!N142+[1]CNT!N166+[1]CNT!N177</f>
        <v>4877108.4499999993</v>
      </c>
      <c r="C30" s="81"/>
      <c r="D30" s="81">
        <f>0</f>
        <v>0</v>
      </c>
      <c r="E30" s="81"/>
      <c r="F30" s="81">
        <v>0</v>
      </c>
      <c r="G30" s="81">
        <v>0</v>
      </c>
      <c r="H30" s="81">
        <v>0</v>
      </c>
      <c r="I30" s="81">
        <v>0</v>
      </c>
      <c r="J30" s="81"/>
      <c r="K30" s="81">
        <v>0</v>
      </c>
      <c r="L30" s="81">
        <f t="shared" si="0"/>
        <v>4877108.4499999993</v>
      </c>
      <c r="M30" s="82">
        <f t="shared" si="11"/>
        <v>1.1680244671867462E-3</v>
      </c>
      <c r="N30" s="82"/>
      <c r="O30" s="75" t="s">
        <v>220</v>
      </c>
      <c r="P30" s="81">
        <f>1487266.02+24000</f>
        <v>1511266.02</v>
      </c>
      <c r="Q30" s="81">
        <f>28517+168</f>
        <v>28685</v>
      </c>
      <c r="R30" s="81">
        <v>0</v>
      </c>
      <c r="S30" s="81">
        <v>0</v>
      </c>
      <c r="T30" s="81">
        <v>0</v>
      </c>
      <c r="U30" s="81">
        <v>0</v>
      </c>
      <c r="V30" s="81">
        <v>0</v>
      </c>
      <c r="W30" s="81">
        <f t="shared" si="2"/>
        <v>1539951.02</v>
      </c>
      <c r="X30" s="170">
        <f t="shared" si="12"/>
        <v>5.5243994315767506E-4</v>
      </c>
      <c r="Y30" s="75" t="s">
        <v>220</v>
      </c>
      <c r="Z30" s="170"/>
      <c r="AA30" s="171">
        <f t="shared" si="4"/>
        <v>4877108.4499999993</v>
      </c>
      <c r="AB30" s="170"/>
      <c r="AC30" s="171">
        <f t="shared" si="5"/>
        <v>1539951.02</v>
      </c>
      <c r="AD30" s="170"/>
      <c r="AE30" s="171">
        <f t="shared" si="13"/>
        <v>3337157.4299999992</v>
      </c>
      <c r="AF30" s="171"/>
      <c r="AG30" s="170">
        <f t="shared" si="14"/>
        <v>3.1670542677389824</v>
      </c>
      <c r="AH30" s="171"/>
      <c r="AI30" s="170">
        <f t="shared" si="8"/>
        <v>2.1670542677389824</v>
      </c>
    </row>
    <row r="31" spans="1:35" s="19" customFormat="1" ht="54.95" customHeight="1" x14ac:dyDescent="0.85">
      <c r="A31" s="163" t="s">
        <v>221</v>
      </c>
      <c r="B31" s="81">
        <f>[1]CNT!N188+[1]CNT!N189+[1]CNT!N190+[1]CNT!N191+[1]CNT!N192+[1]CNT!N193+[1]CNT!N194+[1]CNT!N195</f>
        <v>2496097.4699999997</v>
      </c>
      <c r="C31" s="81"/>
      <c r="D31" s="81">
        <f>[1]BPM!K25</f>
        <v>916.55</v>
      </c>
      <c r="E31" s="81"/>
      <c r="F31" s="81">
        <v>0</v>
      </c>
      <c r="G31" s="81">
        <v>0</v>
      </c>
      <c r="H31" s="81">
        <v>0</v>
      </c>
      <c r="I31" s="81">
        <v>0</v>
      </c>
      <c r="J31" s="81"/>
      <c r="K31" s="81">
        <v>0</v>
      </c>
      <c r="L31" s="81">
        <f t="shared" si="0"/>
        <v>2497014.0199999996</v>
      </c>
      <c r="M31" s="82">
        <f t="shared" si="11"/>
        <v>5.9801283899445288E-4</v>
      </c>
      <c r="N31" s="82"/>
      <c r="O31" s="75" t="s">
        <v>221</v>
      </c>
      <c r="P31" s="81">
        <v>0</v>
      </c>
      <c r="Q31" s="81">
        <v>0</v>
      </c>
      <c r="R31" s="81">
        <v>0</v>
      </c>
      <c r="S31" s="81">
        <v>0</v>
      </c>
      <c r="T31" s="81">
        <v>0</v>
      </c>
      <c r="U31" s="81">
        <v>0</v>
      </c>
      <c r="V31" s="81">
        <v>0</v>
      </c>
      <c r="W31" s="81">
        <f t="shared" si="2"/>
        <v>0</v>
      </c>
      <c r="X31" s="170">
        <f t="shared" si="12"/>
        <v>0</v>
      </c>
      <c r="Y31" s="75" t="s">
        <v>221</v>
      </c>
      <c r="Z31" s="170"/>
      <c r="AA31" s="171">
        <f t="shared" si="4"/>
        <v>2497014.0199999996</v>
      </c>
      <c r="AB31" s="170"/>
      <c r="AC31" s="171">
        <f t="shared" si="5"/>
        <v>0</v>
      </c>
      <c r="AD31" s="170"/>
      <c r="AE31" s="171">
        <f t="shared" si="13"/>
        <v>2497014.0199999996</v>
      </c>
      <c r="AF31" s="171"/>
      <c r="AG31" s="172">
        <v>0</v>
      </c>
      <c r="AH31" s="171"/>
      <c r="AI31" s="172">
        <v>0</v>
      </c>
    </row>
    <row r="32" spans="1:35" s="19" customFormat="1" ht="54.95" customHeight="1" x14ac:dyDescent="0.85">
      <c r="A32" s="163" t="s">
        <v>222</v>
      </c>
      <c r="B32" s="81">
        <f>[1]CNT!N129+[1]CNT!N140+[1]CNT!N141+[1]CNT!N143+[1]CNT!N146+[1]CNT!N147+[1]CNT!N176+[1]CNT!N174+[1]CNT!N175+[1]CNT!N178+[1]CNT!N179+[1]CNT!N180+[1]CNT!N181+[1]CNT!N182+[1]CNT!N183+[1]CNT!N184+[1]CNT!N185+[1]CNT!N186+[1]CNT!N187+[1]CNT!N173</f>
        <v>-14954112.650000002</v>
      </c>
      <c r="C32" s="81"/>
      <c r="D32" s="81">
        <f>[1]BPM!K24+[1]BPM!K26+[1]BPM!K27+[1]BPM!K28+[1]BPM!K29+[1]BPM!K30+[1]BPM!K34+[1]BPM!K35</f>
        <v>2200693.41</v>
      </c>
      <c r="E32" s="81"/>
      <c r="F32" s="81">
        <f>[1]DEP!K23</f>
        <v>278193.64</v>
      </c>
      <c r="G32" s="81">
        <v>0</v>
      </c>
      <c r="H32" s="81">
        <f>'[1]BSC (Dome)'!K18</f>
        <v>1648.2199999999998</v>
      </c>
      <c r="I32" s="81">
        <v>0</v>
      </c>
      <c r="J32" s="81"/>
      <c r="K32" s="81">
        <v>0</v>
      </c>
      <c r="L32" s="81">
        <f t="shared" si="0"/>
        <v>-12473577.380000001</v>
      </c>
      <c r="M32" s="82">
        <f t="shared" si="11"/>
        <v>-2.9873117898756496E-3</v>
      </c>
      <c r="N32" s="82"/>
      <c r="O32" s="75" t="s">
        <v>222</v>
      </c>
      <c r="P32" s="81">
        <f>60.6+1171791.88+1360884.47+39494.92+1250+9+58116.69+202006.97+5638770.42+232883.38+4852+21448.66+127438.37+272.72-1169.28+651.51-292.5-15426.72</f>
        <v>8843043.0899999999</v>
      </c>
      <c r="Q32" s="81">
        <f>57304.44+199486.37-6668.6+2936.98+820.8+692303.95+390154.17</f>
        <v>1336338.1099999999</v>
      </c>
      <c r="R32" s="81">
        <v>206226.66</v>
      </c>
      <c r="S32" s="81">
        <v>0</v>
      </c>
      <c r="T32" s="81">
        <v>918.27</v>
      </c>
      <c r="U32" s="81">
        <v>0</v>
      </c>
      <c r="V32" s="81">
        <v>0</v>
      </c>
      <c r="W32" s="81">
        <f t="shared" si="2"/>
        <v>10386526.129999999</v>
      </c>
      <c r="X32" s="170">
        <f t="shared" si="12"/>
        <v>3.7260483160450821E-3</v>
      </c>
      <c r="Y32" s="75" t="s">
        <v>222</v>
      </c>
      <c r="Z32" s="170"/>
      <c r="AA32" s="171">
        <f t="shared" si="4"/>
        <v>-12473577.380000001</v>
      </c>
      <c r="AB32" s="170"/>
      <c r="AC32" s="171">
        <f t="shared" si="5"/>
        <v>10386526.129999999</v>
      </c>
      <c r="AD32" s="170"/>
      <c r="AE32" s="171">
        <f t="shared" si="13"/>
        <v>-22860103.509999998</v>
      </c>
      <c r="AF32" s="171"/>
      <c r="AG32" s="170">
        <f t="shared" si="14"/>
        <v>-1.2009383333636308</v>
      </c>
      <c r="AH32" s="171"/>
      <c r="AI32" s="170">
        <f t="shared" si="8"/>
        <v>-2.2009383333636308</v>
      </c>
    </row>
    <row r="33" spans="1:35" s="19" customFormat="1" ht="54.95" customHeight="1" x14ac:dyDescent="0.85">
      <c r="A33" s="169" t="s">
        <v>224</v>
      </c>
      <c r="B33" s="83">
        <f>SUM(B26:B32)</f>
        <v>4112543928.4899983</v>
      </c>
      <c r="C33" s="83"/>
      <c r="D33" s="83">
        <f t="shared" ref="D33:K33" si="15">SUM(D26:D32)</f>
        <v>62695310.809999987</v>
      </c>
      <c r="E33" s="83"/>
      <c r="F33" s="83">
        <f t="shared" si="15"/>
        <v>278193.64</v>
      </c>
      <c r="G33" s="83">
        <f t="shared" si="15"/>
        <v>0</v>
      </c>
      <c r="H33" s="83">
        <f>SUM(H26:H32)</f>
        <v>1648.2199999999998</v>
      </c>
      <c r="I33" s="83">
        <f>SUM(I26:I32)</f>
        <v>0</v>
      </c>
      <c r="J33" s="83"/>
      <c r="K33" s="83">
        <f t="shared" si="15"/>
        <v>0</v>
      </c>
      <c r="L33" s="83">
        <f t="shared" si="0"/>
        <v>4175519081.1599979</v>
      </c>
      <c r="M33" s="84">
        <f>SUM(M26:M32)</f>
        <v>1.0000000000000004</v>
      </c>
      <c r="N33" s="85"/>
      <c r="O33" s="80" t="s">
        <v>224</v>
      </c>
      <c r="P33" s="83">
        <f>SUM(P26:P32)</f>
        <v>2749616175.1799979</v>
      </c>
      <c r="Q33" s="83">
        <f t="shared" ref="Q33:V33" si="16">SUM(Q26:Q32)</f>
        <v>37721351.61999999</v>
      </c>
      <c r="R33" s="83">
        <f t="shared" si="16"/>
        <v>206226.66</v>
      </c>
      <c r="S33" s="83">
        <f t="shared" si="16"/>
        <v>0</v>
      </c>
      <c r="T33" s="83">
        <f>SUM(T26:T32)</f>
        <v>918.27</v>
      </c>
      <c r="U33" s="83">
        <f>SUM(U26:U32)</f>
        <v>0</v>
      </c>
      <c r="V33" s="83">
        <f t="shared" si="16"/>
        <v>0</v>
      </c>
      <c r="W33" s="83">
        <f t="shared" si="2"/>
        <v>2787544671.7299976</v>
      </c>
      <c r="X33" s="173">
        <f>SUM(X26:X32)</f>
        <v>1</v>
      </c>
      <c r="Y33" s="80" t="s">
        <v>224</v>
      </c>
      <c r="Z33" s="174"/>
      <c r="AA33" s="175">
        <f t="shared" si="4"/>
        <v>4175519081.1599979</v>
      </c>
      <c r="AB33" s="174"/>
      <c r="AC33" s="175">
        <f t="shared" si="5"/>
        <v>2787544671.7299976</v>
      </c>
      <c r="AD33" s="174"/>
      <c r="AE33" s="175">
        <f>SUM(AE26:AE32)</f>
        <v>1387974409.4300013</v>
      </c>
      <c r="AF33" s="175"/>
      <c r="AG33" s="173">
        <f>L33/W33</f>
        <v>1.4979200597235989</v>
      </c>
      <c r="AH33" s="175"/>
      <c r="AI33" s="173">
        <f t="shared" si="8"/>
        <v>0.49792005972359887</v>
      </c>
    </row>
    <row r="34" spans="1:35" s="19" customFormat="1" ht="54.95" customHeight="1" x14ac:dyDescent="0.85">
      <c r="A34" s="163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75"/>
      <c r="N34" s="75"/>
      <c r="O34" s="75"/>
      <c r="P34" s="81"/>
      <c r="Q34" s="81"/>
      <c r="R34" s="81"/>
      <c r="S34" s="81"/>
      <c r="T34" s="81"/>
      <c r="U34" s="81"/>
      <c r="V34" s="81"/>
      <c r="W34" s="81"/>
      <c r="X34" s="163"/>
      <c r="Y34" s="75"/>
      <c r="Z34" s="163"/>
      <c r="AA34" s="171"/>
      <c r="AB34" s="163"/>
      <c r="AC34" s="171"/>
      <c r="AD34" s="163"/>
      <c r="AE34" s="171"/>
      <c r="AF34" s="171"/>
      <c r="AG34" s="170"/>
      <c r="AH34" s="171"/>
      <c r="AI34" s="170"/>
    </row>
    <row r="35" spans="1:35" s="19" customFormat="1" ht="54.95" customHeight="1" thickBot="1" x14ac:dyDescent="0.9">
      <c r="A35" s="169" t="s">
        <v>211</v>
      </c>
      <c r="B35" s="86">
        <f>B23-B33</f>
        <v>4563189.6200017929</v>
      </c>
      <c r="C35" s="86"/>
      <c r="D35" s="86">
        <f t="shared" ref="D35:K35" si="17">D23-D33</f>
        <v>824175.7500000149</v>
      </c>
      <c r="E35" s="86"/>
      <c r="F35" s="86">
        <f t="shared" si="17"/>
        <v>2176061.2600000002</v>
      </c>
      <c r="G35" s="86">
        <f t="shared" si="17"/>
        <v>0</v>
      </c>
      <c r="H35" s="86">
        <f>H23-H33</f>
        <v>545715.75000000012</v>
      </c>
      <c r="I35" s="86">
        <f>I23-I33</f>
        <v>0</v>
      </c>
      <c r="J35" s="86"/>
      <c r="K35" s="86">
        <f t="shared" si="17"/>
        <v>0</v>
      </c>
      <c r="L35" s="86">
        <f t="shared" si="0"/>
        <v>8109142.3800018076</v>
      </c>
      <c r="M35" s="75"/>
      <c r="N35" s="75"/>
      <c r="O35" s="80" t="s">
        <v>211</v>
      </c>
      <c r="P35" s="86">
        <f>P23-P33</f>
        <v>4421861.7300019264</v>
      </c>
      <c r="Q35" s="86">
        <f t="shared" ref="Q35:V35" si="18">Q23-Q33</f>
        <v>576097.47999999672</v>
      </c>
      <c r="R35" s="86">
        <f t="shared" si="18"/>
        <v>1473969.87</v>
      </c>
      <c r="S35" s="86">
        <f t="shared" si="18"/>
        <v>0</v>
      </c>
      <c r="T35" s="86">
        <f>T23-T33</f>
        <v>551320.75</v>
      </c>
      <c r="U35" s="86">
        <f>U23-U33</f>
        <v>0</v>
      </c>
      <c r="V35" s="86">
        <f t="shared" si="18"/>
        <v>0</v>
      </c>
      <c r="W35" s="86">
        <f t="shared" si="2"/>
        <v>7023249.8300019233</v>
      </c>
      <c r="X35" s="163"/>
      <c r="Y35" s="80" t="s">
        <v>211</v>
      </c>
      <c r="Z35" s="163"/>
      <c r="AA35" s="177">
        <f t="shared" si="4"/>
        <v>8109142.3800018076</v>
      </c>
      <c r="AB35" s="163"/>
      <c r="AC35" s="177">
        <f t="shared" si="5"/>
        <v>7023249.8300019233</v>
      </c>
      <c r="AD35" s="163"/>
      <c r="AE35" s="177">
        <f>L35-W35</f>
        <v>1085892.5499998843</v>
      </c>
      <c r="AF35" s="177"/>
      <c r="AG35" s="178">
        <f>L35/W35</f>
        <v>1.154613971634779</v>
      </c>
      <c r="AH35" s="177"/>
      <c r="AI35" s="178">
        <f t="shared" si="8"/>
        <v>0.15461397163477897</v>
      </c>
    </row>
    <row r="36" spans="1:35" s="19" customFormat="1" ht="54.95" customHeight="1" x14ac:dyDescent="0.85">
      <c r="A36" s="163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>
        <f t="shared" si="0"/>
        <v>0</v>
      </c>
      <c r="M36" s="75"/>
      <c r="N36" s="75"/>
      <c r="O36" s="75"/>
      <c r="P36" s="81"/>
      <c r="Q36" s="81"/>
      <c r="R36" s="81"/>
      <c r="S36" s="81"/>
      <c r="T36" s="81"/>
      <c r="U36" s="81"/>
      <c r="V36" s="81"/>
      <c r="W36" s="81">
        <f t="shared" si="2"/>
        <v>0</v>
      </c>
      <c r="X36" s="163"/>
      <c r="Y36" s="75"/>
      <c r="Z36" s="163"/>
      <c r="AA36" s="171"/>
      <c r="AB36" s="163"/>
      <c r="AC36" s="171">
        <f t="shared" si="5"/>
        <v>0</v>
      </c>
      <c r="AD36" s="163"/>
      <c r="AE36" s="171"/>
      <c r="AF36" s="171"/>
      <c r="AG36" s="176"/>
      <c r="AH36" s="171"/>
      <c r="AI36" s="176"/>
    </row>
    <row r="37" spans="1:35" s="19" customFormat="1" ht="54.95" customHeight="1" x14ac:dyDescent="0.85">
      <c r="A37" s="169" t="s">
        <v>209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>
        <f t="shared" si="0"/>
        <v>0</v>
      </c>
      <c r="M37" s="75"/>
      <c r="N37" s="75"/>
      <c r="O37" s="80" t="s">
        <v>209</v>
      </c>
      <c r="P37" s="81"/>
      <c r="Q37" s="81"/>
      <c r="R37" s="81"/>
      <c r="S37" s="81"/>
      <c r="T37" s="81"/>
      <c r="U37" s="81"/>
      <c r="V37" s="81"/>
      <c r="W37" s="81">
        <f t="shared" si="2"/>
        <v>0</v>
      </c>
      <c r="X37" s="163"/>
      <c r="Y37" s="80" t="s">
        <v>209</v>
      </c>
      <c r="Z37" s="163"/>
      <c r="AA37" s="171"/>
      <c r="AB37" s="163"/>
      <c r="AC37" s="171">
        <f t="shared" si="5"/>
        <v>0</v>
      </c>
      <c r="AD37" s="163"/>
      <c r="AE37" s="171"/>
      <c r="AF37" s="171"/>
      <c r="AG37" s="176"/>
      <c r="AH37" s="171"/>
      <c r="AI37" s="176"/>
    </row>
    <row r="38" spans="1:35" s="19" customFormat="1" ht="54.95" customHeight="1" x14ac:dyDescent="0.85">
      <c r="A38" s="163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>
        <f t="shared" si="0"/>
        <v>0</v>
      </c>
      <c r="M38" s="75"/>
      <c r="N38" s="75"/>
      <c r="O38" s="75"/>
      <c r="P38" s="81"/>
      <c r="Q38" s="81"/>
      <c r="R38" s="81"/>
      <c r="S38" s="81"/>
      <c r="T38" s="81"/>
      <c r="U38" s="81"/>
      <c r="V38" s="81"/>
      <c r="W38" s="81">
        <f t="shared" si="2"/>
        <v>0</v>
      </c>
      <c r="X38" s="163"/>
      <c r="Y38" s="75"/>
      <c r="Z38" s="163"/>
      <c r="AA38" s="171"/>
      <c r="AB38" s="163"/>
      <c r="AC38" s="171">
        <f t="shared" si="5"/>
        <v>0</v>
      </c>
      <c r="AD38" s="163"/>
      <c r="AE38" s="171"/>
      <c r="AF38" s="171"/>
      <c r="AG38" s="176"/>
      <c r="AH38" s="171"/>
      <c r="AI38" s="176"/>
    </row>
    <row r="39" spans="1:35" s="19" customFormat="1" ht="54.95" customHeight="1" x14ac:dyDescent="0.85">
      <c r="A39" s="169" t="s">
        <v>225</v>
      </c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>
        <f t="shared" si="0"/>
        <v>0</v>
      </c>
      <c r="M39" s="75"/>
      <c r="N39" s="75"/>
      <c r="O39" s="80" t="s">
        <v>225</v>
      </c>
      <c r="P39" s="81"/>
      <c r="Q39" s="81"/>
      <c r="R39" s="81"/>
      <c r="S39" s="81"/>
      <c r="T39" s="81"/>
      <c r="U39" s="81"/>
      <c r="V39" s="81"/>
      <c r="W39" s="81">
        <f t="shared" si="2"/>
        <v>0</v>
      </c>
      <c r="X39" s="163"/>
      <c r="Y39" s="80" t="s">
        <v>225</v>
      </c>
      <c r="Z39" s="163"/>
      <c r="AA39" s="171"/>
      <c r="AB39" s="163"/>
      <c r="AC39" s="171">
        <f t="shared" si="5"/>
        <v>0</v>
      </c>
      <c r="AD39" s="163"/>
      <c r="AE39" s="171"/>
      <c r="AF39" s="171"/>
      <c r="AG39" s="176"/>
      <c r="AH39" s="171"/>
      <c r="AI39" s="176"/>
    </row>
    <row r="40" spans="1:35" s="19" customFormat="1" ht="54.95" customHeight="1" x14ac:dyDescent="0.85">
      <c r="A40" s="163" t="s">
        <v>226</v>
      </c>
      <c r="B40" s="81">
        <f>[1]CNT!N199</f>
        <v>2797645.5</v>
      </c>
      <c r="C40" s="81"/>
      <c r="D40" s="81">
        <v>0</v>
      </c>
      <c r="E40" s="81"/>
      <c r="F40" s="81">
        <f>[1]DEP!K29</f>
        <v>78047.460000000006</v>
      </c>
      <c r="G40" s="81">
        <v>0</v>
      </c>
      <c r="H40" s="81">
        <f>'[1]BSC (Dome)'!K24+'[1]BSC (Dome)'!K31</f>
        <v>228303.50999999998</v>
      </c>
      <c r="I40" s="81">
        <v>0</v>
      </c>
      <c r="J40" s="81"/>
      <c r="K40" s="81">
        <v>0</v>
      </c>
      <c r="L40" s="81">
        <f t="shared" si="0"/>
        <v>3103996.4699999997</v>
      </c>
      <c r="M40" s="82">
        <f>L40/$L$49</f>
        <v>0.7959906556437597</v>
      </c>
      <c r="N40" s="82"/>
      <c r="O40" s="75" t="s">
        <v>226</v>
      </c>
      <c r="P40" s="81">
        <f>2894234.42</f>
        <v>2894234.42</v>
      </c>
      <c r="Q40" s="81">
        <v>0</v>
      </c>
      <c r="R40" s="81">
        <v>112094.25</v>
      </c>
      <c r="S40" s="81">
        <v>0</v>
      </c>
      <c r="T40" s="81">
        <f>181500.67+46238</f>
        <v>227738.67</v>
      </c>
      <c r="U40" s="81">
        <v>0</v>
      </c>
      <c r="V40" s="81">
        <v>0</v>
      </c>
      <c r="W40" s="81">
        <f t="shared" si="2"/>
        <v>3234067.34</v>
      </c>
      <c r="X40" s="170">
        <f>W40/$W$49</f>
        <v>0.77143876110526055</v>
      </c>
      <c r="Y40" s="75" t="s">
        <v>226</v>
      </c>
      <c r="Z40" s="170"/>
      <c r="AA40" s="171">
        <f t="shared" si="4"/>
        <v>3103996.4699999997</v>
      </c>
      <c r="AB40" s="170"/>
      <c r="AC40" s="171">
        <f t="shared" si="5"/>
        <v>3234067.34</v>
      </c>
      <c r="AD40" s="170"/>
      <c r="AE40" s="171">
        <f>L40-W40</f>
        <v>-130070.87000000011</v>
      </c>
      <c r="AF40" s="171"/>
      <c r="AG40" s="170">
        <f>L40/W40</f>
        <v>0.95978102608092253</v>
      </c>
      <c r="AH40" s="171"/>
      <c r="AI40" s="170">
        <f t="shared" si="8"/>
        <v>-4.0218973919077472E-2</v>
      </c>
    </row>
    <row r="41" spans="1:35" s="19" customFormat="1" ht="54.95" customHeight="1" x14ac:dyDescent="0.85">
      <c r="A41" s="163" t="s">
        <v>227</v>
      </c>
      <c r="B41" s="81">
        <f>[1]CNT!N201</f>
        <v>26017</v>
      </c>
      <c r="C41" s="81"/>
      <c r="D41" s="81">
        <v>0</v>
      </c>
      <c r="E41" s="81"/>
      <c r="F41" s="81">
        <v>0</v>
      </c>
      <c r="G41" s="81">
        <v>0</v>
      </c>
      <c r="H41" s="81">
        <v>0</v>
      </c>
      <c r="I41" s="81">
        <v>0</v>
      </c>
      <c r="J41" s="81"/>
      <c r="K41" s="81">
        <v>0</v>
      </c>
      <c r="L41" s="81">
        <f t="shared" si="0"/>
        <v>26017</v>
      </c>
      <c r="M41" s="82">
        <f t="shared" ref="M41:M48" si="19">L41/$L$49</f>
        <v>6.6718145745454727E-3</v>
      </c>
      <c r="N41" s="82"/>
      <c r="O41" s="75" t="s">
        <v>227</v>
      </c>
      <c r="P41" s="81">
        <v>35293</v>
      </c>
      <c r="Q41" s="81">
        <v>0</v>
      </c>
      <c r="R41" s="81">
        <v>0</v>
      </c>
      <c r="S41" s="81">
        <v>0</v>
      </c>
      <c r="T41" s="81">
        <v>0</v>
      </c>
      <c r="U41" s="81">
        <v>0</v>
      </c>
      <c r="V41" s="81">
        <v>0</v>
      </c>
      <c r="W41" s="81">
        <f t="shared" si="2"/>
        <v>35293</v>
      </c>
      <c r="X41" s="170">
        <f t="shared" ref="X41:X48" si="20">W41/$W$49</f>
        <v>8.4186213004729706E-3</v>
      </c>
      <c r="Y41" s="75" t="s">
        <v>227</v>
      </c>
      <c r="Z41" s="170"/>
      <c r="AA41" s="171">
        <f t="shared" si="4"/>
        <v>26017</v>
      </c>
      <c r="AB41" s="170"/>
      <c r="AC41" s="171">
        <f t="shared" si="5"/>
        <v>35293</v>
      </c>
      <c r="AD41" s="170"/>
      <c r="AE41" s="171">
        <f t="shared" ref="AE41:AE48" si="21">L41-W41</f>
        <v>-9276</v>
      </c>
      <c r="AF41" s="171"/>
      <c r="AG41" s="170">
        <f t="shared" ref="AG41:AG48" si="22">L41/W41</f>
        <v>0.73717167710310827</v>
      </c>
      <c r="AH41" s="171"/>
      <c r="AI41" s="170">
        <f t="shared" si="8"/>
        <v>-0.26282832289689173</v>
      </c>
    </row>
    <row r="42" spans="1:35" s="19" customFormat="1" ht="54.95" customHeight="1" x14ac:dyDescent="0.85">
      <c r="A42" s="163" t="s">
        <v>228</v>
      </c>
      <c r="B42" s="81">
        <f>[1]CNT!N202</f>
        <v>234558.68999999997</v>
      </c>
      <c r="C42" s="81"/>
      <c r="D42" s="81">
        <v>0</v>
      </c>
      <c r="E42" s="81"/>
      <c r="F42" s="81">
        <f>[1]DEP!K30</f>
        <v>8076.880000000001</v>
      </c>
      <c r="G42" s="81">
        <v>0</v>
      </c>
      <c r="H42" s="81">
        <f>'[1]BSC (Dome)'!K25</f>
        <v>15186.350000000002</v>
      </c>
      <c r="I42" s="81">
        <v>0</v>
      </c>
      <c r="J42" s="81"/>
      <c r="K42" s="81">
        <v>0</v>
      </c>
      <c r="L42" s="81">
        <f t="shared" si="0"/>
        <v>257821.91999999998</v>
      </c>
      <c r="M42" s="82">
        <f t="shared" si="19"/>
        <v>6.6116002747945449E-2</v>
      </c>
      <c r="N42" s="82"/>
      <c r="O42" s="75" t="s">
        <v>228</v>
      </c>
      <c r="P42" s="81">
        <v>236561.39</v>
      </c>
      <c r="Q42" s="81">
        <v>0</v>
      </c>
      <c r="R42" s="81">
        <v>9171.99</v>
      </c>
      <c r="S42" s="81">
        <v>0</v>
      </c>
      <c r="T42" s="81">
        <v>15307.81</v>
      </c>
      <c r="U42" s="81">
        <v>0</v>
      </c>
      <c r="V42" s="81">
        <v>0</v>
      </c>
      <c r="W42" s="81">
        <f t="shared" si="2"/>
        <v>261041.19</v>
      </c>
      <c r="X42" s="170">
        <f t="shared" si="20"/>
        <v>6.2267501273193318E-2</v>
      </c>
      <c r="Y42" s="75" t="s">
        <v>228</v>
      </c>
      <c r="Z42" s="170"/>
      <c r="AA42" s="171">
        <f t="shared" si="4"/>
        <v>257821.91999999998</v>
      </c>
      <c r="AB42" s="170"/>
      <c r="AC42" s="171">
        <f t="shared" si="5"/>
        <v>261041.19</v>
      </c>
      <c r="AD42" s="170"/>
      <c r="AE42" s="171">
        <f t="shared" si="21"/>
        <v>-3219.2700000000186</v>
      </c>
      <c r="AF42" s="171"/>
      <c r="AG42" s="170">
        <f t="shared" si="22"/>
        <v>0.98766757843848318</v>
      </c>
      <c r="AH42" s="171"/>
      <c r="AI42" s="170">
        <f t="shared" si="8"/>
        <v>-1.2332421561516815E-2</v>
      </c>
    </row>
    <row r="43" spans="1:35" s="19" customFormat="1" ht="54.95" customHeight="1" x14ac:dyDescent="0.85">
      <c r="A43" s="163" t="s">
        <v>229</v>
      </c>
      <c r="B43" s="81">
        <f>[1]CNT!N203</f>
        <v>241692.67</v>
      </c>
      <c r="C43" s="81"/>
      <c r="D43" s="81">
        <v>0</v>
      </c>
      <c r="E43" s="81"/>
      <c r="F43" s="81">
        <f>[1]DEP!K31</f>
        <v>28097.99</v>
      </c>
      <c r="G43" s="81">
        <v>0</v>
      </c>
      <c r="H43" s="81">
        <f>'[1]BSC (Dome)'!K26</f>
        <v>44795.31</v>
      </c>
      <c r="I43" s="81">
        <v>0</v>
      </c>
      <c r="J43" s="81"/>
      <c r="K43" s="81">
        <v>0</v>
      </c>
      <c r="L43" s="81">
        <f t="shared" si="0"/>
        <v>314585.97000000003</v>
      </c>
      <c r="M43" s="82">
        <f t="shared" si="19"/>
        <v>8.0672608663317255E-2</v>
      </c>
      <c r="N43" s="82"/>
      <c r="O43" s="75" t="s">
        <v>229</v>
      </c>
      <c r="P43" s="81">
        <v>324070.93</v>
      </c>
      <c r="Q43" s="81">
        <v>0</v>
      </c>
      <c r="R43" s="81">
        <v>39220.35</v>
      </c>
      <c r="S43" s="81">
        <v>0</v>
      </c>
      <c r="T43" s="81">
        <v>43916.33</v>
      </c>
      <c r="U43" s="81">
        <v>0</v>
      </c>
      <c r="V43" s="81">
        <v>0</v>
      </c>
      <c r="W43" s="81">
        <f t="shared" si="2"/>
        <v>407207.61</v>
      </c>
      <c r="X43" s="170">
        <f t="shared" si="20"/>
        <v>9.7133331234541986E-2</v>
      </c>
      <c r="Y43" s="75" t="s">
        <v>229</v>
      </c>
      <c r="Z43" s="170"/>
      <c r="AA43" s="171">
        <f t="shared" si="4"/>
        <v>314585.97000000003</v>
      </c>
      <c r="AB43" s="170"/>
      <c r="AC43" s="171">
        <f t="shared" si="5"/>
        <v>407207.61</v>
      </c>
      <c r="AD43" s="170"/>
      <c r="AE43" s="171">
        <f t="shared" si="21"/>
        <v>-92621.639999999956</v>
      </c>
      <c r="AF43" s="171"/>
      <c r="AG43" s="170">
        <f t="shared" si="22"/>
        <v>0.77254442764466025</v>
      </c>
      <c r="AH43" s="171"/>
      <c r="AI43" s="170">
        <f t="shared" si="8"/>
        <v>-0.22745557235533975</v>
      </c>
    </row>
    <row r="44" spans="1:35" s="19" customFormat="1" ht="54.95" customHeight="1" x14ac:dyDescent="0.85">
      <c r="A44" s="163" t="s">
        <v>230</v>
      </c>
      <c r="B44" s="81">
        <f>[1]CNT!N204</f>
        <v>36031.53</v>
      </c>
      <c r="C44" s="81"/>
      <c r="D44" s="81">
        <v>0</v>
      </c>
      <c r="E44" s="81"/>
      <c r="F44" s="81">
        <f>[1]DEP!K32</f>
        <v>1952.82</v>
      </c>
      <c r="G44" s="81">
        <v>0</v>
      </c>
      <c r="H44" s="81">
        <f>'[1]BSC (Dome)'!K27</f>
        <v>2753.04</v>
      </c>
      <c r="I44" s="81">
        <v>0</v>
      </c>
      <c r="J44" s="81"/>
      <c r="K44" s="81">
        <v>0</v>
      </c>
      <c r="L44" s="81">
        <f t="shared" si="0"/>
        <v>40737.39</v>
      </c>
      <c r="M44" s="82">
        <f t="shared" si="19"/>
        <v>1.0446719926622708E-2</v>
      </c>
      <c r="N44" s="82"/>
      <c r="O44" s="75" t="s">
        <v>230</v>
      </c>
      <c r="P44" s="81">
        <v>50484.15</v>
      </c>
      <c r="Q44" s="81">
        <v>0</v>
      </c>
      <c r="R44" s="81">
        <v>4116.4799999999996</v>
      </c>
      <c r="S44" s="81">
        <v>0</v>
      </c>
      <c r="T44" s="81">
        <v>0</v>
      </c>
      <c r="U44" s="81">
        <v>0</v>
      </c>
      <c r="V44" s="81">
        <v>0</v>
      </c>
      <c r="W44" s="81">
        <f t="shared" si="2"/>
        <v>54600.630000000005</v>
      </c>
      <c r="X44" s="170">
        <f t="shared" si="20"/>
        <v>1.3024169856267349E-2</v>
      </c>
      <c r="Y44" s="75" t="s">
        <v>230</v>
      </c>
      <c r="Z44" s="170"/>
      <c r="AA44" s="171">
        <f t="shared" si="4"/>
        <v>40737.39</v>
      </c>
      <c r="AB44" s="170"/>
      <c r="AC44" s="171">
        <f t="shared" si="5"/>
        <v>54600.630000000005</v>
      </c>
      <c r="AD44" s="170"/>
      <c r="AE44" s="171">
        <f t="shared" si="21"/>
        <v>-13863.240000000005</v>
      </c>
      <c r="AF44" s="171"/>
      <c r="AG44" s="170">
        <f t="shared" si="22"/>
        <v>0.74609743513948457</v>
      </c>
      <c r="AH44" s="171"/>
      <c r="AI44" s="170">
        <f t="shared" si="8"/>
        <v>-0.25390256486051543</v>
      </c>
    </row>
    <row r="45" spans="1:35" s="19" customFormat="1" ht="54.95" customHeight="1" x14ac:dyDescent="0.85">
      <c r="A45" s="163" t="s">
        <v>231</v>
      </c>
      <c r="B45" s="81">
        <f>[1]CNT!N205</f>
        <v>80235</v>
      </c>
      <c r="C45" s="81"/>
      <c r="D45" s="81">
        <v>0</v>
      </c>
      <c r="E45" s="81"/>
      <c r="F45" s="81">
        <f>[1]DEP!K33</f>
        <v>2800</v>
      </c>
      <c r="G45" s="81">
        <v>0</v>
      </c>
      <c r="H45" s="81">
        <f>'[1]BSC (Dome)'!K29</f>
        <v>4250</v>
      </c>
      <c r="I45" s="81">
        <v>0</v>
      </c>
      <c r="J45" s="81"/>
      <c r="K45" s="81">
        <v>0</v>
      </c>
      <c r="L45" s="81">
        <f t="shared" si="0"/>
        <v>87285</v>
      </c>
      <c r="M45" s="82">
        <f t="shared" si="19"/>
        <v>2.2383416041019392E-2</v>
      </c>
      <c r="N45" s="82"/>
      <c r="O45" s="75" t="s">
        <v>231</v>
      </c>
      <c r="P45" s="81">
        <v>103212</v>
      </c>
      <c r="Q45" s="81">
        <v>0</v>
      </c>
      <c r="R45" s="81">
        <v>4095</v>
      </c>
      <c r="S45" s="81">
        <v>0</v>
      </c>
      <c r="T45" s="81">
        <v>20907</v>
      </c>
      <c r="U45" s="81">
        <v>0</v>
      </c>
      <c r="V45" s="81">
        <v>0</v>
      </c>
      <c r="W45" s="81">
        <f t="shared" si="2"/>
        <v>128214</v>
      </c>
      <c r="X45" s="170">
        <f t="shared" si="20"/>
        <v>3.0583546635843978E-2</v>
      </c>
      <c r="Y45" s="75" t="s">
        <v>231</v>
      </c>
      <c r="Z45" s="170"/>
      <c r="AA45" s="171">
        <f t="shared" si="4"/>
        <v>87285</v>
      </c>
      <c r="AB45" s="170"/>
      <c r="AC45" s="171">
        <f t="shared" si="5"/>
        <v>128214</v>
      </c>
      <c r="AD45" s="170"/>
      <c r="AE45" s="171">
        <f t="shared" si="21"/>
        <v>-40929</v>
      </c>
      <c r="AF45" s="171"/>
      <c r="AG45" s="170">
        <f t="shared" si="22"/>
        <v>0.6807758903083907</v>
      </c>
      <c r="AH45" s="171"/>
      <c r="AI45" s="170">
        <f t="shared" si="8"/>
        <v>-0.3192241096916093</v>
      </c>
    </row>
    <row r="46" spans="1:35" s="19" customFormat="1" ht="54.95" customHeight="1" x14ac:dyDescent="0.85">
      <c r="A46" s="163" t="s">
        <v>307</v>
      </c>
      <c r="B46" s="81">
        <f>[1]CNT!N207+[1]CNT!N206</f>
        <v>12577.039999999999</v>
      </c>
      <c r="C46" s="81"/>
      <c r="D46" s="81">
        <v>0</v>
      </c>
      <c r="E46" s="81"/>
      <c r="F46" s="81">
        <f>[1]DEP!K34</f>
        <v>1481.01</v>
      </c>
      <c r="G46" s="81">
        <v>0</v>
      </c>
      <c r="H46" s="81">
        <f>'[1]BSC (Dome)'!K28+'[1]BSC (Dome)'!K30</f>
        <v>2646.5699999999997</v>
      </c>
      <c r="I46" s="81">
        <v>0</v>
      </c>
      <c r="J46" s="81"/>
      <c r="K46" s="81">
        <v>0</v>
      </c>
      <c r="L46" s="81">
        <f t="shared" si="0"/>
        <v>16704.62</v>
      </c>
      <c r="M46" s="82">
        <f t="shared" si="19"/>
        <v>4.2837424444879804E-3</v>
      </c>
      <c r="N46" s="82"/>
      <c r="O46" s="75" t="s">
        <v>307</v>
      </c>
      <c r="P46" s="81">
        <f>4612.45+21275.67</f>
        <v>25888.12</v>
      </c>
      <c r="Q46" s="81">
        <v>0</v>
      </c>
      <c r="R46" s="81">
        <v>103.09</v>
      </c>
      <c r="S46" s="81">
        <v>0</v>
      </c>
      <c r="T46" s="81">
        <v>0</v>
      </c>
      <c r="U46" s="81">
        <v>0</v>
      </c>
      <c r="V46" s="81">
        <v>0</v>
      </c>
      <c r="W46" s="81">
        <f t="shared" si="2"/>
        <v>25991.21</v>
      </c>
      <c r="X46" s="170">
        <f t="shared" si="20"/>
        <v>6.1998173612633116E-3</v>
      </c>
      <c r="Y46" s="75" t="s">
        <v>307</v>
      </c>
      <c r="Z46" s="170"/>
      <c r="AA46" s="171">
        <f t="shared" si="4"/>
        <v>16704.62</v>
      </c>
      <c r="AB46" s="170"/>
      <c r="AC46" s="171">
        <f t="shared" si="5"/>
        <v>25991.21</v>
      </c>
      <c r="AD46" s="170"/>
      <c r="AE46" s="171">
        <f t="shared" si="21"/>
        <v>-9286.59</v>
      </c>
      <c r="AF46" s="171"/>
      <c r="AG46" s="170">
        <f t="shared" si="22"/>
        <v>0.64270266755568517</v>
      </c>
      <c r="AH46" s="171"/>
      <c r="AI46" s="170">
        <f t="shared" si="8"/>
        <v>-0.35729733244431483</v>
      </c>
    </row>
    <row r="47" spans="1:35" s="19" customFormat="1" ht="54.95" customHeight="1" x14ac:dyDescent="0.85">
      <c r="A47" s="163" t="s">
        <v>232</v>
      </c>
      <c r="B47" s="81">
        <f>[1]CNT!N208+[1]CNT!N209</f>
        <v>6741.74</v>
      </c>
      <c r="C47" s="81"/>
      <c r="D47" s="81">
        <v>0</v>
      </c>
      <c r="E47" s="81"/>
      <c r="F47" s="81">
        <v>0</v>
      </c>
      <c r="G47" s="81">
        <v>0</v>
      </c>
      <c r="H47" s="81">
        <v>0</v>
      </c>
      <c r="I47" s="81">
        <v>0</v>
      </c>
      <c r="J47" s="81"/>
      <c r="K47" s="81">
        <v>0</v>
      </c>
      <c r="L47" s="81">
        <f t="shared" si="0"/>
        <v>6741.74</v>
      </c>
      <c r="M47" s="82">
        <f t="shared" si="19"/>
        <v>1.7288557170233383E-3</v>
      </c>
      <c r="N47" s="82"/>
      <c r="O47" s="75" t="s">
        <v>232</v>
      </c>
      <c r="P47" s="81">
        <v>0</v>
      </c>
      <c r="Q47" s="81">
        <v>0</v>
      </c>
      <c r="R47" s="81">
        <v>0</v>
      </c>
      <c r="S47" s="81">
        <v>0</v>
      </c>
      <c r="T47" s="81">
        <v>0</v>
      </c>
      <c r="U47" s="81">
        <v>0</v>
      </c>
      <c r="V47" s="81">
        <v>0</v>
      </c>
      <c r="W47" s="81">
        <f t="shared" si="2"/>
        <v>0</v>
      </c>
      <c r="X47" s="170">
        <f t="shared" si="20"/>
        <v>0</v>
      </c>
      <c r="Y47" s="75" t="s">
        <v>232</v>
      </c>
      <c r="Z47" s="170"/>
      <c r="AA47" s="171">
        <f t="shared" si="4"/>
        <v>6741.74</v>
      </c>
      <c r="AB47" s="170"/>
      <c r="AC47" s="171">
        <f t="shared" si="5"/>
        <v>0</v>
      </c>
      <c r="AD47" s="170"/>
      <c r="AE47" s="171">
        <f t="shared" si="21"/>
        <v>6741.74</v>
      </c>
      <c r="AF47" s="171"/>
      <c r="AG47" s="170" t="e">
        <f t="shared" si="22"/>
        <v>#DIV/0!</v>
      </c>
      <c r="AH47" s="171"/>
      <c r="AI47" s="170" t="e">
        <f t="shared" si="8"/>
        <v>#DIV/0!</v>
      </c>
    </row>
    <row r="48" spans="1:35" s="19" customFormat="1" ht="54.95" customHeight="1" x14ac:dyDescent="0.85">
      <c r="A48" s="163" t="s">
        <v>246</v>
      </c>
      <c r="B48" s="81">
        <f>[1]CNT!N234</f>
        <v>45648.72</v>
      </c>
      <c r="C48" s="81"/>
      <c r="D48" s="81">
        <v>0</v>
      </c>
      <c r="E48" s="81"/>
      <c r="F48" s="81">
        <v>0</v>
      </c>
      <c r="G48" s="81">
        <v>0</v>
      </c>
      <c r="H48" s="81">
        <v>0</v>
      </c>
      <c r="I48" s="81">
        <v>0</v>
      </c>
      <c r="J48" s="81"/>
      <c r="K48" s="81">
        <v>0</v>
      </c>
      <c r="L48" s="81">
        <f t="shared" si="0"/>
        <v>45648.72</v>
      </c>
      <c r="M48" s="82">
        <f t="shared" si="19"/>
        <v>1.1706184241278603E-2</v>
      </c>
      <c r="N48" s="82"/>
      <c r="O48" s="75" t="s">
        <v>246</v>
      </c>
      <c r="P48" s="81">
        <v>45839.16</v>
      </c>
      <c r="Q48" s="81">
        <v>0</v>
      </c>
      <c r="R48" s="81">
        <v>0</v>
      </c>
      <c r="S48" s="81">
        <v>0</v>
      </c>
      <c r="T48" s="81">
        <v>0</v>
      </c>
      <c r="U48" s="81">
        <v>0</v>
      </c>
      <c r="V48" s="81">
        <v>0</v>
      </c>
      <c r="W48" s="81">
        <f t="shared" si="2"/>
        <v>45839.16</v>
      </c>
      <c r="X48" s="170">
        <f t="shared" si="20"/>
        <v>1.0934251233156394E-2</v>
      </c>
      <c r="Y48" s="75" t="s">
        <v>246</v>
      </c>
      <c r="Z48" s="170"/>
      <c r="AA48" s="171">
        <f t="shared" si="4"/>
        <v>45648.72</v>
      </c>
      <c r="AB48" s="170"/>
      <c r="AC48" s="171">
        <f t="shared" si="5"/>
        <v>45839.16</v>
      </c>
      <c r="AD48" s="170"/>
      <c r="AE48" s="171">
        <f t="shared" si="21"/>
        <v>-190.44000000000233</v>
      </c>
      <c r="AF48" s="171"/>
      <c r="AG48" s="170">
        <f t="shared" si="22"/>
        <v>0.99584547360815512</v>
      </c>
      <c r="AH48" s="171"/>
      <c r="AI48" s="170">
        <f t="shared" si="8"/>
        <v>-4.1545263918448816E-3</v>
      </c>
    </row>
    <row r="49" spans="1:35" s="19" customFormat="1" ht="54.95" customHeight="1" x14ac:dyDescent="0.85">
      <c r="A49" s="169" t="s">
        <v>233</v>
      </c>
      <c r="B49" s="83">
        <f t="shared" ref="B49:K49" si="23">SUM(B40:B48)</f>
        <v>3481147.89</v>
      </c>
      <c r="C49" s="83"/>
      <c r="D49" s="83">
        <f t="shared" si="23"/>
        <v>0</v>
      </c>
      <c r="E49" s="83"/>
      <c r="F49" s="83">
        <f t="shared" si="23"/>
        <v>120456.16000000002</v>
      </c>
      <c r="G49" s="83">
        <f t="shared" si="23"/>
        <v>0</v>
      </c>
      <c r="H49" s="83">
        <f>SUM(H40:H48)</f>
        <v>297934.77999999997</v>
      </c>
      <c r="I49" s="83">
        <f t="shared" si="23"/>
        <v>0</v>
      </c>
      <c r="J49" s="83"/>
      <c r="K49" s="83">
        <f t="shared" si="23"/>
        <v>0</v>
      </c>
      <c r="L49" s="83">
        <f t="shared" si="0"/>
        <v>3899538.83</v>
      </c>
      <c r="M49" s="84">
        <f>SUM(M40:M48)</f>
        <v>0.99999999999999978</v>
      </c>
      <c r="N49" s="85"/>
      <c r="O49" s="80" t="s">
        <v>233</v>
      </c>
      <c r="P49" s="83">
        <f t="shared" ref="P49:V49" si="24">SUM(P40:P48)</f>
        <v>3715583.1700000004</v>
      </c>
      <c r="Q49" s="83">
        <f t="shared" si="24"/>
        <v>0</v>
      </c>
      <c r="R49" s="83">
        <f t="shared" si="24"/>
        <v>168801.16</v>
      </c>
      <c r="S49" s="83">
        <f t="shared" si="24"/>
        <v>0</v>
      </c>
      <c r="T49" s="83">
        <f t="shared" si="24"/>
        <v>307869.81</v>
      </c>
      <c r="U49" s="83">
        <f>SUM(U40:U48)</f>
        <v>0</v>
      </c>
      <c r="V49" s="83">
        <f t="shared" si="24"/>
        <v>0</v>
      </c>
      <c r="W49" s="83">
        <f t="shared" si="2"/>
        <v>4192254.1400000006</v>
      </c>
      <c r="X49" s="173">
        <f>SUM(X40:X48)</f>
        <v>0.99999999999999989</v>
      </c>
      <c r="Y49" s="80" t="s">
        <v>233</v>
      </c>
      <c r="Z49" s="174"/>
      <c r="AA49" s="175">
        <f t="shared" si="4"/>
        <v>3899538.83</v>
      </c>
      <c r="AB49" s="174"/>
      <c r="AC49" s="175">
        <f t="shared" si="5"/>
        <v>4192254.1400000006</v>
      </c>
      <c r="AD49" s="174"/>
      <c r="AE49" s="175">
        <f>L49-W49</f>
        <v>-292715.31000000052</v>
      </c>
      <c r="AF49" s="175"/>
      <c r="AG49" s="173">
        <f>L49/W49</f>
        <v>0.93017710753575633</v>
      </c>
      <c r="AH49" s="175"/>
      <c r="AI49" s="173">
        <f t="shared" si="8"/>
        <v>-6.9822892464243669E-2</v>
      </c>
    </row>
    <row r="50" spans="1:35" s="19" customFormat="1" ht="54.95" customHeight="1" x14ac:dyDescent="0.85">
      <c r="A50" s="163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75"/>
      <c r="N50" s="75"/>
      <c r="O50" s="75"/>
      <c r="P50" s="81"/>
      <c r="Q50" s="81"/>
      <c r="R50" s="81"/>
      <c r="S50" s="81"/>
      <c r="T50" s="81"/>
      <c r="U50" s="81"/>
      <c r="V50" s="81"/>
      <c r="W50" s="81"/>
      <c r="X50" s="163"/>
      <c r="Y50" s="75"/>
      <c r="Z50" s="163"/>
      <c r="AA50" s="171"/>
      <c r="AB50" s="163"/>
      <c r="AC50" s="171">
        <f t="shared" si="5"/>
        <v>0</v>
      </c>
      <c r="AD50" s="163"/>
      <c r="AE50" s="171"/>
      <c r="AF50" s="171"/>
      <c r="AG50" s="176"/>
      <c r="AH50" s="171"/>
      <c r="AI50" s="176"/>
    </row>
    <row r="51" spans="1:35" s="19" customFormat="1" ht="54.95" customHeight="1" x14ac:dyDescent="0.85">
      <c r="A51" s="169" t="s">
        <v>550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75"/>
      <c r="N51" s="75"/>
      <c r="O51" s="80" t="s">
        <v>550</v>
      </c>
      <c r="P51" s="81"/>
      <c r="Q51" s="81"/>
      <c r="R51" s="81"/>
      <c r="S51" s="81"/>
      <c r="T51" s="81"/>
      <c r="U51" s="81"/>
      <c r="V51" s="81"/>
      <c r="W51" s="81"/>
      <c r="X51" s="163"/>
      <c r="Y51" s="80" t="s">
        <v>550</v>
      </c>
      <c r="Z51" s="163"/>
      <c r="AA51" s="171"/>
      <c r="AB51" s="163"/>
      <c r="AC51" s="171">
        <f t="shared" si="5"/>
        <v>0</v>
      </c>
      <c r="AD51" s="163"/>
      <c r="AE51" s="171"/>
      <c r="AF51" s="171"/>
      <c r="AG51" s="176"/>
      <c r="AH51" s="171"/>
      <c r="AI51" s="176"/>
    </row>
    <row r="52" spans="1:35" s="19" customFormat="1" ht="54.95" customHeight="1" x14ac:dyDescent="0.85">
      <c r="A52" s="163" t="s">
        <v>234</v>
      </c>
      <c r="B52" s="81">
        <f>[1]CNT!N212+[1]CNT!N213+[1]CNT!N230</f>
        <v>387800</v>
      </c>
      <c r="C52" s="81"/>
      <c r="D52" s="81">
        <v>0</v>
      </c>
      <c r="E52" s="81"/>
      <c r="F52" s="81">
        <f>[1]DEP!K38</f>
        <v>337500</v>
      </c>
      <c r="G52" s="81">
        <v>0</v>
      </c>
      <c r="H52" s="81">
        <f>'[1]BSC (Dome)'!K35</f>
        <v>9000</v>
      </c>
      <c r="I52" s="81">
        <v>0</v>
      </c>
      <c r="J52" s="81"/>
      <c r="K52" s="81">
        <v>0</v>
      </c>
      <c r="L52" s="81">
        <f t="shared" ref="L52:L74" si="25">SUM(B52:K52)</f>
        <v>734300</v>
      </c>
      <c r="M52" s="82">
        <f t="shared" ref="M52:M73" si="26">L52/$L$74</f>
        <v>0.22135869120587071</v>
      </c>
      <c r="N52" s="82"/>
      <c r="O52" s="75" t="s">
        <v>234</v>
      </c>
      <c r="P52" s="81">
        <v>265300</v>
      </c>
      <c r="Q52" s="81">
        <v>0</v>
      </c>
      <c r="R52" s="81">
        <v>225000</v>
      </c>
      <c r="S52" s="81">
        <v>0</v>
      </c>
      <c r="T52" s="81">
        <v>9000</v>
      </c>
      <c r="U52" s="81">
        <v>0</v>
      </c>
      <c r="V52" s="81">
        <v>0</v>
      </c>
      <c r="W52" s="81">
        <f t="shared" si="2"/>
        <v>499300</v>
      </c>
      <c r="X52" s="170">
        <f t="shared" ref="X52:X69" si="27">W52/$W$74</f>
        <v>0.24266270928322159</v>
      </c>
      <c r="Y52" s="75" t="s">
        <v>234</v>
      </c>
      <c r="Z52" s="170"/>
      <c r="AA52" s="171">
        <f t="shared" si="4"/>
        <v>734300</v>
      </c>
      <c r="AB52" s="170"/>
      <c r="AC52" s="171">
        <f t="shared" si="5"/>
        <v>499300</v>
      </c>
      <c r="AD52" s="170"/>
      <c r="AE52" s="171">
        <f>L52-W52</f>
        <v>235000</v>
      </c>
      <c r="AF52" s="171"/>
      <c r="AG52" s="170">
        <f>L52/W52</f>
        <v>1.4706589224914881</v>
      </c>
      <c r="AH52" s="171"/>
      <c r="AI52" s="170">
        <f t="shared" si="8"/>
        <v>0.47065892249148811</v>
      </c>
    </row>
    <row r="53" spans="1:35" s="19" customFormat="1" ht="54.95" customHeight="1" x14ac:dyDescent="0.85">
      <c r="A53" s="163" t="s">
        <v>235</v>
      </c>
      <c r="B53" s="81">
        <f>[1]CNT!N214</f>
        <v>893.98000000000138</v>
      </c>
      <c r="C53" s="81"/>
      <c r="D53" s="81">
        <v>0</v>
      </c>
      <c r="E53" s="81"/>
      <c r="F53" s="81">
        <f>[1]DEP!K39</f>
        <v>62173.06</v>
      </c>
      <c r="G53" s="81">
        <v>0</v>
      </c>
      <c r="H53" s="81">
        <f>'[1]BSC (Dome)'!K37</f>
        <v>5384.5</v>
      </c>
      <c r="I53" s="81">
        <v>0</v>
      </c>
      <c r="J53" s="81"/>
      <c r="K53" s="81">
        <v>0</v>
      </c>
      <c r="L53" s="81">
        <f t="shared" si="25"/>
        <v>68451.540000000008</v>
      </c>
      <c r="M53" s="82">
        <f t="shared" si="26"/>
        <v>2.0635085531017717E-2</v>
      </c>
      <c r="N53" s="82"/>
      <c r="O53" s="75" t="s">
        <v>235</v>
      </c>
      <c r="P53" s="81">
        <v>68157.75</v>
      </c>
      <c r="Q53" s="81">
        <v>0</v>
      </c>
      <c r="R53" s="81">
        <v>52131.88</v>
      </c>
      <c r="S53" s="81">
        <v>0</v>
      </c>
      <c r="T53" s="81">
        <v>35511.370000000003</v>
      </c>
      <c r="U53" s="81">
        <v>0</v>
      </c>
      <c r="V53" s="81">
        <v>0</v>
      </c>
      <c r="W53" s="81">
        <f t="shared" si="2"/>
        <v>155801</v>
      </c>
      <c r="X53" s="170">
        <f t="shared" si="27"/>
        <v>7.5720193809403577E-2</v>
      </c>
      <c r="Y53" s="75" t="s">
        <v>235</v>
      </c>
      <c r="Z53" s="170"/>
      <c r="AA53" s="171">
        <f t="shared" si="4"/>
        <v>68451.540000000008</v>
      </c>
      <c r="AB53" s="170"/>
      <c r="AC53" s="171">
        <f t="shared" si="5"/>
        <v>155801</v>
      </c>
      <c r="AD53" s="170"/>
      <c r="AE53" s="171">
        <f t="shared" ref="AE53:AE73" si="28">L53-W53</f>
        <v>-87349.459999999992</v>
      </c>
      <c r="AF53" s="171"/>
      <c r="AG53" s="170">
        <f t="shared" ref="AG53:AG71" si="29">L53/W53</f>
        <v>0.43935237899628377</v>
      </c>
      <c r="AH53" s="171"/>
      <c r="AI53" s="170">
        <f t="shared" si="8"/>
        <v>-0.56064762100371623</v>
      </c>
    </row>
    <row r="54" spans="1:35" s="19" customFormat="1" ht="54.95" customHeight="1" x14ac:dyDescent="0.85">
      <c r="A54" s="163" t="s">
        <v>236</v>
      </c>
      <c r="B54" s="81">
        <f>[1]CNT!N215</f>
        <v>8811.7099999999991</v>
      </c>
      <c r="C54" s="81"/>
      <c r="D54" s="81">
        <v>0</v>
      </c>
      <c r="E54" s="81"/>
      <c r="F54" s="81">
        <v>0</v>
      </c>
      <c r="G54" s="81">
        <v>0</v>
      </c>
      <c r="H54" s="81">
        <f>'[1]BSC (Dome)'!K36</f>
        <v>60025.37</v>
      </c>
      <c r="I54" s="81">
        <v>0</v>
      </c>
      <c r="J54" s="81"/>
      <c r="K54" s="81">
        <v>0</v>
      </c>
      <c r="L54" s="81">
        <f t="shared" si="25"/>
        <v>68837.08</v>
      </c>
      <c r="M54" s="82">
        <f t="shared" si="26"/>
        <v>2.0751308641200897E-2</v>
      </c>
      <c r="N54" s="82"/>
      <c r="O54" s="75" t="s">
        <v>236</v>
      </c>
      <c r="P54" s="81">
        <v>7035.48</v>
      </c>
      <c r="Q54" s="81">
        <v>0</v>
      </c>
      <c r="R54" s="81">
        <v>0</v>
      </c>
      <c r="S54" s="81">
        <v>0</v>
      </c>
      <c r="T54" s="81">
        <v>69140.490000000005</v>
      </c>
      <c r="U54" s="81">
        <v>0</v>
      </c>
      <c r="V54" s="81">
        <v>0</v>
      </c>
      <c r="W54" s="81">
        <f t="shared" si="2"/>
        <v>76175.97</v>
      </c>
      <c r="X54" s="170">
        <f t="shared" si="27"/>
        <v>3.7021965276341696E-2</v>
      </c>
      <c r="Y54" s="75" t="s">
        <v>236</v>
      </c>
      <c r="Z54" s="170"/>
      <c r="AA54" s="171">
        <f t="shared" si="4"/>
        <v>68837.08</v>
      </c>
      <c r="AB54" s="170"/>
      <c r="AC54" s="171">
        <f t="shared" si="5"/>
        <v>76175.97</v>
      </c>
      <c r="AD54" s="170"/>
      <c r="AE54" s="171">
        <f t="shared" si="28"/>
        <v>-7338.8899999999994</v>
      </c>
      <c r="AF54" s="171"/>
      <c r="AG54" s="170">
        <f t="shared" si="29"/>
        <v>0.90365872597355834</v>
      </c>
      <c r="AH54" s="171"/>
      <c r="AI54" s="170">
        <f t="shared" si="8"/>
        <v>-9.6341274026441659E-2</v>
      </c>
    </row>
    <row r="55" spans="1:35" s="19" customFormat="1" ht="54.95" customHeight="1" x14ac:dyDescent="0.85">
      <c r="A55" s="163" t="s">
        <v>337</v>
      </c>
      <c r="B55" s="81">
        <f>[1]CNT!N216</f>
        <v>579.03</v>
      </c>
      <c r="C55" s="81"/>
      <c r="D55" s="81">
        <v>0</v>
      </c>
      <c r="E55" s="81"/>
      <c r="F55" s="81">
        <v>0</v>
      </c>
      <c r="G55" s="81">
        <v>0</v>
      </c>
      <c r="H55" s="81">
        <f>'[1]BSC (Dome)'!K38</f>
        <v>2032.02</v>
      </c>
      <c r="I55" s="81">
        <v>0</v>
      </c>
      <c r="J55" s="81"/>
      <c r="K55" s="81">
        <v>0</v>
      </c>
      <c r="L55" s="81">
        <f t="shared" si="25"/>
        <v>2611.0500000000002</v>
      </c>
      <c r="M55" s="82">
        <f t="shared" si="26"/>
        <v>7.8711509011723921E-4</v>
      </c>
      <c r="N55" s="82"/>
      <c r="O55" s="75" t="s">
        <v>337</v>
      </c>
      <c r="P55" s="81">
        <v>1186.8699999999999</v>
      </c>
      <c r="Q55" s="81">
        <v>0</v>
      </c>
      <c r="R55" s="81">
        <v>0</v>
      </c>
      <c r="S55" s="81">
        <v>0</v>
      </c>
      <c r="T55" s="81">
        <v>1166.22</v>
      </c>
      <c r="U55" s="81">
        <v>0</v>
      </c>
      <c r="V55" s="81">
        <v>0</v>
      </c>
      <c r="W55" s="81">
        <f t="shared" si="2"/>
        <v>2353.09</v>
      </c>
      <c r="X55" s="170">
        <f t="shared" si="27"/>
        <v>1.1436154508056397E-3</v>
      </c>
      <c r="Y55" s="75" t="s">
        <v>337</v>
      </c>
      <c r="Z55" s="170"/>
      <c r="AA55" s="171">
        <f t="shared" si="4"/>
        <v>2611.0500000000002</v>
      </c>
      <c r="AB55" s="170"/>
      <c r="AC55" s="171">
        <f t="shared" si="5"/>
        <v>2353.09</v>
      </c>
      <c r="AD55" s="170"/>
      <c r="AE55" s="171">
        <f t="shared" si="28"/>
        <v>257.96000000000004</v>
      </c>
      <c r="AF55" s="171"/>
      <c r="AG55" s="170">
        <f t="shared" si="29"/>
        <v>1.109626066151316</v>
      </c>
      <c r="AH55" s="171"/>
      <c r="AI55" s="170">
        <f t="shared" si="8"/>
        <v>0.10962606615131598</v>
      </c>
    </row>
    <row r="56" spans="1:35" s="19" customFormat="1" ht="54.95" customHeight="1" x14ac:dyDescent="0.85">
      <c r="A56" s="163" t="s">
        <v>290</v>
      </c>
      <c r="B56" s="81">
        <f>[1]CNT!N217</f>
        <v>178.45</v>
      </c>
      <c r="C56" s="81"/>
      <c r="D56" s="81">
        <v>0</v>
      </c>
      <c r="E56" s="81"/>
      <c r="F56" s="81">
        <f>[1]DEP!K40</f>
        <v>1350</v>
      </c>
      <c r="G56" s="81">
        <v>0</v>
      </c>
      <c r="H56" s="81">
        <f>'[1]BSC (Dome)'!K39</f>
        <v>5749.14</v>
      </c>
      <c r="I56" s="81">
        <v>0</v>
      </c>
      <c r="J56" s="81"/>
      <c r="K56" s="81">
        <v>0</v>
      </c>
      <c r="L56" s="81">
        <f t="shared" si="25"/>
        <v>7277.59</v>
      </c>
      <c r="M56" s="82">
        <f t="shared" si="26"/>
        <v>2.1938687151476679E-3</v>
      </c>
      <c r="N56" s="82"/>
      <c r="O56" s="75" t="s">
        <v>290</v>
      </c>
      <c r="P56" s="81">
        <v>0</v>
      </c>
      <c r="Q56" s="81">
        <v>0</v>
      </c>
      <c r="R56" s="81">
        <v>1143.5</v>
      </c>
      <c r="S56" s="81">
        <v>0</v>
      </c>
      <c r="T56" s="81">
        <v>4218.58</v>
      </c>
      <c r="U56" s="81">
        <v>0</v>
      </c>
      <c r="V56" s="81">
        <v>0</v>
      </c>
      <c r="W56" s="81">
        <f t="shared" si="2"/>
        <v>5362.08</v>
      </c>
      <c r="X56" s="170">
        <f t="shared" si="27"/>
        <v>2.6060021233594568E-3</v>
      </c>
      <c r="Y56" s="75" t="s">
        <v>290</v>
      </c>
      <c r="Z56" s="170"/>
      <c r="AA56" s="171">
        <f t="shared" si="4"/>
        <v>7277.59</v>
      </c>
      <c r="AB56" s="170"/>
      <c r="AC56" s="171">
        <f t="shared" si="5"/>
        <v>5362.08</v>
      </c>
      <c r="AD56" s="170"/>
      <c r="AE56" s="171">
        <f t="shared" si="28"/>
        <v>1915.5100000000002</v>
      </c>
      <c r="AF56" s="171"/>
      <c r="AG56" s="170">
        <f t="shared" si="29"/>
        <v>1.3572326410646616</v>
      </c>
      <c r="AH56" s="171"/>
      <c r="AI56" s="170">
        <f t="shared" si="8"/>
        <v>0.35723264106466157</v>
      </c>
    </row>
    <row r="57" spans="1:35" s="19" customFormat="1" ht="54.95" customHeight="1" x14ac:dyDescent="0.85">
      <c r="A57" s="75" t="s">
        <v>445</v>
      </c>
      <c r="B57" s="103">
        <f>[1]CNT!N218</f>
        <v>19715</v>
      </c>
      <c r="C57" s="103"/>
      <c r="D57" s="81">
        <v>0</v>
      </c>
      <c r="E57" s="81"/>
      <c r="F57" s="81">
        <f>[1]DEP!K41</f>
        <v>19724.2</v>
      </c>
      <c r="G57" s="81">
        <v>0</v>
      </c>
      <c r="H57" s="81">
        <v>0</v>
      </c>
      <c r="I57" s="81">
        <v>0</v>
      </c>
      <c r="J57" s="81"/>
      <c r="K57" s="81">
        <v>0</v>
      </c>
      <c r="L57" s="81">
        <f t="shared" si="25"/>
        <v>39439.199999999997</v>
      </c>
      <c r="M57" s="82">
        <f t="shared" si="26"/>
        <v>1.1889159327531765E-2</v>
      </c>
      <c r="N57" s="82"/>
      <c r="O57" s="75" t="s">
        <v>445</v>
      </c>
      <c r="P57" s="81">
        <v>9589</v>
      </c>
      <c r="Q57" s="81">
        <v>0</v>
      </c>
      <c r="R57" s="81">
        <v>5293</v>
      </c>
      <c r="S57" s="81">
        <v>0</v>
      </c>
      <c r="T57" s="81">
        <v>0</v>
      </c>
      <c r="U57" s="81">
        <v>0</v>
      </c>
      <c r="V57" s="81">
        <v>0</v>
      </c>
      <c r="W57" s="81">
        <f t="shared" si="2"/>
        <v>14882</v>
      </c>
      <c r="X57" s="170">
        <f t="shared" si="27"/>
        <v>7.2327387133044336E-3</v>
      </c>
      <c r="Y57" s="75" t="s">
        <v>445</v>
      </c>
      <c r="Z57" s="170"/>
      <c r="AA57" s="171">
        <f t="shared" si="4"/>
        <v>39439.199999999997</v>
      </c>
      <c r="AB57" s="170"/>
      <c r="AC57" s="171">
        <f t="shared" si="5"/>
        <v>14882</v>
      </c>
      <c r="AD57" s="170"/>
      <c r="AE57" s="171">
        <f t="shared" si="28"/>
        <v>24557.199999999997</v>
      </c>
      <c r="AF57" s="171"/>
      <c r="AG57" s="170">
        <f t="shared" si="29"/>
        <v>2.6501276710119606</v>
      </c>
      <c r="AH57" s="171"/>
      <c r="AI57" s="170">
        <f t="shared" si="8"/>
        <v>1.6501276710119606</v>
      </c>
    </row>
    <row r="58" spans="1:35" s="19" customFormat="1" ht="54.95" customHeight="1" x14ac:dyDescent="0.85">
      <c r="A58" s="163" t="s">
        <v>373</v>
      </c>
      <c r="B58" s="81">
        <f>[1]CNT!N219+[1]CNT!N227</f>
        <v>102062.59999999999</v>
      </c>
      <c r="C58" s="81"/>
      <c r="D58" s="81">
        <v>0</v>
      </c>
      <c r="E58" s="81"/>
      <c r="F58" s="81">
        <f>[1]DEP!K42</f>
        <v>26534.739999999998</v>
      </c>
      <c r="G58" s="81">
        <v>0</v>
      </c>
      <c r="H58" s="81">
        <f>'[1]BSC (Dome)'!K41</f>
        <v>2914.58</v>
      </c>
      <c r="I58" s="81">
        <v>0</v>
      </c>
      <c r="J58" s="81"/>
      <c r="K58" s="81">
        <v>0</v>
      </c>
      <c r="L58" s="81">
        <f t="shared" si="25"/>
        <v>131511.91999999998</v>
      </c>
      <c r="M58" s="82">
        <f t="shared" si="26"/>
        <v>3.9644976833952295E-2</v>
      </c>
      <c r="N58" s="82"/>
      <c r="O58" s="75" t="s">
        <v>237</v>
      </c>
      <c r="P58" s="81">
        <v>123797.52</v>
      </c>
      <c r="Q58" s="81">
        <v>0</v>
      </c>
      <c r="R58" s="81">
        <v>0</v>
      </c>
      <c r="S58" s="81">
        <v>0</v>
      </c>
      <c r="T58" s="81">
        <v>712.05</v>
      </c>
      <c r="U58" s="81">
        <v>0</v>
      </c>
      <c r="V58" s="81">
        <v>0</v>
      </c>
      <c r="W58" s="81">
        <f t="shared" si="2"/>
        <v>124509.57</v>
      </c>
      <c r="X58" s="170">
        <f t="shared" si="27"/>
        <v>6.0512376502881896E-2</v>
      </c>
      <c r="Y58" s="75" t="s">
        <v>237</v>
      </c>
      <c r="Z58" s="170"/>
      <c r="AA58" s="171">
        <f t="shared" si="4"/>
        <v>131511.91999999998</v>
      </c>
      <c r="AB58" s="170"/>
      <c r="AC58" s="171">
        <f t="shared" si="5"/>
        <v>124509.57</v>
      </c>
      <c r="AD58" s="170"/>
      <c r="AE58" s="171">
        <f t="shared" si="28"/>
        <v>7002.3499999999767</v>
      </c>
      <c r="AF58" s="171"/>
      <c r="AG58" s="170">
        <f t="shared" si="29"/>
        <v>1.0562394521160099</v>
      </c>
      <c r="AH58" s="171"/>
      <c r="AI58" s="170">
        <f t="shared" si="8"/>
        <v>5.6239452116009891E-2</v>
      </c>
    </row>
    <row r="59" spans="1:35" s="19" customFormat="1" ht="54.95" customHeight="1" x14ac:dyDescent="0.85">
      <c r="A59" s="163" t="s">
        <v>374</v>
      </c>
      <c r="B59" s="81"/>
      <c r="C59" s="81"/>
      <c r="D59" s="81">
        <f>[1]BPM!K42</f>
        <v>2719.73</v>
      </c>
      <c r="E59" s="81"/>
      <c r="F59" s="81">
        <v>0</v>
      </c>
      <c r="G59" s="81">
        <v>0</v>
      </c>
      <c r="H59" s="81">
        <f>'[1]BSC (Dome)'!K42+'[1]BSC (Dome)'!K48</f>
        <v>11135.36</v>
      </c>
      <c r="I59" s="81">
        <v>0</v>
      </c>
      <c r="J59" s="81"/>
      <c r="K59" s="81">
        <v>0</v>
      </c>
      <c r="L59" s="81">
        <f t="shared" si="25"/>
        <v>13855.09</v>
      </c>
      <c r="M59" s="82">
        <f t="shared" si="26"/>
        <v>4.1766915279035097E-3</v>
      </c>
      <c r="N59" s="82"/>
      <c r="O59" s="75" t="s">
        <v>374</v>
      </c>
      <c r="P59" s="81">
        <v>0</v>
      </c>
      <c r="Q59" s="81">
        <v>9446.11</v>
      </c>
      <c r="R59" s="81">
        <v>29252.34</v>
      </c>
      <c r="S59" s="81">
        <v>0</v>
      </c>
      <c r="T59" s="81">
        <f>6182.53+4360.11+862.3</f>
        <v>11404.939999999999</v>
      </c>
      <c r="U59" s="81">
        <v>0</v>
      </c>
      <c r="V59" s="81">
        <v>0</v>
      </c>
      <c r="W59" s="81">
        <f t="shared" si="2"/>
        <v>50103.39</v>
      </c>
      <c r="X59" s="170">
        <f t="shared" si="27"/>
        <v>2.4350539478617809E-2</v>
      </c>
      <c r="Y59" s="75" t="s">
        <v>374</v>
      </c>
      <c r="Z59" s="170"/>
      <c r="AA59" s="171">
        <f t="shared" si="4"/>
        <v>13855.09</v>
      </c>
      <c r="AB59" s="170"/>
      <c r="AC59" s="171">
        <f t="shared" si="5"/>
        <v>50103.39</v>
      </c>
      <c r="AD59" s="170"/>
      <c r="AE59" s="171">
        <f>L59-W59</f>
        <v>-36248.300000000003</v>
      </c>
      <c r="AF59" s="171"/>
      <c r="AG59" s="170">
        <f t="shared" si="29"/>
        <v>0.27652999128402289</v>
      </c>
      <c r="AH59" s="171"/>
      <c r="AI59" s="170">
        <f t="shared" si="8"/>
        <v>-0.72347000871597711</v>
      </c>
    </row>
    <row r="60" spans="1:35" s="19" customFormat="1" ht="54.95" customHeight="1" x14ac:dyDescent="0.85">
      <c r="A60" s="163" t="s">
        <v>239</v>
      </c>
      <c r="B60" s="81">
        <f>[1]CNT!N220</f>
        <v>79598.200000000012</v>
      </c>
      <c r="C60" s="81"/>
      <c r="D60" s="81">
        <v>0</v>
      </c>
      <c r="E60" s="81"/>
      <c r="F60" s="81">
        <f>[1]DEP!K43</f>
        <v>47875.950000000012</v>
      </c>
      <c r="G60" s="81">
        <v>0</v>
      </c>
      <c r="H60" s="81">
        <f>'[1]BSC (Dome)'!K44</f>
        <v>486.66999999999996</v>
      </c>
      <c r="I60" s="81">
        <v>0</v>
      </c>
      <c r="J60" s="81"/>
      <c r="K60" s="81">
        <v>0</v>
      </c>
      <c r="L60" s="81">
        <f t="shared" si="25"/>
        <v>127960.82000000002</v>
      </c>
      <c r="M60" s="82">
        <f t="shared" si="26"/>
        <v>3.8574478606604942E-2</v>
      </c>
      <c r="N60" s="82"/>
      <c r="O60" s="75" t="s">
        <v>239</v>
      </c>
      <c r="P60" s="81">
        <v>82144.95</v>
      </c>
      <c r="Q60" s="81">
        <v>0</v>
      </c>
      <c r="R60" s="81">
        <v>38853</v>
      </c>
      <c r="S60" s="81">
        <v>0</v>
      </c>
      <c r="T60" s="81">
        <v>756.98</v>
      </c>
      <c r="U60" s="81">
        <v>0</v>
      </c>
      <c r="V60" s="81">
        <v>0</v>
      </c>
      <c r="W60" s="81">
        <f t="shared" si="2"/>
        <v>121754.93</v>
      </c>
      <c r="X60" s="170">
        <f t="shared" si="27"/>
        <v>5.9173605412355286E-2</v>
      </c>
      <c r="Y60" s="75" t="s">
        <v>239</v>
      </c>
      <c r="Z60" s="170"/>
      <c r="AA60" s="171">
        <f t="shared" si="4"/>
        <v>127960.82000000002</v>
      </c>
      <c r="AB60" s="170"/>
      <c r="AC60" s="171">
        <f t="shared" si="5"/>
        <v>121754.93</v>
      </c>
      <c r="AD60" s="170"/>
      <c r="AE60" s="171">
        <f t="shared" si="28"/>
        <v>6205.8900000000285</v>
      </c>
      <c r="AF60" s="171"/>
      <c r="AG60" s="170">
        <f t="shared" si="29"/>
        <v>1.050970338531672</v>
      </c>
      <c r="AH60" s="171"/>
      <c r="AI60" s="170">
        <f t="shared" si="8"/>
        <v>5.0970338531671988E-2</v>
      </c>
    </row>
    <row r="61" spans="1:35" s="19" customFormat="1" ht="54.95" customHeight="1" x14ac:dyDescent="0.85">
      <c r="A61" s="163" t="s">
        <v>240</v>
      </c>
      <c r="B61" s="81">
        <f>[1]CNT!N221</f>
        <v>33500</v>
      </c>
      <c r="C61" s="81"/>
      <c r="D61" s="81">
        <v>0</v>
      </c>
      <c r="E61" s="81"/>
      <c r="F61" s="81">
        <f>[1]DEP!K44</f>
        <v>11805.94</v>
      </c>
      <c r="G61" s="81">
        <v>0</v>
      </c>
      <c r="H61" s="81">
        <v>0</v>
      </c>
      <c r="I61" s="81">
        <v>0</v>
      </c>
      <c r="J61" s="81"/>
      <c r="K61" s="81">
        <v>0</v>
      </c>
      <c r="L61" s="81">
        <f t="shared" si="25"/>
        <v>45305.94</v>
      </c>
      <c r="M61" s="82">
        <f t="shared" si="26"/>
        <v>1.3657719708908765E-2</v>
      </c>
      <c r="N61" s="82"/>
      <c r="O61" s="75" t="s">
        <v>240</v>
      </c>
      <c r="P61" s="81">
        <v>26602.55</v>
      </c>
      <c r="Q61" s="81">
        <v>0</v>
      </c>
      <c r="R61" s="81">
        <v>15556.47</v>
      </c>
      <c r="S61" s="81">
        <v>0</v>
      </c>
      <c r="T61" s="81">
        <v>0</v>
      </c>
      <c r="U61" s="81">
        <v>0</v>
      </c>
      <c r="V61" s="81">
        <v>0</v>
      </c>
      <c r="W61" s="81">
        <f t="shared" si="2"/>
        <v>42159.02</v>
      </c>
      <c r="X61" s="170">
        <f t="shared" si="27"/>
        <v>2.0489529368967602E-2</v>
      </c>
      <c r="Y61" s="75" t="s">
        <v>240</v>
      </c>
      <c r="Z61" s="170"/>
      <c r="AA61" s="171">
        <f t="shared" si="4"/>
        <v>45305.94</v>
      </c>
      <c r="AB61" s="170"/>
      <c r="AC61" s="171">
        <f t="shared" si="5"/>
        <v>42159.02</v>
      </c>
      <c r="AD61" s="170"/>
      <c r="AE61" s="171">
        <f t="shared" si="28"/>
        <v>3146.9200000000055</v>
      </c>
      <c r="AF61" s="171"/>
      <c r="AG61" s="170">
        <f t="shared" si="29"/>
        <v>1.0746440500751679</v>
      </c>
      <c r="AH61" s="171"/>
      <c r="AI61" s="170">
        <f t="shared" si="8"/>
        <v>7.4644050075167945E-2</v>
      </c>
    </row>
    <row r="62" spans="1:35" s="19" customFormat="1" ht="54.95" customHeight="1" x14ac:dyDescent="0.85">
      <c r="A62" s="163" t="s">
        <v>238</v>
      </c>
      <c r="B62" s="81">
        <f>[1]CNT!N222</f>
        <v>45578.289999999994</v>
      </c>
      <c r="C62" s="81"/>
      <c r="D62" s="81">
        <v>0</v>
      </c>
      <c r="E62" s="81"/>
      <c r="F62" s="81">
        <f>[1]DEP!K45</f>
        <v>149035.41</v>
      </c>
      <c r="G62" s="81">
        <v>0</v>
      </c>
      <c r="H62" s="81">
        <f>'[1]BSC (Dome)'!K46</f>
        <v>21818</v>
      </c>
      <c r="I62" s="81">
        <v>0</v>
      </c>
      <c r="J62" s="81"/>
      <c r="K62" s="81">
        <v>0</v>
      </c>
      <c r="L62" s="81">
        <f t="shared" si="25"/>
        <v>216431.7</v>
      </c>
      <c r="M62" s="82">
        <f t="shared" si="26"/>
        <v>6.5244502039304986E-2</v>
      </c>
      <c r="N62" s="82"/>
      <c r="O62" s="75" t="s">
        <v>238</v>
      </c>
      <c r="P62" s="81">
        <v>41179.35</v>
      </c>
      <c r="Q62" s="81">
        <v>0</v>
      </c>
      <c r="R62" s="81">
        <v>0</v>
      </c>
      <c r="S62" s="81">
        <v>0</v>
      </c>
      <c r="T62" s="81">
        <v>23420</v>
      </c>
      <c r="U62" s="81">
        <v>0</v>
      </c>
      <c r="V62" s="81">
        <v>0</v>
      </c>
      <c r="W62" s="81">
        <f t="shared" si="2"/>
        <v>64599.35</v>
      </c>
      <c r="X62" s="170">
        <f t="shared" si="27"/>
        <v>3.1395660502573766E-2</v>
      </c>
      <c r="Y62" s="75" t="s">
        <v>238</v>
      </c>
      <c r="Z62" s="170"/>
      <c r="AA62" s="171">
        <f t="shared" si="4"/>
        <v>216431.7</v>
      </c>
      <c r="AB62" s="170"/>
      <c r="AC62" s="171">
        <f t="shared" si="5"/>
        <v>64599.35</v>
      </c>
      <c r="AD62" s="170"/>
      <c r="AE62" s="171">
        <f t="shared" si="28"/>
        <v>151832.35</v>
      </c>
      <c r="AF62" s="171"/>
      <c r="AG62" s="170">
        <f t="shared" si="29"/>
        <v>3.3503696244621657</v>
      </c>
      <c r="AH62" s="171"/>
      <c r="AI62" s="170">
        <f t="shared" si="8"/>
        <v>2.3503696244621657</v>
      </c>
    </row>
    <row r="63" spans="1:35" s="19" customFormat="1" ht="54.95" customHeight="1" x14ac:dyDescent="0.85">
      <c r="A63" s="163" t="s">
        <v>359</v>
      </c>
      <c r="B63" s="81">
        <v>0</v>
      </c>
      <c r="C63" s="81"/>
      <c r="D63" s="81">
        <v>0</v>
      </c>
      <c r="E63" s="81"/>
      <c r="F63" s="81">
        <v>0</v>
      </c>
      <c r="G63" s="81">
        <v>0</v>
      </c>
      <c r="H63" s="81">
        <f>'[1]BSC (Dome)'!K43</f>
        <v>13379.36</v>
      </c>
      <c r="I63" s="81">
        <v>0</v>
      </c>
      <c r="J63" s="81"/>
      <c r="K63" s="81">
        <v>0</v>
      </c>
      <c r="L63" s="81">
        <f t="shared" si="25"/>
        <v>13379.36</v>
      </c>
      <c r="M63" s="82">
        <f t="shared" si="26"/>
        <v>4.0332801563014824E-3</v>
      </c>
      <c r="N63" s="82"/>
      <c r="O63" s="75" t="s">
        <v>359</v>
      </c>
      <c r="P63" s="81">
        <v>0</v>
      </c>
      <c r="Q63" s="81">
        <v>0</v>
      </c>
      <c r="R63" s="81">
        <v>0</v>
      </c>
      <c r="S63" s="81">
        <v>0</v>
      </c>
      <c r="T63" s="81">
        <f>930.6+8582</f>
        <v>9512.6</v>
      </c>
      <c r="U63" s="81">
        <v>0</v>
      </c>
      <c r="V63" s="81">
        <v>0</v>
      </c>
      <c r="W63" s="81">
        <f t="shared" si="2"/>
        <v>9512.6</v>
      </c>
      <c r="X63" s="170">
        <f t="shared" si="27"/>
        <v>4.6231790272933584E-3</v>
      </c>
      <c r="Y63" s="75" t="s">
        <v>359</v>
      </c>
      <c r="Z63" s="170"/>
      <c r="AA63" s="171">
        <f t="shared" si="4"/>
        <v>13379.36</v>
      </c>
      <c r="AB63" s="170"/>
      <c r="AC63" s="171">
        <f t="shared" si="5"/>
        <v>9512.6</v>
      </c>
      <c r="AD63" s="170"/>
      <c r="AE63" s="171">
        <f t="shared" si="28"/>
        <v>3866.76</v>
      </c>
      <c r="AF63" s="171"/>
      <c r="AG63" s="170">
        <f t="shared" si="29"/>
        <v>1.4064882366545424</v>
      </c>
      <c r="AH63" s="171"/>
      <c r="AI63" s="170">
        <f t="shared" si="8"/>
        <v>0.40648823665454237</v>
      </c>
    </row>
    <row r="64" spans="1:35" s="19" customFormat="1" ht="54.95" customHeight="1" x14ac:dyDescent="0.85">
      <c r="A64" s="163" t="s">
        <v>241</v>
      </c>
      <c r="B64" s="81">
        <f>[1]CNT!N262+[1]CNT!N223</f>
        <v>16793.27</v>
      </c>
      <c r="C64" s="81"/>
      <c r="D64" s="81">
        <v>0</v>
      </c>
      <c r="E64" s="81"/>
      <c r="F64" s="81">
        <f>[1]DEP!K46</f>
        <v>187.99</v>
      </c>
      <c r="G64" s="81">
        <v>0</v>
      </c>
      <c r="H64" s="81">
        <f>'[1]BSC (Dome)'!K49</f>
        <v>1417.5100000000002</v>
      </c>
      <c r="I64" s="81">
        <v>0</v>
      </c>
      <c r="J64" s="81"/>
      <c r="K64" s="81">
        <v>0</v>
      </c>
      <c r="L64" s="81">
        <f t="shared" si="25"/>
        <v>18398.770000000004</v>
      </c>
      <c r="M64" s="82">
        <f t="shared" si="26"/>
        <v>5.546408343998146E-3</v>
      </c>
      <c r="N64" s="82"/>
      <c r="O64" s="75" t="s">
        <v>241</v>
      </c>
      <c r="P64" s="81">
        <v>20989.25</v>
      </c>
      <c r="Q64" s="81">
        <v>0</v>
      </c>
      <c r="R64" s="81">
        <v>3471.24</v>
      </c>
      <c r="S64" s="81">
        <v>0</v>
      </c>
      <c r="T64" s="81">
        <v>794.62</v>
      </c>
      <c r="U64" s="81">
        <v>0</v>
      </c>
      <c r="V64" s="81">
        <v>0</v>
      </c>
      <c r="W64" s="81">
        <f t="shared" si="2"/>
        <v>25255.109999999997</v>
      </c>
      <c r="X64" s="170">
        <f t="shared" si="27"/>
        <v>1.2274130614551937E-2</v>
      </c>
      <c r="Y64" s="75" t="s">
        <v>241</v>
      </c>
      <c r="Z64" s="170"/>
      <c r="AA64" s="171">
        <f t="shared" si="4"/>
        <v>18398.770000000004</v>
      </c>
      <c r="AB64" s="170"/>
      <c r="AC64" s="171">
        <f t="shared" si="5"/>
        <v>25255.109999999997</v>
      </c>
      <c r="AD64" s="170"/>
      <c r="AE64" s="171">
        <f t="shared" si="28"/>
        <v>-6856.3399999999929</v>
      </c>
      <c r="AF64" s="171"/>
      <c r="AG64" s="170">
        <f t="shared" si="29"/>
        <v>0.72851672394220446</v>
      </c>
      <c r="AH64" s="171"/>
      <c r="AI64" s="170">
        <f t="shared" si="8"/>
        <v>-0.27148327605779554</v>
      </c>
    </row>
    <row r="65" spans="1:35" s="19" customFormat="1" ht="54.95" customHeight="1" x14ac:dyDescent="0.85">
      <c r="A65" s="163" t="s">
        <v>242</v>
      </c>
      <c r="B65" s="81">
        <f>[1]CNT!N224</f>
        <v>7006.41</v>
      </c>
      <c r="C65" s="81"/>
      <c r="D65" s="81">
        <v>0</v>
      </c>
      <c r="E65" s="81"/>
      <c r="F65" s="81">
        <f>[1]DEP!K48</f>
        <v>3305.3999999999996</v>
      </c>
      <c r="G65" s="81">
        <v>0</v>
      </c>
      <c r="H65" s="81">
        <v>0</v>
      </c>
      <c r="I65" s="81">
        <v>0</v>
      </c>
      <c r="J65" s="81"/>
      <c r="K65" s="81">
        <v>0</v>
      </c>
      <c r="L65" s="81">
        <f t="shared" si="25"/>
        <v>10311.81</v>
      </c>
      <c r="M65" s="82">
        <f t="shared" si="26"/>
        <v>3.1085506816881511E-3</v>
      </c>
      <c r="N65" s="82"/>
      <c r="O65" s="75" t="s">
        <v>242</v>
      </c>
      <c r="P65" s="81">
        <v>2631.47</v>
      </c>
      <c r="Q65" s="81">
        <v>604.29999999999995</v>
      </c>
      <c r="R65" s="81">
        <v>2728.96</v>
      </c>
      <c r="S65" s="81">
        <v>0</v>
      </c>
      <c r="T65" s="81">
        <v>0</v>
      </c>
      <c r="U65" s="81">
        <v>0</v>
      </c>
      <c r="V65" s="81">
        <v>0</v>
      </c>
      <c r="W65" s="81">
        <f t="shared" si="2"/>
        <v>5964.73</v>
      </c>
      <c r="X65" s="170">
        <f t="shared" si="27"/>
        <v>2.898893534834589E-3</v>
      </c>
      <c r="Y65" s="75" t="s">
        <v>242</v>
      </c>
      <c r="Z65" s="170"/>
      <c r="AA65" s="171">
        <f t="shared" si="4"/>
        <v>10311.81</v>
      </c>
      <c r="AB65" s="170"/>
      <c r="AC65" s="171">
        <f t="shared" si="5"/>
        <v>5964.73</v>
      </c>
      <c r="AD65" s="170"/>
      <c r="AE65" s="171">
        <f t="shared" si="28"/>
        <v>4347.08</v>
      </c>
      <c r="AF65" s="171"/>
      <c r="AG65" s="170">
        <f t="shared" si="29"/>
        <v>1.72879744766318</v>
      </c>
      <c r="AH65" s="171"/>
      <c r="AI65" s="170">
        <f t="shared" si="8"/>
        <v>0.72879744766318</v>
      </c>
    </row>
    <row r="66" spans="1:35" s="19" customFormat="1" ht="54.95" customHeight="1" x14ac:dyDescent="0.85">
      <c r="A66" s="163" t="s">
        <v>243</v>
      </c>
      <c r="B66" s="81">
        <f>[1]CNT!N225</f>
        <v>2999.97</v>
      </c>
      <c r="C66" s="81"/>
      <c r="D66" s="81">
        <v>0</v>
      </c>
      <c r="E66" s="81"/>
      <c r="F66" s="81">
        <v>0</v>
      </c>
      <c r="G66" s="81">
        <v>0</v>
      </c>
      <c r="H66" s="81">
        <v>0</v>
      </c>
      <c r="I66" s="81">
        <v>0</v>
      </c>
      <c r="J66" s="81"/>
      <c r="K66" s="81">
        <v>0</v>
      </c>
      <c r="L66" s="81">
        <f t="shared" si="25"/>
        <v>2999.97</v>
      </c>
      <c r="M66" s="82">
        <f t="shared" si="26"/>
        <v>9.0435711951092996E-4</v>
      </c>
      <c r="N66" s="82"/>
      <c r="O66" s="75" t="s">
        <v>243</v>
      </c>
      <c r="P66" s="81">
        <v>3600</v>
      </c>
      <c r="Q66" s="81">
        <v>0</v>
      </c>
      <c r="R66" s="81">
        <v>0</v>
      </c>
      <c r="S66" s="81">
        <v>0</v>
      </c>
      <c r="T66" s="81">
        <v>0</v>
      </c>
      <c r="U66" s="81">
        <v>0</v>
      </c>
      <c r="V66" s="81">
        <v>0</v>
      </c>
      <c r="W66" s="81">
        <f t="shared" si="2"/>
        <v>3600</v>
      </c>
      <c r="X66" s="170">
        <f t="shared" si="27"/>
        <v>1.7496209762058838E-3</v>
      </c>
      <c r="Y66" s="75" t="s">
        <v>243</v>
      </c>
      <c r="Z66" s="170"/>
      <c r="AA66" s="171">
        <f t="shared" si="4"/>
        <v>2999.97</v>
      </c>
      <c r="AB66" s="170"/>
      <c r="AC66" s="171">
        <f t="shared" si="5"/>
        <v>3600</v>
      </c>
      <c r="AD66" s="170"/>
      <c r="AE66" s="171">
        <f t="shared" si="28"/>
        <v>-600.0300000000002</v>
      </c>
      <c r="AF66" s="171"/>
      <c r="AG66" s="170">
        <f t="shared" si="29"/>
        <v>0.83332499999999998</v>
      </c>
      <c r="AH66" s="171"/>
      <c r="AI66" s="170">
        <f t="shared" si="8"/>
        <v>-0.16667500000000002</v>
      </c>
    </row>
    <row r="67" spans="1:35" s="19" customFormat="1" ht="54.95" customHeight="1" x14ac:dyDescent="0.85">
      <c r="A67" s="163" t="s">
        <v>244</v>
      </c>
      <c r="B67" s="81">
        <f>[1]CNT!N226+[1]CNT!N229</f>
        <v>1130261.8500000001</v>
      </c>
      <c r="C67" s="81"/>
      <c r="D67" s="81">
        <f>[1]BPM!K43</f>
        <v>3488.74</v>
      </c>
      <c r="E67" s="81"/>
      <c r="F67" s="81">
        <f>[1]DEP!K49</f>
        <v>94198.39</v>
      </c>
      <c r="G67" s="81">
        <v>0</v>
      </c>
      <c r="H67" s="81">
        <f>'[1]BSC (Dome)'!K52</f>
        <v>84595.9</v>
      </c>
      <c r="I67" s="81">
        <f>'[1]Oliari Co.'!K11</f>
        <v>83261.430000000022</v>
      </c>
      <c r="J67" s="81"/>
      <c r="K67" s="81">
        <f>'[1]722 Bedford St'!K11</f>
        <v>132232.72</v>
      </c>
      <c r="L67" s="81">
        <f t="shared" si="25"/>
        <v>1528039.0299999998</v>
      </c>
      <c r="M67" s="82">
        <f t="shared" si="26"/>
        <v>0.46063559824634093</v>
      </c>
      <c r="N67" s="82"/>
      <c r="O67" s="75" t="s">
        <v>244</v>
      </c>
      <c r="P67" s="81">
        <v>585000</v>
      </c>
      <c r="Q67" s="81">
        <v>3500</v>
      </c>
      <c r="R67" s="81">
        <v>85000</v>
      </c>
      <c r="S67" s="81">
        <v>0</v>
      </c>
      <c r="T67" s="81">
        <v>81000</v>
      </c>
      <c r="U67" s="81">
        <v>35163.4</v>
      </c>
      <c r="V67" s="81">
        <v>0</v>
      </c>
      <c r="W67" s="81">
        <f t="shared" si="2"/>
        <v>789663.4</v>
      </c>
      <c r="X67" s="170">
        <f t="shared" si="27"/>
        <v>0.38378101355057148</v>
      </c>
      <c r="Y67" s="75" t="s">
        <v>244</v>
      </c>
      <c r="Z67" s="170"/>
      <c r="AA67" s="171">
        <f t="shared" si="4"/>
        <v>1528039.0299999998</v>
      </c>
      <c r="AB67" s="170"/>
      <c r="AC67" s="171">
        <f t="shared" si="5"/>
        <v>789663.4</v>
      </c>
      <c r="AD67" s="170"/>
      <c r="AE67" s="171">
        <f t="shared" si="28"/>
        <v>738375.62999999977</v>
      </c>
      <c r="AF67" s="171"/>
      <c r="AG67" s="170">
        <f t="shared" si="29"/>
        <v>1.9350510989872391</v>
      </c>
      <c r="AH67" s="171"/>
      <c r="AI67" s="170">
        <f t="shared" si="8"/>
        <v>0.93505109898723915</v>
      </c>
    </row>
    <row r="68" spans="1:35" s="19" customFormat="1" ht="54.95" customHeight="1" x14ac:dyDescent="0.85">
      <c r="A68" s="163" t="s">
        <v>254</v>
      </c>
      <c r="B68" s="81">
        <f>[1]CNT!N245</f>
        <v>1268.68</v>
      </c>
      <c r="C68" s="81"/>
      <c r="D68" s="81">
        <v>0</v>
      </c>
      <c r="E68" s="81"/>
      <c r="F68" s="81">
        <v>0</v>
      </c>
      <c r="G68" s="81">
        <v>0</v>
      </c>
      <c r="H68" s="81">
        <v>0</v>
      </c>
      <c r="I68" s="81">
        <v>0</v>
      </c>
      <c r="J68" s="81"/>
      <c r="K68" s="81">
        <v>0</v>
      </c>
      <c r="L68" s="81">
        <f t="shared" si="25"/>
        <v>1268.68</v>
      </c>
      <c r="M68" s="82">
        <f t="shared" si="26"/>
        <v>3.824504212979219E-4</v>
      </c>
      <c r="N68" s="82"/>
      <c r="O68" s="75" t="s">
        <v>254</v>
      </c>
      <c r="P68" s="81">
        <v>2739.31</v>
      </c>
      <c r="Q68" s="81">
        <v>0</v>
      </c>
      <c r="R68" s="81">
        <v>0</v>
      </c>
      <c r="S68" s="81">
        <v>0</v>
      </c>
      <c r="T68" s="81">
        <f>327.56</f>
        <v>327.56</v>
      </c>
      <c r="U68" s="81">
        <v>-1113.3599999999999</v>
      </c>
      <c r="V68" s="81">
        <v>0</v>
      </c>
      <c r="W68" s="81">
        <f t="shared" si="2"/>
        <v>1953.51</v>
      </c>
      <c r="X68" s="170">
        <f t="shared" si="27"/>
        <v>9.4941724256332113E-4</v>
      </c>
      <c r="Y68" s="75" t="s">
        <v>254</v>
      </c>
      <c r="Z68" s="170"/>
      <c r="AA68" s="171">
        <f t="shared" si="4"/>
        <v>1268.68</v>
      </c>
      <c r="AB68" s="170"/>
      <c r="AC68" s="171">
        <f t="shared" si="5"/>
        <v>1953.51</v>
      </c>
      <c r="AD68" s="170"/>
      <c r="AE68" s="171">
        <f t="shared" si="28"/>
        <v>-684.82999999999993</v>
      </c>
      <c r="AF68" s="171"/>
      <c r="AG68" s="170">
        <f t="shared" si="29"/>
        <v>0.64943614314746279</v>
      </c>
      <c r="AH68" s="171"/>
      <c r="AI68" s="170">
        <f t="shared" si="8"/>
        <v>-0.35056385685253721</v>
      </c>
    </row>
    <row r="69" spans="1:35" s="19" customFormat="1" ht="54.95" customHeight="1" x14ac:dyDescent="0.85">
      <c r="A69" s="163" t="s">
        <v>356</v>
      </c>
      <c r="B69" s="81">
        <f>[1]CNT!N259</f>
        <v>1663</v>
      </c>
      <c r="C69" s="81"/>
      <c r="D69" s="81">
        <f>[1]BPM!K52</f>
        <v>349.02000000000004</v>
      </c>
      <c r="E69" s="81"/>
      <c r="F69" s="81">
        <f>[1]DEP!K64</f>
        <v>449</v>
      </c>
      <c r="G69" s="81">
        <f>[1]Lending!K10</f>
        <v>109</v>
      </c>
      <c r="H69" s="81">
        <f>'[1]BSC (Dome)'!K47</f>
        <v>865</v>
      </c>
      <c r="I69" s="81">
        <f>'[1]Oliari Co.'!K10</f>
        <v>520</v>
      </c>
      <c r="J69" s="81"/>
      <c r="K69" s="81">
        <f>'[1]722 Bedford St'!K10</f>
        <v>520</v>
      </c>
      <c r="L69" s="81">
        <f t="shared" si="25"/>
        <v>4475.0200000000004</v>
      </c>
      <c r="M69" s="82">
        <f t="shared" si="26"/>
        <v>1.3490188891734927E-3</v>
      </c>
      <c r="N69" s="82"/>
      <c r="O69" s="75" t="s">
        <v>356</v>
      </c>
      <c r="P69" s="81">
        <v>0</v>
      </c>
      <c r="Q69" s="81">
        <v>0</v>
      </c>
      <c r="R69" s="81">
        <v>0</v>
      </c>
      <c r="S69" s="81">
        <v>0</v>
      </c>
      <c r="T69" s="81">
        <v>565</v>
      </c>
      <c r="U69" s="81">
        <v>0</v>
      </c>
      <c r="V69" s="81">
        <v>1825</v>
      </c>
      <c r="W69" s="81">
        <f t="shared" si="2"/>
        <v>2390</v>
      </c>
      <c r="X69" s="170">
        <f t="shared" si="27"/>
        <v>1.1615539258700172E-3</v>
      </c>
      <c r="Y69" s="75" t="s">
        <v>356</v>
      </c>
      <c r="Z69" s="170"/>
      <c r="AA69" s="171">
        <f t="shared" si="4"/>
        <v>4475.0200000000004</v>
      </c>
      <c r="AB69" s="170"/>
      <c r="AC69" s="171">
        <f t="shared" si="5"/>
        <v>2390</v>
      </c>
      <c r="AD69" s="170"/>
      <c r="AE69" s="171">
        <f t="shared" si="28"/>
        <v>2085.0200000000004</v>
      </c>
      <c r="AF69" s="171"/>
      <c r="AG69" s="170">
        <f t="shared" si="29"/>
        <v>1.8723933054393307</v>
      </c>
      <c r="AH69" s="171"/>
      <c r="AI69" s="170">
        <f t="shared" si="8"/>
        <v>0.87239330543933069</v>
      </c>
    </row>
    <row r="70" spans="1:35" s="19" customFormat="1" ht="54.95" customHeight="1" x14ac:dyDescent="0.85">
      <c r="A70" s="163" t="s">
        <v>247</v>
      </c>
      <c r="B70" s="81">
        <f>[1]CNT!N244</f>
        <v>15330.22</v>
      </c>
      <c r="C70" s="81"/>
      <c r="D70" s="81">
        <v>0</v>
      </c>
      <c r="E70" s="81"/>
      <c r="F70" s="81">
        <f>[1]DEP!K50</f>
        <v>15061.969999999998</v>
      </c>
      <c r="G70" s="81">
        <v>0</v>
      </c>
      <c r="H70" s="81">
        <v>0</v>
      </c>
      <c r="I70" s="81">
        <v>0</v>
      </c>
      <c r="J70" s="81"/>
      <c r="K70" s="81">
        <v>0</v>
      </c>
      <c r="L70" s="81">
        <f t="shared" si="25"/>
        <v>30392.189999999995</v>
      </c>
      <c r="M70" s="82">
        <f t="shared" si="26"/>
        <v>9.1618894202371657E-3</v>
      </c>
      <c r="N70" s="82"/>
      <c r="O70" s="75" t="s">
        <v>247</v>
      </c>
      <c r="P70" s="81">
        <v>5047.07</v>
      </c>
      <c r="Q70" s="81">
        <v>0</v>
      </c>
      <c r="R70" s="81">
        <v>5445.46</v>
      </c>
      <c r="S70" s="81">
        <v>0</v>
      </c>
      <c r="T70" s="81">
        <v>0</v>
      </c>
      <c r="U70" s="81">
        <v>0</v>
      </c>
      <c r="V70" s="81">
        <v>0</v>
      </c>
      <c r="W70" s="81">
        <f t="shared" si="2"/>
        <v>10492.529999999999</v>
      </c>
      <c r="X70" s="170">
        <f>W70/$W$74</f>
        <v>5.0994307170748668E-3</v>
      </c>
      <c r="Y70" s="75" t="s">
        <v>247</v>
      </c>
      <c r="Z70" s="170"/>
      <c r="AA70" s="171">
        <f t="shared" si="4"/>
        <v>30392.189999999995</v>
      </c>
      <c r="AB70" s="170"/>
      <c r="AC70" s="171">
        <f t="shared" si="5"/>
        <v>10492.529999999999</v>
      </c>
      <c r="AD70" s="170"/>
      <c r="AE70" s="171">
        <f t="shared" si="28"/>
        <v>19899.659999999996</v>
      </c>
      <c r="AF70" s="171"/>
      <c r="AG70" s="170">
        <f t="shared" si="29"/>
        <v>2.8965549776841235</v>
      </c>
      <c r="AH70" s="171"/>
      <c r="AI70" s="170">
        <f t="shared" si="8"/>
        <v>1.8965549776841235</v>
      </c>
    </row>
    <row r="71" spans="1:35" s="19" customFormat="1" ht="54.95" customHeight="1" x14ac:dyDescent="0.85">
      <c r="A71" s="163" t="s">
        <v>248</v>
      </c>
      <c r="B71" s="81">
        <f>[1]CNT!N248+[1]CNT!N228</f>
        <v>120379.79999999999</v>
      </c>
      <c r="C71" s="81"/>
      <c r="D71" s="81">
        <v>0</v>
      </c>
      <c r="E71" s="81"/>
      <c r="F71" s="81">
        <f>[1]DEP!K47</f>
        <v>64648.75</v>
      </c>
      <c r="G71" s="81">
        <v>0</v>
      </c>
      <c r="H71" s="81">
        <v>0</v>
      </c>
      <c r="I71" s="81">
        <v>0</v>
      </c>
      <c r="J71" s="81"/>
      <c r="K71" s="81">
        <v>0</v>
      </c>
      <c r="L71" s="81">
        <f t="shared" si="25"/>
        <v>185028.55</v>
      </c>
      <c r="M71" s="82">
        <f t="shared" si="26"/>
        <v>5.5777853280294165E-2</v>
      </c>
      <c r="N71" s="82"/>
      <c r="O71" s="75" t="s">
        <v>248</v>
      </c>
      <c r="P71" s="81">
        <v>1675</v>
      </c>
      <c r="Q71" s="81">
        <v>0</v>
      </c>
      <c r="R71" s="81">
        <v>50081.22</v>
      </c>
      <c r="S71" s="81">
        <v>0</v>
      </c>
      <c r="T71" s="81">
        <v>0</v>
      </c>
      <c r="U71" s="81">
        <v>0</v>
      </c>
      <c r="V71" s="81">
        <v>0</v>
      </c>
      <c r="W71" s="81">
        <f t="shared" si="2"/>
        <v>51756.22</v>
      </c>
      <c r="X71" s="170">
        <f>W71/$W$74</f>
        <v>2.5153824489201802E-2</v>
      </c>
      <c r="Y71" s="75" t="s">
        <v>248</v>
      </c>
      <c r="Z71" s="170"/>
      <c r="AA71" s="171">
        <f t="shared" si="4"/>
        <v>185028.55</v>
      </c>
      <c r="AB71" s="170"/>
      <c r="AC71" s="171">
        <f t="shared" si="5"/>
        <v>51756.22</v>
      </c>
      <c r="AD71" s="170"/>
      <c r="AE71" s="171">
        <f t="shared" si="28"/>
        <v>133272.32999999999</v>
      </c>
      <c r="AF71" s="171"/>
      <c r="AG71" s="170">
        <f t="shared" si="29"/>
        <v>3.5750012269056741</v>
      </c>
      <c r="AH71" s="171"/>
      <c r="AI71" s="170">
        <f t="shared" si="8"/>
        <v>2.5750012269056741</v>
      </c>
    </row>
    <row r="72" spans="1:35" s="19" customFormat="1" ht="54.95" customHeight="1" x14ac:dyDescent="0.85">
      <c r="A72" s="163" t="s">
        <v>368</v>
      </c>
      <c r="B72" s="81">
        <f>[1]CNT!N253</f>
        <v>26546.309999999998</v>
      </c>
      <c r="C72" s="81"/>
      <c r="D72" s="81">
        <v>0</v>
      </c>
      <c r="E72" s="81"/>
      <c r="F72" s="81">
        <f>[1]DEP!K51</f>
        <v>7476.93</v>
      </c>
      <c r="G72" s="81">
        <v>0</v>
      </c>
      <c r="H72" s="81">
        <f>'[1]BSC (Dome)'!K54</f>
        <v>2372.79</v>
      </c>
      <c r="I72" s="81">
        <v>0</v>
      </c>
      <c r="J72" s="81"/>
      <c r="K72" s="81">
        <v>0</v>
      </c>
      <c r="L72" s="81">
        <f t="shared" si="25"/>
        <v>36396.03</v>
      </c>
      <c r="M72" s="82">
        <f t="shared" si="26"/>
        <v>1.097177933527115E-2</v>
      </c>
      <c r="N72" s="82"/>
      <c r="O72" s="75" t="s">
        <v>368</v>
      </c>
      <c r="P72" s="81">
        <v>0</v>
      </c>
      <c r="Q72" s="81">
        <v>0</v>
      </c>
      <c r="R72" s="81">
        <v>0</v>
      </c>
      <c r="S72" s="81">
        <v>0</v>
      </c>
      <c r="T72" s="81">
        <v>0</v>
      </c>
      <c r="U72" s="81">
        <v>0</v>
      </c>
      <c r="V72" s="81">
        <v>0</v>
      </c>
      <c r="W72" s="81">
        <f t="shared" si="2"/>
        <v>0</v>
      </c>
      <c r="X72" s="170">
        <f>W72/$W$74</f>
        <v>0</v>
      </c>
      <c r="Y72" s="75" t="s">
        <v>368</v>
      </c>
      <c r="Z72" s="170"/>
      <c r="AA72" s="171">
        <f t="shared" si="4"/>
        <v>36396.03</v>
      </c>
      <c r="AB72" s="170"/>
      <c r="AC72" s="171">
        <f t="shared" si="5"/>
        <v>0</v>
      </c>
      <c r="AD72" s="170"/>
      <c r="AE72" s="171">
        <f t="shared" si="28"/>
        <v>36396.03</v>
      </c>
      <c r="AF72" s="171"/>
      <c r="AG72" s="179">
        <v>0</v>
      </c>
      <c r="AH72" s="171"/>
      <c r="AI72" s="170">
        <f t="shared" si="8"/>
        <v>-1</v>
      </c>
    </row>
    <row r="73" spans="1:35" s="19" customFormat="1" ht="54.95" customHeight="1" x14ac:dyDescent="0.85">
      <c r="A73" s="163" t="s">
        <v>369</v>
      </c>
      <c r="B73" s="81">
        <f>[1]CNT!N254</f>
        <v>13105.57</v>
      </c>
      <c r="C73" s="81"/>
      <c r="D73" s="81">
        <f>[1]BPM!K49</f>
        <v>5419.07</v>
      </c>
      <c r="E73" s="81"/>
      <c r="F73" s="81">
        <f>[1]DEP!K52</f>
        <v>6949.9699999999993</v>
      </c>
      <c r="G73" s="81">
        <v>0</v>
      </c>
      <c r="H73" s="81">
        <f>'[1]BSC (Dome)'!K55</f>
        <v>5094.4799999999996</v>
      </c>
      <c r="I73" s="81">
        <v>0</v>
      </c>
      <c r="J73" s="81"/>
      <c r="K73" s="81">
        <v>0</v>
      </c>
      <c r="L73" s="81">
        <f t="shared" si="25"/>
        <v>30569.09</v>
      </c>
      <c r="M73" s="82">
        <f t="shared" si="26"/>
        <v>9.2152168783255755E-3</v>
      </c>
      <c r="N73" s="82"/>
      <c r="O73" s="75" t="s">
        <v>369</v>
      </c>
      <c r="P73" s="81">
        <v>0</v>
      </c>
      <c r="Q73" s="81">
        <v>0</v>
      </c>
      <c r="R73" s="81">
        <v>0</v>
      </c>
      <c r="S73" s="81">
        <v>0</v>
      </c>
      <c r="T73" s="81">
        <v>0</v>
      </c>
      <c r="U73" s="81">
        <v>0</v>
      </c>
      <c r="V73" s="81">
        <v>0</v>
      </c>
      <c r="W73" s="81">
        <f t="shared" si="2"/>
        <v>0</v>
      </c>
      <c r="X73" s="170">
        <f>W73/$W$74</f>
        <v>0</v>
      </c>
      <c r="Y73" s="75" t="s">
        <v>369</v>
      </c>
      <c r="Z73" s="170"/>
      <c r="AA73" s="171">
        <f t="shared" si="4"/>
        <v>30569.09</v>
      </c>
      <c r="AB73" s="170"/>
      <c r="AC73" s="171">
        <f t="shared" si="5"/>
        <v>0</v>
      </c>
      <c r="AD73" s="170"/>
      <c r="AE73" s="171">
        <f t="shared" si="28"/>
        <v>30569.09</v>
      </c>
      <c r="AF73" s="171"/>
      <c r="AG73" s="179">
        <v>0</v>
      </c>
      <c r="AH73" s="171"/>
      <c r="AI73" s="180">
        <f t="shared" si="8"/>
        <v>-1</v>
      </c>
    </row>
    <row r="74" spans="1:35" s="19" customFormat="1" ht="54.95" customHeight="1" x14ac:dyDescent="0.85">
      <c r="A74" s="169" t="s">
        <v>249</v>
      </c>
      <c r="B74" s="83">
        <f>SUM(B52:B73)</f>
        <v>2014072.3400000003</v>
      </c>
      <c r="C74" s="83"/>
      <c r="D74" s="83">
        <f t="shared" ref="D74:K74" si="30">SUM(D52:D73)</f>
        <v>11976.56</v>
      </c>
      <c r="E74" s="83"/>
      <c r="F74" s="83">
        <f t="shared" si="30"/>
        <v>848277.70000000007</v>
      </c>
      <c r="G74" s="83">
        <f t="shared" si="30"/>
        <v>109</v>
      </c>
      <c r="H74" s="83">
        <f>SUM(H52:H73)</f>
        <v>226270.68000000002</v>
      </c>
      <c r="I74" s="83">
        <f>SUM(I52:I73)</f>
        <v>83781.430000000022</v>
      </c>
      <c r="J74" s="83"/>
      <c r="K74" s="83">
        <f t="shared" si="30"/>
        <v>132752.72</v>
      </c>
      <c r="L74" s="83">
        <f t="shared" si="25"/>
        <v>3317240.4300000011</v>
      </c>
      <c r="M74" s="84">
        <f>SUM(M52:M73)</f>
        <v>0.99999999999999967</v>
      </c>
      <c r="N74" s="85"/>
      <c r="O74" s="80" t="s">
        <v>249</v>
      </c>
      <c r="P74" s="83">
        <f t="shared" ref="P74:V74" si="31">SUM(P52:P73)</f>
        <v>1246675.57</v>
      </c>
      <c r="Q74" s="83">
        <f t="shared" si="31"/>
        <v>13550.41</v>
      </c>
      <c r="R74" s="83">
        <f t="shared" si="31"/>
        <v>513957.07000000007</v>
      </c>
      <c r="S74" s="83">
        <f t="shared" si="31"/>
        <v>0</v>
      </c>
      <c r="T74" s="83">
        <f t="shared" si="31"/>
        <v>247530.41000000003</v>
      </c>
      <c r="U74" s="83">
        <f t="shared" si="31"/>
        <v>34050.04</v>
      </c>
      <c r="V74" s="83">
        <f t="shared" si="31"/>
        <v>1825</v>
      </c>
      <c r="W74" s="83">
        <f t="shared" si="2"/>
        <v>2057588.5</v>
      </c>
      <c r="X74" s="173">
        <f>SUM(X52:X73)</f>
        <v>1.0000000000000002</v>
      </c>
      <c r="Y74" s="80" t="s">
        <v>249</v>
      </c>
      <c r="Z74" s="174"/>
      <c r="AA74" s="175">
        <f t="shared" si="4"/>
        <v>3317240.4300000011</v>
      </c>
      <c r="AB74" s="174"/>
      <c r="AC74" s="175">
        <f t="shared" si="5"/>
        <v>2057588.5</v>
      </c>
      <c r="AD74" s="174"/>
      <c r="AE74" s="175">
        <f>L74-W74</f>
        <v>1259651.9300000011</v>
      </c>
      <c r="AF74" s="175"/>
      <c r="AG74" s="173">
        <f>L74/W74</f>
        <v>1.612198177623952</v>
      </c>
      <c r="AH74" s="175"/>
      <c r="AI74" s="173">
        <f t="shared" si="8"/>
        <v>0.61219817762395201</v>
      </c>
    </row>
    <row r="75" spans="1:35" s="19" customFormat="1" ht="54.95" customHeight="1" x14ac:dyDescent="0.85">
      <c r="A75" s="163"/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75"/>
      <c r="N75" s="75"/>
      <c r="O75" s="75"/>
      <c r="P75" s="81"/>
      <c r="Q75" s="81"/>
      <c r="R75" s="81"/>
      <c r="S75" s="81"/>
      <c r="T75" s="81"/>
      <c r="U75" s="81"/>
      <c r="V75" s="81"/>
      <c r="W75" s="81"/>
      <c r="X75" s="163"/>
      <c r="Y75" s="75"/>
      <c r="Z75" s="163"/>
      <c r="AA75" s="171"/>
      <c r="AB75" s="163"/>
      <c r="AC75" s="171">
        <f t="shared" si="5"/>
        <v>0</v>
      </c>
      <c r="AD75" s="163"/>
      <c r="AE75" s="171"/>
      <c r="AF75" s="171"/>
      <c r="AG75" s="170"/>
      <c r="AH75" s="171"/>
      <c r="AI75" s="170"/>
    </row>
    <row r="76" spans="1:35" s="19" customFormat="1" ht="54.95" customHeight="1" x14ac:dyDescent="0.85">
      <c r="A76" s="169" t="s">
        <v>250</v>
      </c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75"/>
      <c r="N76" s="75"/>
      <c r="O76" s="80" t="s">
        <v>250</v>
      </c>
      <c r="P76" s="81"/>
      <c r="Q76" s="81"/>
      <c r="R76" s="81"/>
      <c r="S76" s="81"/>
      <c r="T76" s="81"/>
      <c r="U76" s="81"/>
      <c r="V76" s="81"/>
      <c r="W76" s="81"/>
      <c r="X76" s="163"/>
      <c r="Y76" s="80" t="s">
        <v>250</v>
      </c>
      <c r="Z76" s="163"/>
      <c r="AA76" s="171"/>
      <c r="AB76" s="163"/>
      <c r="AC76" s="171">
        <f t="shared" si="5"/>
        <v>0</v>
      </c>
      <c r="AD76" s="163"/>
      <c r="AE76" s="171"/>
      <c r="AF76" s="171"/>
      <c r="AG76" s="170"/>
      <c r="AH76" s="171"/>
      <c r="AI76" s="170"/>
    </row>
    <row r="77" spans="1:35" s="19" customFormat="1" ht="54.95" customHeight="1" x14ac:dyDescent="0.85">
      <c r="A77" s="163" t="s">
        <v>251</v>
      </c>
      <c r="B77" s="81">
        <f>[1]CNT!N235</f>
        <v>8050.6</v>
      </c>
      <c r="C77" s="81"/>
      <c r="D77" s="81">
        <v>0</v>
      </c>
      <c r="E77" s="81"/>
      <c r="F77" s="81">
        <f>[1]DEP!K56</f>
        <v>1409.28</v>
      </c>
      <c r="G77" s="81">
        <v>0</v>
      </c>
      <c r="H77" s="81">
        <f>'[1]BSC (Dome)'!K59</f>
        <v>2926.56</v>
      </c>
      <c r="I77" s="81">
        <v>0</v>
      </c>
      <c r="J77" s="81"/>
      <c r="K77" s="81">
        <v>0</v>
      </c>
      <c r="L77" s="81">
        <f t="shared" ref="L77:L98" si="32">SUM(B77:K77)</f>
        <v>12386.44</v>
      </c>
      <c r="M77" s="82">
        <f t="shared" ref="M77:M95" si="33">L77/$L$96</f>
        <v>1.4086369074392275E-2</v>
      </c>
      <c r="N77" s="82"/>
      <c r="O77" s="75" t="s">
        <v>251</v>
      </c>
      <c r="P77" s="81">
        <v>9038.73</v>
      </c>
      <c r="Q77" s="81">
        <v>0</v>
      </c>
      <c r="R77" s="81">
        <v>1385.4</v>
      </c>
      <c r="S77" s="81">
        <v>0</v>
      </c>
      <c r="T77" s="81">
        <v>0</v>
      </c>
      <c r="U77" s="81">
        <v>0</v>
      </c>
      <c r="V77" s="81">
        <v>0</v>
      </c>
      <c r="W77" s="81">
        <f t="shared" si="2"/>
        <v>10424.129999999999</v>
      </c>
      <c r="X77" s="170">
        <f t="shared" ref="X77:X95" si="34">W77/$W$96</f>
        <v>1.288311017141491E-2</v>
      </c>
      <c r="Y77" s="75" t="s">
        <v>251</v>
      </c>
      <c r="Z77" s="170"/>
      <c r="AA77" s="171">
        <f t="shared" si="4"/>
        <v>12386.44</v>
      </c>
      <c r="AB77" s="170"/>
      <c r="AC77" s="171">
        <f t="shared" si="5"/>
        <v>10424.129999999999</v>
      </c>
      <c r="AD77" s="170"/>
      <c r="AE77" s="171">
        <f>L77-W77</f>
        <v>1962.3100000000013</v>
      </c>
      <c r="AF77" s="171"/>
      <c r="AG77" s="170">
        <f>L77/W77</f>
        <v>1.1882468848719272</v>
      </c>
      <c r="AH77" s="171"/>
      <c r="AI77" s="170">
        <f t="shared" si="8"/>
        <v>0.1882468848719272</v>
      </c>
    </row>
    <row r="78" spans="1:35" s="19" customFormat="1" ht="54.95" customHeight="1" x14ac:dyDescent="0.85">
      <c r="A78" s="163" t="s">
        <v>391</v>
      </c>
      <c r="B78" s="81">
        <f>[1]CNT!N233</f>
        <v>4500</v>
      </c>
      <c r="C78" s="81"/>
      <c r="D78" s="81">
        <v>0</v>
      </c>
      <c r="E78" s="81"/>
      <c r="F78" s="81">
        <v>0</v>
      </c>
      <c r="G78" s="81">
        <v>0</v>
      </c>
      <c r="H78" s="81">
        <v>0</v>
      </c>
      <c r="I78" s="81">
        <v>0</v>
      </c>
      <c r="J78" s="81"/>
      <c r="K78" s="81">
        <v>0</v>
      </c>
      <c r="L78" s="81">
        <f t="shared" si="32"/>
        <v>4500</v>
      </c>
      <c r="M78" s="82">
        <f t="shared" si="33"/>
        <v>5.1175851039334331E-3</v>
      </c>
      <c r="N78" s="82"/>
      <c r="O78" s="75" t="s">
        <v>391</v>
      </c>
      <c r="P78" s="81">
        <v>2500</v>
      </c>
      <c r="Q78" s="81">
        <v>0</v>
      </c>
      <c r="R78" s="81">
        <v>0</v>
      </c>
      <c r="S78" s="81">
        <v>0</v>
      </c>
      <c r="T78" s="81">
        <v>0</v>
      </c>
      <c r="U78" s="81">
        <v>0</v>
      </c>
      <c r="V78" s="81">
        <v>0</v>
      </c>
      <c r="W78" s="81">
        <f>SUM(P78:V78)</f>
        <v>2500</v>
      </c>
      <c r="X78" s="170">
        <f t="shared" si="34"/>
        <v>3.0897327094479132E-3</v>
      </c>
      <c r="Y78" s="75" t="s">
        <v>391</v>
      </c>
      <c r="Z78" s="170"/>
      <c r="AA78" s="171">
        <f t="shared" si="4"/>
        <v>4500</v>
      </c>
      <c r="AB78" s="170"/>
      <c r="AC78" s="171">
        <f t="shared" si="5"/>
        <v>2500</v>
      </c>
      <c r="AD78" s="170"/>
      <c r="AE78" s="171">
        <f>L78-W78</f>
        <v>2000</v>
      </c>
      <c r="AF78" s="171"/>
      <c r="AG78" s="170">
        <f>L78/W78</f>
        <v>1.8</v>
      </c>
      <c r="AH78" s="171"/>
      <c r="AI78" s="170">
        <f>AG78-1</f>
        <v>0.8</v>
      </c>
    </row>
    <row r="79" spans="1:35" s="19" customFormat="1" ht="54.95" customHeight="1" x14ac:dyDescent="0.85">
      <c r="A79" s="163" t="s">
        <v>252</v>
      </c>
      <c r="B79" s="81">
        <f>[1]CNT!N236</f>
        <v>91089.459999999992</v>
      </c>
      <c r="C79" s="81"/>
      <c r="D79" s="81">
        <f>[1]BPM!K47</f>
        <v>7737.42</v>
      </c>
      <c r="E79" s="81"/>
      <c r="F79" s="81">
        <f>[1]DEP!K57</f>
        <v>6558.06</v>
      </c>
      <c r="G79" s="81">
        <f>[1]Lending!K9</f>
        <v>1833.2100000000003</v>
      </c>
      <c r="H79" s="81">
        <f>'[1]BSC (Dome)'!K60</f>
        <v>2328.1199999999994</v>
      </c>
      <c r="I79" s="81">
        <v>0</v>
      </c>
      <c r="J79" s="81"/>
      <c r="K79" s="81">
        <f>'[1]722 Bedford St'!K16</f>
        <v>714.47000000000014</v>
      </c>
      <c r="L79" s="81">
        <f t="shared" si="32"/>
        <v>110260.73999999999</v>
      </c>
      <c r="M79" s="82">
        <f t="shared" si="33"/>
        <v>0.1253930490161505</v>
      </c>
      <c r="N79" s="82"/>
      <c r="O79" s="75" t="s">
        <v>252</v>
      </c>
      <c r="P79" s="81">
        <v>100858.01</v>
      </c>
      <c r="Q79" s="81">
        <v>6171.16</v>
      </c>
      <c r="R79" s="81">
        <v>6773.82</v>
      </c>
      <c r="S79" s="81">
        <v>1756.26</v>
      </c>
      <c r="T79" s="81">
        <v>3231.2</v>
      </c>
      <c r="U79" s="81">
        <v>54</v>
      </c>
      <c r="V79" s="81">
        <v>703.58</v>
      </c>
      <c r="W79" s="81">
        <f t="shared" si="2"/>
        <v>119548.02999999998</v>
      </c>
      <c r="X79" s="170">
        <f t="shared" si="34"/>
        <v>0.14774858345642414</v>
      </c>
      <c r="Y79" s="75" t="s">
        <v>252</v>
      </c>
      <c r="Z79" s="170"/>
      <c r="AA79" s="171">
        <f t="shared" si="4"/>
        <v>110260.73999999999</v>
      </c>
      <c r="AB79" s="170"/>
      <c r="AC79" s="171">
        <f t="shared" si="5"/>
        <v>119548.02999999998</v>
      </c>
      <c r="AD79" s="170"/>
      <c r="AE79" s="171">
        <f t="shared" ref="AE79:AE94" si="35">L79-W79</f>
        <v>-9287.2899999999936</v>
      </c>
      <c r="AF79" s="171"/>
      <c r="AG79" s="170">
        <f t="shared" ref="AG79:AG91" si="36">L79/W79</f>
        <v>0.92231331624619828</v>
      </c>
      <c r="AH79" s="171"/>
      <c r="AI79" s="170">
        <f t="shared" si="8"/>
        <v>-7.7686683753801722E-2</v>
      </c>
    </row>
    <row r="80" spans="1:35" s="19" customFormat="1" ht="54.95" customHeight="1" x14ac:dyDescent="0.85">
      <c r="A80" s="163" t="s">
        <v>363</v>
      </c>
      <c r="B80" s="81">
        <v>0</v>
      </c>
      <c r="C80" s="81"/>
      <c r="D80" s="81">
        <v>0</v>
      </c>
      <c r="E80" s="81"/>
      <c r="F80" s="81">
        <v>0</v>
      </c>
      <c r="G80" s="81">
        <v>0</v>
      </c>
      <c r="H80" s="81">
        <f>'[1]BSC (Dome)'!K61</f>
        <v>3495.7000000000003</v>
      </c>
      <c r="I80" s="81">
        <v>0</v>
      </c>
      <c r="J80" s="81"/>
      <c r="K80" s="81">
        <v>0</v>
      </c>
      <c r="L80" s="81">
        <f t="shared" si="32"/>
        <v>3495.7000000000003</v>
      </c>
      <c r="M80" s="82">
        <f t="shared" si="33"/>
        <v>3.9754538328489117E-3</v>
      </c>
      <c r="N80" s="82"/>
      <c r="O80" s="75" t="s">
        <v>363</v>
      </c>
      <c r="P80" s="81">
        <v>0</v>
      </c>
      <c r="Q80" s="81">
        <v>0</v>
      </c>
      <c r="R80" s="81">
        <v>0</v>
      </c>
      <c r="S80" s="81">
        <v>0</v>
      </c>
      <c r="T80" s="81">
        <v>2914.87</v>
      </c>
      <c r="U80" s="81">
        <v>0</v>
      </c>
      <c r="V80" s="81">
        <v>0</v>
      </c>
      <c r="W80" s="81">
        <f>SUM(P80:V80)</f>
        <v>2914.87</v>
      </c>
      <c r="X80" s="170">
        <f t="shared" si="34"/>
        <v>3.6024676731153753E-3</v>
      </c>
      <c r="Y80" s="75" t="s">
        <v>363</v>
      </c>
      <c r="Z80" s="170"/>
      <c r="AA80" s="171">
        <f t="shared" si="4"/>
        <v>3495.7000000000003</v>
      </c>
      <c r="AB80" s="170"/>
      <c r="AC80" s="171">
        <f t="shared" si="5"/>
        <v>2914.87</v>
      </c>
      <c r="AD80" s="170"/>
      <c r="AE80" s="171">
        <f t="shared" si="35"/>
        <v>580.83000000000038</v>
      </c>
      <c r="AF80" s="171"/>
      <c r="AG80" s="170">
        <f t="shared" si="36"/>
        <v>1.1992644611938099</v>
      </c>
      <c r="AH80" s="171"/>
      <c r="AI80" s="170">
        <f t="shared" si="8"/>
        <v>0.19926446119380992</v>
      </c>
    </row>
    <row r="81" spans="1:35" s="19" customFormat="1" ht="54.95" customHeight="1" x14ac:dyDescent="0.85">
      <c r="A81" s="163" t="s">
        <v>253</v>
      </c>
      <c r="B81" s="81">
        <f>[1]CNT!N238</f>
        <v>3820.81</v>
      </c>
      <c r="C81" s="81"/>
      <c r="D81" s="81">
        <v>0</v>
      </c>
      <c r="E81" s="81"/>
      <c r="F81" s="81">
        <v>0</v>
      </c>
      <c r="G81" s="81">
        <v>0</v>
      </c>
      <c r="H81" s="81">
        <f>'[1]BSC (Dome)'!K65</f>
        <v>1068.2</v>
      </c>
      <c r="I81" s="81">
        <v>0</v>
      </c>
      <c r="J81" s="81"/>
      <c r="K81" s="81">
        <v>0</v>
      </c>
      <c r="L81" s="81">
        <f t="shared" si="32"/>
        <v>4889.01</v>
      </c>
      <c r="M81" s="82">
        <f t="shared" si="33"/>
        <v>5.5599832775514654E-3</v>
      </c>
      <c r="N81" s="82"/>
      <c r="O81" s="75" t="s">
        <v>253</v>
      </c>
      <c r="P81" s="81">
        <v>9835.43</v>
      </c>
      <c r="Q81" s="81">
        <v>0</v>
      </c>
      <c r="R81" s="81">
        <v>100</v>
      </c>
      <c r="S81" s="81">
        <v>0</v>
      </c>
      <c r="T81" s="81">
        <v>4023.43</v>
      </c>
      <c r="U81" s="81">
        <v>0</v>
      </c>
      <c r="V81" s="81">
        <v>0</v>
      </c>
      <c r="W81" s="81">
        <f t="shared" si="2"/>
        <v>13958.86</v>
      </c>
      <c r="X81" s="170">
        <f t="shared" si="34"/>
        <v>1.725165853144164E-2</v>
      </c>
      <c r="Y81" s="75" t="s">
        <v>253</v>
      </c>
      <c r="Z81" s="170"/>
      <c r="AA81" s="171">
        <f t="shared" ref="AA81:AA116" si="37">L81</f>
        <v>4889.01</v>
      </c>
      <c r="AB81" s="170"/>
      <c r="AC81" s="171">
        <f t="shared" ref="AC81:AC116" si="38">W81</f>
        <v>13958.86</v>
      </c>
      <c r="AD81" s="170"/>
      <c r="AE81" s="171">
        <f t="shared" si="35"/>
        <v>-9069.85</v>
      </c>
      <c r="AF81" s="171"/>
      <c r="AG81" s="170">
        <f t="shared" si="36"/>
        <v>0.3502442176510116</v>
      </c>
      <c r="AH81" s="171"/>
      <c r="AI81" s="170">
        <f t="shared" si="8"/>
        <v>-0.64975578234898834</v>
      </c>
    </row>
    <row r="82" spans="1:35" s="19" customFormat="1" ht="54.95" customHeight="1" x14ac:dyDescent="0.85">
      <c r="A82" s="163" t="s">
        <v>360</v>
      </c>
      <c r="B82" s="81">
        <f>[1]CNT!N256</f>
        <v>261714.28000000003</v>
      </c>
      <c r="C82" s="81"/>
      <c r="D82" s="81">
        <f>[1]BPM!K50</f>
        <v>10103</v>
      </c>
      <c r="E82" s="81"/>
      <c r="F82" s="81">
        <f>[1]DEP!K61</f>
        <v>41000</v>
      </c>
      <c r="G82" s="81">
        <f>[1]Lending!K12</f>
        <v>1422.5100000000002</v>
      </c>
      <c r="H82" s="81">
        <f>'[1]BSC (Dome)'!K66</f>
        <v>4250</v>
      </c>
      <c r="I82" s="81">
        <f>'[1]Oliari Co.'!K15</f>
        <v>2650</v>
      </c>
      <c r="J82" s="81"/>
      <c r="K82" s="81">
        <v>0</v>
      </c>
      <c r="L82" s="81">
        <f t="shared" si="32"/>
        <v>321139.79000000004</v>
      </c>
      <c r="M82" s="82">
        <f t="shared" si="33"/>
        <v>0.3652133790187358</v>
      </c>
      <c r="N82" s="82"/>
      <c r="O82" s="75" t="s">
        <v>360</v>
      </c>
      <c r="P82" s="81">
        <v>318577.26</v>
      </c>
      <c r="Q82" s="81">
        <v>54330.76</v>
      </c>
      <c r="R82" s="81">
        <v>67994.509999999995</v>
      </c>
      <c r="S82" s="81">
        <v>0</v>
      </c>
      <c r="T82" s="81">
        <v>15880.79</v>
      </c>
      <c r="U82" s="81">
        <v>2300</v>
      </c>
      <c r="V82" s="81">
        <v>520</v>
      </c>
      <c r="W82" s="81">
        <f t="shared" si="2"/>
        <v>459603.32</v>
      </c>
      <c r="X82" s="170">
        <f t="shared" si="34"/>
        <v>0.56802056446994253</v>
      </c>
      <c r="Y82" s="75" t="s">
        <v>360</v>
      </c>
      <c r="Z82" s="170"/>
      <c r="AA82" s="171">
        <f t="shared" si="37"/>
        <v>321139.79000000004</v>
      </c>
      <c r="AB82" s="170"/>
      <c r="AC82" s="171">
        <f t="shared" si="38"/>
        <v>459603.32</v>
      </c>
      <c r="AD82" s="170"/>
      <c r="AE82" s="171">
        <f t="shared" si="35"/>
        <v>-138463.52999999997</v>
      </c>
      <c r="AF82" s="171"/>
      <c r="AG82" s="170">
        <f t="shared" si="36"/>
        <v>0.69873252873804315</v>
      </c>
      <c r="AH82" s="171"/>
      <c r="AI82" s="170">
        <f t="shared" si="8"/>
        <v>-0.30126747126195685</v>
      </c>
    </row>
    <row r="83" spans="1:35" s="19" customFormat="1" ht="54.95" customHeight="1" x14ac:dyDescent="0.85">
      <c r="A83" s="163" t="s">
        <v>361</v>
      </c>
      <c r="B83" s="81">
        <f>[1]CNT!N257</f>
        <v>68000</v>
      </c>
      <c r="C83" s="81"/>
      <c r="D83" s="81">
        <f>[1]BPM!K51</f>
        <v>33750</v>
      </c>
      <c r="E83" s="81"/>
      <c r="F83" s="81">
        <f>[1]DEP!K62</f>
        <v>20250</v>
      </c>
      <c r="G83" s="81">
        <v>0</v>
      </c>
      <c r="H83" s="81">
        <f>'[1]BSC (Dome)'!K67</f>
        <v>13500</v>
      </c>
      <c r="I83" s="81">
        <v>0</v>
      </c>
      <c r="J83" s="81"/>
      <c r="K83" s="81">
        <v>0</v>
      </c>
      <c r="L83" s="81">
        <f t="shared" si="32"/>
        <v>135500</v>
      </c>
      <c r="M83" s="82">
        <f t="shared" si="33"/>
        <v>0.15409617368510672</v>
      </c>
      <c r="N83" s="82"/>
      <c r="O83" s="75" t="s">
        <v>361</v>
      </c>
      <c r="P83" s="81">
        <v>0</v>
      </c>
      <c r="Q83" s="81">
        <v>0</v>
      </c>
      <c r="R83" s="81">
        <v>0</v>
      </c>
      <c r="S83" s="81">
        <v>0</v>
      </c>
      <c r="T83" s="81">
        <v>10695.06</v>
      </c>
      <c r="U83" s="81">
        <v>11520</v>
      </c>
      <c r="V83" s="81">
        <v>0</v>
      </c>
      <c r="W83" s="81">
        <f>SUM(P83:V83)</f>
        <v>22215.059999999998</v>
      </c>
      <c r="X83" s="170">
        <f t="shared" si="34"/>
        <v>2.745543900973918E-2</v>
      </c>
      <c r="Y83" s="75" t="s">
        <v>361</v>
      </c>
      <c r="Z83" s="170"/>
      <c r="AA83" s="171">
        <f t="shared" si="37"/>
        <v>135500</v>
      </c>
      <c r="AB83" s="170"/>
      <c r="AC83" s="171">
        <f t="shared" si="38"/>
        <v>22215.059999999998</v>
      </c>
      <c r="AD83" s="170"/>
      <c r="AE83" s="171">
        <f t="shared" si="35"/>
        <v>113284.94</v>
      </c>
      <c r="AF83" s="171"/>
      <c r="AG83" s="170">
        <f t="shared" si="36"/>
        <v>6.0994658578459848</v>
      </c>
      <c r="AH83" s="171"/>
      <c r="AI83" s="170">
        <f t="shared" si="8"/>
        <v>5.0994658578459848</v>
      </c>
    </row>
    <row r="84" spans="1:35" s="19" customFormat="1" ht="54.95" customHeight="1" x14ac:dyDescent="0.85">
      <c r="A84" s="163" t="s">
        <v>362</v>
      </c>
      <c r="B84" s="81">
        <f>[1]CNT!N255</f>
        <v>53753.43</v>
      </c>
      <c r="C84" s="81"/>
      <c r="D84" s="81">
        <v>0</v>
      </c>
      <c r="E84" s="81"/>
      <c r="F84" s="81">
        <f>[1]DEP!K60</f>
        <v>-5776.56</v>
      </c>
      <c r="G84" s="81">
        <f>[1]Lending!K11</f>
        <v>11250</v>
      </c>
      <c r="H84" s="81">
        <v>0</v>
      </c>
      <c r="I84" s="81">
        <v>0</v>
      </c>
      <c r="J84" s="81"/>
      <c r="K84" s="81">
        <v>0</v>
      </c>
      <c r="L84" s="81">
        <f t="shared" si="32"/>
        <v>59226.87</v>
      </c>
      <c r="M84" s="82">
        <f t="shared" si="33"/>
        <v>6.7355232814355986E-2</v>
      </c>
      <c r="N84" s="82"/>
      <c r="O84" s="75" t="s">
        <v>362</v>
      </c>
      <c r="P84" s="81">
        <v>0</v>
      </c>
      <c r="Q84" s="81">
        <v>0</v>
      </c>
      <c r="R84" s="81">
        <v>0</v>
      </c>
      <c r="S84" s="81">
        <v>2731.25</v>
      </c>
      <c r="T84" s="81">
        <v>0</v>
      </c>
      <c r="U84" s="81">
        <v>0</v>
      </c>
      <c r="V84" s="81">
        <v>0</v>
      </c>
      <c r="W84" s="81">
        <f>SUM(P84:V84)</f>
        <v>2731.25</v>
      </c>
      <c r="X84" s="170">
        <f t="shared" si="34"/>
        <v>3.3755329850718454E-3</v>
      </c>
      <c r="Y84" s="75" t="s">
        <v>362</v>
      </c>
      <c r="Z84" s="170"/>
      <c r="AA84" s="171">
        <f t="shared" si="37"/>
        <v>59226.87</v>
      </c>
      <c r="AB84" s="170"/>
      <c r="AC84" s="171">
        <f t="shared" si="38"/>
        <v>2731.25</v>
      </c>
      <c r="AD84" s="170"/>
      <c r="AE84" s="171">
        <f t="shared" si="35"/>
        <v>56495.62</v>
      </c>
      <c r="AF84" s="171"/>
      <c r="AG84" s="179">
        <v>0</v>
      </c>
      <c r="AH84" s="171"/>
      <c r="AI84" s="170">
        <f t="shared" si="8"/>
        <v>-1</v>
      </c>
    </row>
    <row r="85" spans="1:35" s="19" customFormat="1" ht="54.95" customHeight="1" x14ac:dyDescent="0.85">
      <c r="A85" s="163" t="s">
        <v>400</v>
      </c>
      <c r="B85" s="81">
        <f>[1]CNT!N258</f>
        <v>39352.5</v>
      </c>
      <c r="C85" s="81"/>
      <c r="D85" s="81">
        <v>0</v>
      </c>
      <c r="E85" s="81"/>
      <c r="F85" s="81"/>
      <c r="G85" s="81">
        <v>0</v>
      </c>
      <c r="H85" s="81">
        <v>0</v>
      </c>
      <c r="I85" s="81">
        <v>0</v>
      </c>
      <c r="J85" s="81"/>
      <c r="K85" s="81">
        <v>0</v>
      </c>
      <c r="L85" s="81">
        <f t="shared" si="32"/>
        <v>39352.5</v>
      </c>
      <c r="M85" s="82">
        <f t="shared" si="33"/>
        <v>4.4753281733897872E-2</v>
      </c>
      <c r="N85" s="82"/>
      <c r="O85" s="75" t="s">
        <v>400</v>
      </c>
      <c r="P85" s="81">
        <v>0</v>
      </c>
      <c r="Q85" s="81">
        <v>0</v>
      </c>
      <c r="R85" s="81">
        <v>0</v>
      </c>
      <c r="S85" s="81">
        <v>0</v>
      </c>
      <c r="T85" s="81">
        <v>0</v>
      </c>
      <c r="U85" s="81">
        <v>0</v>
      </c>
      <c r="V85" s="81">
        <v>0</v>
      </c>
      <c r="W85" s="81">
        <f>SUM(P85:V85)</f>
        <v>0</v>
      </c>
      <c r="X85" s="170">
        <f t="shared" si="34"/>
        <v>0</v>
      </c>
      <c r="Y85" s="75" t="s">
        <v>400</v>
      </c>
      <c r="Z85" s="170"/>
      <c r="AA85" s="171">
        <f t="shared" si="37"/>
        <v>39352.5</v>
      </c>
      <c r="AB85" s="170"/>
      <c r="AC85" s="171">
        <f t="shared" si="38"/>
        <v>0</v>
      </c>
      <c r="AD85" s="170"/>
      <c r="AE85" s="171">
        <f>L85-W85</f>
        <v>39352.5</v>
      </c>
      <c r="AF85" s="171"/>
      <c r="AG85" s="179">
        <v>0</v>
      </c>
      <c r="AH85" s="171"/>
      <c r="AI85" s="170">
        <f t="shared" si="8"/>
        <v>-1</v>
      </c>
    </row>
    <row r="86" spans="1:35" s="19" customFormat="1" ht="54.95" customHeight="1" x14ac:dyDescent="0.85">
      <c r="A86" s="163" t="s">
        <v>389</v>
      </c>
      <c r="B86" s="81">
        <v>0</v>
      </c>
      <c r="C86" s="81"/>
      <c r="D86" s="81">
        <v>0</v>
      </c>
      <c r="E86" s="81"/>
      <c r="F86" s="81">
        <f>[1]DEP!K63</f>
        <v>6625.0199999999995</v>
      </c>
      <c r="G86" s="81">
        <v>0</v>
      </c>
      <c r="H86" s="81">
        <v>0</v>
      </c>
      <c r="I86" s="81">
        <v>0</v>
      </c>
      <c r="J86" s="81"/>
      <c r="K86" s="81">
        <v>0</v>
      </c>
      <c r="L86" s="81">
        <f t="shared" si="32"/>
        <v>6625.0199999999995</v>
      </c>
      <c r="M86" s="82">
        <f t="shared" si="33"/>
        <v>7.5342452589469049E-3</v>
      </c>
      <c r="N86" s="82"/>
      <c r="O86" s="75" t="s">
        <v>389</v>
      </c>
      <c r="P86" s="81">
        <v>0</v>
      </c>
      <c r="Q86" s="81">
        <v>0</v>
      </c>
      <c r="R86" s="81">
        <v>0</v>
      </c>
      <c r="S86" s="81">
        <v>0</v>
      </c>
      <c r="T86" s="81">
        <v>0</v>
      </c>
      <c r="U86" s="81">
        <v>0</v>
      </c>
      <c r="V86" s="81">
        <v>0</v>
      </c>
      <c r="W86" s="81">
        <f>SUM(P86:V86)</f>
        <v>0</v>
      </c>
      <c r="X86" s="170">
        <f t="shared" si="34"/>
        <v>0</v>
      </c>
      <c r="Y86" s="75" t="s">
        <v>389</v>
      </c>
      <c r="Z86" s="170"/>
      <c r="AA86" s="171">
        <f t="shared" si="37"/>
        <v>6625.0199999999995</v>
      </c>
      <c r="AB86" s="170"/>
      <c r="AC86" s="171">
        <f t="shared" si="38"/>
        <v>0</v>
      </c>
      <c r="AD86" s="170"/>
      <c r="AE86" s="171">
        <f t="shared" si="35"/>
        <v>6625.0199999999995</v>
      </c>
      <c r="AF86" s="171"/>
      <c r="AG86" s="179">
        <v>0</v>
      </c>
      <c r="AH86" s="171"/>
      <c r="AI86" s="170">
        <f t="shared" si="8"/>
        <v>-1</v>
      </c>
    </row>
    <row r="87" spans="1:35" s="19" customFormat="1" ht="54.95" customHeight="1" x14ac:dyDescent="0.85">
      <c r="A87" s="163" t="s">
        <v>255</v>
      </c>
      <c r="B87" s="81">
        <f>[1]CNT!N242+[1]CNT!N260</f>
        <v>39532.740000000005</v>
      </c>
      <c r="C87" s="81"/>
      <c r="D87" s="81">
        <v>0</v>
      </c>
      <c r="E87" s="81"/>
      <c r="F87" s="81">
        <f>[1]DEP!K59</f>
        <v>5250</v>
      </c>
      <c r="G87" s="81">
        <v>0</v>
      </c>
      <c r="H87" s="81">
        <f>'[1]BSC (Dome)'!K63:K63</f>
        <v>1328.0999999999997</v>
      </c>
      <c r="I87" s="81">
        <v>0</v>
      </c>
      <c r="J87" s="81"/>
      <c r="K87" s="81">
        <v>0</v>
      </c>
      <c r="L87" s="81">
        <f t="shared" si="32"/>
        <v>46110.840000000004</v>
      </c>
      <c r="M87" s="82">
        <f t="shared" si="33"/>
        <v>5.243914398085732E-2</v>
      </c>
      <c r="N87" s="82"/>
      <c r="O87" s="75" t="s">
        <v>255</v>
      </c>
      <c r="P87" s="81">
        <v>2562.1999999999998</v>
      </c>
      <c r="Q87" s="81">
        <v>0</v>
      </c>
      <c r="R87" s="81">
        <v>0</v>
      </c>
      <c r="S87" s="81">
        <v>0</v>
      </c>
      <c r="T87" s="81">
        <f>2821.94</f>
        <v>2821.94</v>
      </c>
      <c r="U87" s="81">
        <v>0</v>
      </c>
      <c r="V87" s="81">
        <v>0</v>
      </c>
      <c r="W87" s="81">
        <f t="shared" si="2"/>
        <v>5384.1399999999994</v>
      </c>
      <c r="X87" s="170">
        <f t="shared" si="34"/>
        <v>6.6542213880987546E-3</v>
      </c>
      <c r="Y87" s="75" t="s">
        <v>255</v>
      </c>
      <c r="Z87" s="170"/>
      <c r="AA87" s="171">
        <f t="shared" si="37"/>
        <v>46110.840000000004</v>
      </c>
      <c r="AB87" s="170"/>
      <c r="AC87" s="171">
        <f t="shared" si="38"/>
        <v>5384.1399999999994</v>
      </c>
      <c r="AD87" s="170"/>
      <c r="AE87" s="171">
        <f t="shared" si="35"/>
        <v>40726.700000000004</v>
      </c>
      <c r="AF87" s="171"/>
      <c r="AG87" s="170">
        <f t="shared" si="36"/>
        <v>8.5641978106067089</v>
      </c>
      <c r="AH87" s="171"/>
      <c r="AI87" s="170">
        <f t="shared" si="8"/>
        <v>7.5641978106067089</v>
      </c>
    </row>
    <row r="88" spans="1:35" s="19" customFormat="1" ht="54.95" customHeight="1" x14ac:dyDescent="0.85">
      <c r="A88" s="163" t="s">
        <v>256</v>
      </c>
      <c r="B88" s="81">
        <f>[1]CNT!N246</f>
        <v>27536.76</v>
      </c>
      <c r="C88" s="81"/>
      <c r="D88" s="81">
        <f>[1]BPM!K48</f>
        <v>912.49</v>
      </c>
      <c r="E88" s="81"/>
      <c r="F88" s="81">
        <f>[1]DEP!K65</f>
        <v>2477.5</v>
      </c>
      <c r="G88" s="81">
        <v>0</v>
      </c>
      <c r="H88" s="81">
        <f>'[1]BSC (Dome)'!K69</f>
        <v>642</v>
      </c>
      <c r="I88" s="81">
        <v>0</v>
      </c>
      <c r="J88" s="81"/>
      <c r="K88" s="81">
        <v>0</v>
      </c>
      <c r="L88" s="81">
        <f t="shared" si="32"/>
        <v>31568.75</v>
      </c>
      <c r="M88" s="82">
        <f t="shared" si="33"/>
        <v>3.5901281055510791E-2</v>
      </c>
      <c r="N88" s="82"/>
      <c r="O88" s="75" t="s">
        <v>256</v>
      </c>
      <c r="P88" s="81">
        <v>32426.25</v>
      </c>
      <c r="Q88" s="81">
        <v>1125.75</v>
      </c>
      <c r="R88" s="81">
        <v>1887.75</v>
      </c>
      <c r="S88" s="81">
        <v>0</v>
      </c>
      <c r="T88" s="81">
        <v>623</v>
      </c>
      <c r="U88" s="81">
        <v>0</v>
      </c>
      <c r="V88" s="81">
        <v>0</v>
      </c>
      <c r="W88" s="81">
        <f t="shared" si="2"/>
        <v>36062.75</v>
      </c>
      <c r="X88" s="170">
        <f t="shared" si="34"/>
        <v>4.4569703307057097E-2</v>
      </c>
      <c r="Y88" s="75" t="s">
        <v>256</v>
      </c>
      <c r="Z88" s="170"/>
      <c r="AA88" s="171">
        <f t="shared" si="37"/>
        <v>31568.75</v>
      </c>
      <c r="AB88" s="170"/>
      <c r="AC88" s="171">
        <f t="shared" si="38"/>
        <v>36062.75</v>
      </c>
      <c r="AD88" s="170"/>
      <c r="AE88" s="171">
        <f t="shared" si="35"/>
        <v>-4494</v>
      </c>
      <c r="AF88" s="171"/>
      <c r="AG88" s="170">
        <f t="shared" si="36"/>
        <v>0.87538387948783714</v>
      </c>
      <c r="AH88" s="171"/>
      <c r="AI88" s="170">
        <f t="shared" si="8"/>
        <v>-0.12461612051216286</v>
      </c>
    </row>
    <row r="89" spans="1:35" s="19" customFormat="1" ht="54.95" customHeight="1" x14ac:dyDescent="0.85">
      <c r="A89" s="163" t="s">
        <v>257</v>
      </c>
      <c r="B89" s="81">
        <f>[1]CNT!N247</f>
        <v>25516.5</v>
      </c>
      <c r="C89" s="81"/>
      <c r="D89" s="81">
        <f>0</f>
        <v>0</v>
      </c>
      <c r="E89" s="81"/>
      <c r="F89" s="81">
        <v>0</v>
      </c>
      <c r="G89" s="81">
        <v>0</v>
      </c>
      <c r="H89" s="81">
        <v>0</v>
      </c>
      <c r="I89" s="81">
        <v>0</v>
      </c>
      <c r="J89" s="81"/>
      <c r="K89" s="81">
        <v>0</v>
      </c>
      <c r="L89" s="81">
        <f t="shared" si="32"/>
        <v>25516.5</v>
      </c>
      <c r="M89" s="82">
        <f t="shared" si="33"/>
        <v>2.9018413401003879E-2</v>
      </c>
      <c r="N89" s="82"/>
      <c r="O89" s="75" t="s">
        <v>257</v>
      </c>
      <c r="P89" s="81">
        <v>21659.119999999999</v>
      </c>
      <c r="Q89" s="81">
        <v>0</v>
      </c>
      <c r="R89" s="81">
        <v>0</v>
      </c>
      <c r="S89" s="81">
        <v>0</v>
      </c>
      <c r="T89" s="81">
        <v>0</v>
      </c>
      <c r="U89" s="81">
        <v>0</v>
      </c>
      <c r="V89" s="81">
        <v>0</v>
      </c>
      <c r="W89" s="81">
        <f t="shared" si="2"/>
        <v>21659.119999999999</v>
      </c>
      <c r="X89" s="170">
        <f t="shared" si="34"/>
        <v>2.6768356608742994E-2</v>
      </c>
      <c r="Y89" s="75" t="s">
        <v>257</v>
      </c>
      <c r="Z89" s="170"/>
      <c r="AA89" s="171">
        <f t="shared" si="37"/>
        <v>25516.5</v>
      </c>
      <c r="AB89" s="170"/>
      <c r="AC89" s="171">
        <f t="shared" si="38"/>
        <v>21659.119999999999</v>
      </c>
      <c r="AD89" s="170"/>
      <c r="AE89" s="171">
        <f t="shared" si="35"/>
        <v>3857.380000000001</v>
      </c>
      <c r="AF89" s="171"/>
      <c r="AG89" s="179">
        <v>0</v>
      </c>
      <c r="AH89" s="171"/>
      <c r="AI89" s="170">
        <f t="shared" si="8"/>
        <v>-1</v>
      </c>
    </row>
    <row r="90" spans="1:35" s="19" customFormat="1" ht="54.95" customHeight="1" x14ac:dyDescent="0.85">
      <c r="A90" s="163" t="s">
        <v>294</v>
      </c>
      <c r="B90" s="81">
        <f>[1]CNT!N237</f>
        <v>543.67999999999995</v>
      </c>
      <c r="C90" s="81"/>
      <c r="D90" s="81">
        <f>0</f>
        <v>0</v>
      </c>
      <c r="E90" s="81"/>
      <c r="F90" s="81">
        <f>[1]DEP!K58</f>
        <v>300</v>
      </c>
      <c r="G90" s="81">
        <v>0</v>
      </c>
      <c r="H90" s="81">
        <f>'[1]BSC (Dome)'!K62</f>
        <v>2600</v>
      </c>
      <c r="I90" s="81">
        <v>0</v>
      </c>
      <c r="J90" s="81"/>
      <c r="K90" s="81">
        <v>0</v>
      </c>
      <c r="L90" s="81">
        <f t="shared" si="32"/>
        <v>3443.68</v>
      </c>
      <c r="M90" s="82">
        <f t="shared" si="33"/>
        <v>3.916294549047441E-3</v>
      </c>
      <c r="N90" s="82"/>
      <c r="O90" s="75" t="s">
        <v>294</v>
      </c>
      <c r="P90" s="81">
        <v>0</v>
      </c>
      <c r="Q90" s="81">
        <v>0</v>
      </c>
      <c r="R90" s="81">
        <v>0</v>
      </c>
      <c r="S90" s="81">
        <v>0</v>
      </c>
      <c r="T90" s="81">
        <v>950</v>
      </c>
      <c r="U90" s="81">
        <v>0</v>
      </c>
      <c r="V90" s="81">
        <v>0</v>
      </c>
      <c r="W90" s="81">
        <f>SUM(P90:V90)</f>
        <v>950</v>
      </c>
      <c r="X90" s="170">
        <f t="shared" si="34"/>
        <v>1.1740984295902071E-3</v>
      </c>
      <c r="Y90" s="75" t="s">
        <v>294</v>
      </c>
      <c r="Z90" s="170"/>
      <c r="AA90" s="171">
        <f t="shared" si="37"/>
        <v>3443.68</v>
      </c>
      <c r="AB90" s="170"/>
      <c r="AC90" s="171">
        <f t="shared" si="38"/>
        <v>950</v>
      </c>
      <c r="AD90" s="170"/>
      <c r="AE90" s="171">
        <f t="shared" si="35"/>
        <v>2493.6799999999998</v>
      </c>
      <c r="AF90" s="171"/>
      <c r="AG90" s="179">
        <v>0</v>
      </c>
      <c r="AH90" s="171"/>
      <c r="AI90" s="180">
        <v>0</v>
      </c>
    </row>
    <row r="91" spans="1:35" s="19" customFormat="1" ht="54.95" customHeight="1" x14ac:dyDescent="0.85">
      <c r="A91" s="163" t="s">
        <v>375</v>
      </c>
      <c r="B91" s="81">
        <f>[1]CNT!N243</f>
        <v>397.63</v>
      </c>
      <c r="C91" s="81"/>
      <c r="D91" s="81">
        <v>0</v>
      </c>
      <c r="E91" s="81"/>
      <c r="F91" s="81">
        <v>0</v>
      </c>
      <c r="G91" s="81">
        <v>0</v>
      </c>
      <c r="H91" s="81">
        <f>'[1]BSC (Dome)'!K64</f>
        <v>10329.9</v>
      </c>
      <c r="I91" s="81">
        <v>0</v>
      </c>
      <c r="J91" s="81"/>
      <c r="K91" s="81">
        <v>0</v>
      </c>
      <c r="L91" s="81">
        <f t="shared" si="32"/>
        <v>10727.529999999999</v>
      </c>
      <c r="M91" s="82">
        <f t="shared" si="33"/>
        <v>1.2199788384444226E-2</v>
      </c>
      <c r="N91" s="82"/>
      <c r="O91" s="75" t="s">
        <v>375</v>
      </c>
      <c r="P91" s="81">
        <v>696.89</v>
      </c>
      <c r="Q91" s="81">
        <v>0</v>
      </c>
      <c r="R91" s="81">
        <v>0</v>
      </c>
      <c r="S91" s="81">
        <v>0</v>
      </c>
      <c r="T91" s="81">
        <v>6832.94</v>
      </c>
      <c r="U91" s="81">
        <v>0</v>
      </c>
      <c r="V91" s="81">
        <v>0</v>
      </c>
      <c r="W91" s="81">
        <f>SUM(P91:V91)</f>
        <v>7529.83</v>
      </c>
      <c r="X91" s="170">
        <f t="shared" si="34"/>
        <v>9.3060648190328721E-3</v>
      </c>
      <c r="Y91" s="75" t="s">
        <v>375</v>
      </c>
      <c r="Z91" s="170"/>
      <c r="AA91" s="171">
        <f t="shared" si="37"/>
        <v>10727.529999999999</v>
      </c>
      <c r="AB91" s="170"/>
      <c r="AC91" s="171">
        <f t="shared" si="38"/>
        <v>7529.83</v>
      </c>
      <c r="AD91" s="170"/>
      <c r="AE91" s="171">
        <f t="shared" si="35"/>
        <v>3197.6999999999989</v>
      </c>
      <c r="AF91" s="171"/>
      <c r="AG91" s="170">
        <f t="shared" si="36"/>
        <v>1.4246709421062627</v>
      </c>
      <c r="AH91" s="171"/>
      <c r="AI91" s="180">
        <v>0</v>
      </c>
    </row>
    <row r="92" spans="1:35" s="19" customFormat="1" ht="54.95" customHeight="1" x14ac:dyDescent="0.85">
      <c r="A92" s="163" t="s">
        <v>258</v>
      </c>
      <c r="B92" s="81">
        <f>[1]CNT!N249</f>
        <v>24026.59</v>
      </c>
      <c r="C92" s="81"/>
      <c r="D92" s="81">
        <f>0</f>
        <v>0</v>
      </c>
      <c r="E92" s="81"/>
      <c r="F92" s="81">
        <f>0</f>
        <v>0</v>
      </c>
      <c r="G92" s="81">
        <v>0</v>
      </c>
      <c r="H92" s="81">
        <v>0</v>
      </c>
      <c r="I92" s="81">
        <v>0</v>
      </c>
      <c r="J92" s="81"/>
      <c r="K92" s="81">
        <v>0</v>
      </c>
      <c r="L92" s="81">
        <f t="shared" si="32"/>
        <v>24026.59</v>
      </c>
      <c r="M92" s="82">
        <f t="shared" si="33"/>
        <v>2.7324026462736888E-2</v>
      </c>
      <c r="N92" s="82"/>
      <c r="O92" s="75" t="s">
        <v>258</v>
      </c>
      <c r="P92" s="81">
        <v>90000</v>
      </c>
      <c r="Q92" s="81">
        <v>0</v>
      </c>
      <c r="R92" s="81">
        <v>0</v>
      </c>
      <c r="S92" s="81">
        <v>0</v>
      </c>
      <c r="T92" s="81">
        <v>0</v>
      </c>
      <c r="U92" s="81">
        <v>0</v>
      </c>
      <c r="V92" s="81">
        <v>0</v>
      </c>
      <c r="W92" s="81">
        <f t="shared" si="2"/>
        <v>90000</v>
      </c>
      <c r="X92" s="170">
        <f t="shared" si="34"/>
        <v>0.11123037754012488</v>
      </c>
      <c r="Y92" s="75" t="s">
        <v>258</v>
      </c>
      <c r="Z92" s="170"/>
      <c r="AA92" s="171">
        <f t="shared" si="37"/>
        <v>24026.59</v>
      </c>
      <c r="AB92" s="170"/>
      <c r="AC92" s="171">
        <f t="shared" si="38"/>
        <v>90000</v>
      </c>
      <c r="AD92" s="170"/>
      <c r="AE92" s="171">
        <f t="shared" si="35"/>
        <v>-65973.41</v>
      </c>
      <c r="AF92" s="171"/>
      <c r="AG92" s="179">
        <v>0</v>
      </c>
      <c r="AH92" s="171"/>
      <c r="AI92" s="170">
        <f>AG92-1</f>
        <v>-1</v>
      </c>
    </row>
    <row r="93" spans="1:35" s="19" customFormat="1" ht="54.95" customHeight="1" x14ac:dyDescent="0.85">
      <c r="A93" s="163" t="s">
        <v>259</v>
      </c>
      <c r="B93" s="81">
        <f>[1]CNT!N250+[1]CNT!G261</f>
        <v>18008.54</v>
      </c>
      <c r="C93" s="81"/>
      <c r="D93" s="81">
        <v>0</v>
      </c>
      <c r="E93" s="81"/>
      <c r="F93" s="81">
        <v>0</v>
      </c>
      <c r="G93" s="81">
        <v>0</v>
      </c>
      <c r="H93" s="81">
        <v>0</v>
      </c>
      <c r="I93" s="81">
        <v>0</v>
      </c>
      <c r="J93" s="81"/>
      <c r="K93" s="81">
        <v>0</v>
      </c>
      <c r="L93" s="81">
        <f t="shared" si="32"/>
        <v>18008.54</v>
      </c>
      <c r="M93" s="82">
        <f t="shared" si="33"/>
        <v>2.0480052455019864E-2</v>
      </c>
      <c r="N93" s="82"/>
      <c r="O93" s="75" t="s">
        <v>259</v>
      </c>
      <c r="P93" s="81">
        <v>0</v>
      </c>
      <c r="Q93" s="81">
        <v>0</v>
      </c>
      <c r="R93" s="81">
        <v>0</v>
      </c>
      <c r="S93" s="81">
        <v>0</v>
      </c>
      <c r="T93" s="81">
        <v>0</v>
      </c>
      <c r="U93" s="81">
        <v>0</v>
      </c>
      <c r="V93" s="81">
        <v>0</v>
      </c>
      <c r="W93" s="81">
        <f t="shared" si="2"/>
        <v>0</v>
      </c>
      <c r="X93" s="170">
        <f t="shared" si="34"/>
        <v>0</v>
      </c>
      <c r="Y93" s="75" t="s">
        <v>259</v>
      </c>
      <c r="Z93" s="170"/>
      <c r="AA93" s="171">
        <f t="shared" si="37"/>
        <v>18008.54</v>
      </c>
      <c r="AB93" s="170"/>
      <c r="AC93" s="171">
        <f t="shared" si="38"/>
        <v>0</v>
      </c>
      <c r="AD93" s="170"/>
      <c r="AE93" s="171">
        <f t="shared" si="35"/>
        <v>18008.54</v>
      </c>
      <c r="AF93" s="171"/>
      <c r="AG93" s="179">
        <v>0</v>
      </c>
      <c r="AH93" s="171"/>
      <c r="AI93" s="180">
        <v>0</v>
      </c>
    </row>
    <row r="94" spans="1:35" s="19" customFormat="1" ht="54.95" customHeight="1" x14ac:dyDescent="0.85">
      <c r="A94" s="163" t="s">
        <v>260</v>
      </c>
      <c r="B94" s="81">
        <f>[1]CNT!N251</f>
        <v>4592.21</v>
      </c>
      <c r="C94" s="81"/>
      <c r="D94" s="81">
        <v>0</v>
      </c>
      <c r="E94" s="81"/>
      <c r="F94" s="81">
        <v>0</v>
      </c>
      <c r="G94" s="81">
        <v>0</v>
      </c>
      <c r="H94" s="81">
        <v>0</v>
      </c>
      <c r="I94" s="81">
        <v>0</v>
      </c>
      <c r="J94" s="81"/>
      <c r="K94" s="81">
        <v>0</v>
      </c>
      <c r="L94" s="81">
        <f t="shared" si="32"/>
        <v>4592.21</v>
      </c>
      <c r="M94" s="82">
        <f t="shared" si="33"/>
        <v>5.2224501089187005E-3</v>
      </c>
      <c r="N94" s="82"/>
      <c r="O94" s="75" t="s">
        <v>260</v>
      </c>
      <c r="P94" s="81">
        <v>13650.12</v>
      </c>
      <c r="Q94" s="81">
        <v>0</v>
      </c>
      <c r="R94" s="81">
        <v>0</v>
      </c>
      <c r="S94" s="81">
        <v>0</v>
      </c>
      <c r="T94" s="81">
        <v>0</v>
      </c>
      <c r="U94" s="81">
        <v>0</v>
      </c>
      <c r="V94" s="81">
        <v>0</v>
      </c>
      <c r="W94" s="81">
        <f>SUM(P94:V94)</f>
        <v>13650.12</v>
      </c>
      <c r="X94" s="170">
        <f t="shared" si="34"/>
        <v>1.6870088900755659E-2</v>
      </c>
      <c r="Y94" s="75" t="s">
        <v>260</v>
      </c>
      <c r="Z94" s="170"/>
      <c r="AA94" s="171">
        <f t="shared" si="37"/>
        <v>4592.21</v>
      </c>
      <c r="AB94" s="170"/>
      <c r="AC94" s="171">
        <f t="shared" si="38"/>
        <v>13650.12</v>
      </c>
      <c r="AD94" s="170"/>
      <c r="AE94" s="171">
        <f t="shared" si="35"/>
        <v>-9057.91</v>
      </c>
      <c r="AF94" s="171"/>
      <c r="AG94" s="179">
        <v>0</v>
      </c>
      <c r="AH94" s="171"/>
      <c r="AI94" s="170">
        <f>AG94-1</f>
        <v>-1</v>
      </c>
    </row>
    <row r="95" spans="1:35" s="19" customFormat="1" ht="54.95" customHeight="1" x14ac:dyDescent="0.85">
      <c r="A95" s="163" t="s">
        <v>261</v>
      </c>
      <c r="B95" s="81">
        <f>[1]CNT!N252</f>
        <v>17950.280000000002</v>
      </c>
      <c r="C95" s="81"/>
      <c r="D95" s="81">
        <v>0</v>
      </c>
      <c r="E95" s="81"/>
      <c r="F95" s="81">
        <v>0</v>
      </c>
      <c r="G95" s="81">
        <v>0</v>
      </c>
      <c r="H95" s="81">
        <v>0</v>
      </c>
      <c r="I95" s="81">
        <v>0</v>
      </c>
      <c r="J95" s="81"/>
      <c r="K95" s="81">
        <v>0</v>
      </c>
      <c r="L95" s="81">
        <f t="shared" si="32"/>
        <v>17950.280000000002</v>
      </c>
      <c r="M95" s="82">
        <f t="shared" si="33"/>
        <v>2.0413796786540941E-2</v>
      </c>
      <c r="N95" s="82"/>
      <c r="O95" s="75" t="s">
        <v>261</v>
      </c>
      <c r="P95" s="81">
        <v>0</v>
      </c>
      <c r="Q95" s="81">
        <v>0</v>
      </c>
      <c r="R95" s="81">
        <v>0</v>
      </c>
      <c r="S95" s="81">
        <v>0</v>
      </c>
      <c r="T95" s="81">
        <v>0</v>
      </c>
      <c r="U95" s="81">
        <v>0</v>
      </c>
      <c r="V95" s="81">
        <v>0</v>
      </c>
      <c r="W95" s="81">
        <f>SUM(P95:V95)</f>
        <v>0</v>
      </c>
      <c r="X95" s="170">
        <f t="shared" si="34"/>
        <v>0</v>
      </c>
      <c r="Y95" s="75" t="s">
        <v>261</v>
      </c>
      <c r="Z95" s="170"/>
      <c r="AA95" s="171">
        <f t="shared" si="37"/>
        <v>17950.280000000002</v>
      </c>
      <c r="AB95" s="170"/>
      <c r="AC95" s="171">
        <f t="shared" si="38"/>
        <v>0</v>
      </c>
      <c r="AD95" s="170"/>
      <c r="AE95" s="171">
        <f>L95-W95</f>
        <v>17950.280000000002</v>
      </c>
      <c r="AF95" s="171"/>
      <c r="AG95" s="172">
        <v>0</v>
      </c>
      <c r="AH95" s="171"/>
      <c r="AI95" s="180">
        <v>0</v>
      </c>
    </row>
    <row r="96" spans="1:35" s="19" customFormat="1" ht="54.95" customHeight="1" x14ac:dyDescent="0.85">
      <c r="A96" s="169" t="s">
        <v>263</v>
      </c>
      <c r="B96" s="83">
        <f>SUM(B77:B95)</f>
        <v>688386.01000000013</v>
      </c>
      <c r="C96" s="83"/>
      <c r="D96" s="83">
        <f t="shared" ref="D96:K96" si="39">SUM(D77:D95)</f>
        <v>52502.909999999996</v>
      </c>
      <c r="E96" s="83"/>
      <c r="F96" s="83">
        <f t="shared" si="39"/>
        <v>78093.3</v>
      </c>
      <c r="G96" s="83">
        <f t="shared" si="39"/>
        <v>14505.720000000001</v>
      </c>
      <c r="H96" s="83">
        <f>SUM(H77:H95)</f>
        <v>42468.58</v>
      </c>
      <c r="I96" s="83">
        <f t="shared" si="39"/>
        <v>2650</v>
      </c>
      <c r="J96" s="83"/>
      <c r="K96" s="83">
        <f t="shared" si="39"/>
        <v>714.47000000000014</v>
      </c>
      <c r="L96" s="83">
        <f t="shared" si="32"/>
        <v>879320.99000000011</v>
      </c>
      <c r="M96" s="84">
        <f>SUM(M77:M95)</f>
        <v>1</v>
      </c>
      <c r="N96" s="85"/>
      <c r="O96" s="80" t="s">
        <v>263</v>
      </c>
      <c r="P96" s="83">
        <f t="shared" ref="P96:V96" si="40">SUM(P77:P95)</f>
        <v>601804.01</v>
      </c>
      <c r="Q96" s="83">
        <f t="shared" si="40"/>
        <v>61627.67</v>
      </c>
      <c r="R96" s="83">
        <f t="shared" si="40"/>
        <v>78141.48</v>
      </c>
      <c r="S96" s="83">
        <f t="shared" si="40"/>
        <v>4487.51</v>
      </c>
      <c r="T96" s="83">
        <f t="shared" si="40"/>
        <v>47973.23</v>
      </c>
      <c r="U96" s="83">
        <f t="shared" si="40"/>
        <v>13874</v>
      </c>
      <c r="V96" s="83">
        <f t="shared" si="40"/>
        <v>1223.58</v>
      </c>
      <c r="W96" s="83">
        <f>SUM(P96:V96)</f>
        <v>809131.48</v>
      </c>
      <c r="X96" s="173">
        <f>SUM(X77:X95)</f>
        <v>1</v>
      </c>
      <c r="Y96" s="80" t="s">
        <v>263</v>
      </c>
      <c r="Z96" s="174"/>
      <c r="AA96" s="175">
        <f t="shared" si="37"/>
        <v>879320.99000000011</v>
      </c>
      <c r="AB96" s="174"/>
      <c r="AC96" s="175">
        <f t="shared" si="38"/>
        <v>809131.48</v>
      </c>
      <c r="AD96" s="174"/>
      <c r="AE96" s="175">
        <f>L96-W96</f>
        <v>70189.510000000126</v>
      </c>
      <c r="AF96" s="175"/>
      <c r="AG96" s="181">
        <f>L96/W96</f>
        <v>1.0867467299628488</v>
      </c>
      <c r="AH96" s="175"/>
      <c r="AI96" s="173">
        <f>AG96-1</f>
        <v>8.6746729962848823E-2</v>
      </c>
    </row>
    <row r="97" spans="1:36" s="19" customFormat="1" ht="54.95" customHeight="1" x14ac:dyDescent="0.85">
      <c r="A97" s="163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>
        <f t="shared" si="32"/>
        <v>0</v>
      </c>
      <c r="M97" s="75"/>
      <c r="N97" s="75"/>
      <c r="O97" s="75"/>
      <c r="P97" s="81"/>
      <c r="Q97" s="81"/>
      <c r="R97" s="81"/>
      <c r="S97" s="81"/>
      <c r="T97" s="81"/>
      <c r="U97" s="81"/>
      <c r="V97" s="81"/>
      <c r="W97" s="81">
        <f>SUM(P97:V97)</f>
        <v>0</v>
      </c>
      <c r="X97" s="163"/>
      <c r="Y97" s="75"/>
      <c r="Z97" s="163"/>
      <c r="AA97" s="171"/>
      <c r="AB97" s="163"/>
      <c r="AC97" s="171">
        <f t="shared" si="38"/>
        <v>0</v>
      </c>
      <c r="AD97" s="163"/>
      <c r="AE97" s="171"/>
      <c r="AF97" s="171"/>
      <c r="AG97" s="176"/>
      <c r="AH97" s="171"/>
      <c r="AI97" s="170"/>
    </row>
    <row r="98" spans="1:36" s="19" customFormat="1" ht="54.95" customHeight="1" thickBot="1" x14ac:dyDescent="0.9">
      <c r="A98" s="169" t="s">
        <v>264</v>
      </c>
      <c r="B98" s="86">
        <f t="shared" ref="B98:H98" si="41">B49+B74+B96</f>
        <v>6183606.2400000002</v>
      </c>
      <c r="C98" s="86"/>
      <c r="D98" s="86">
        <f t="shared" si="41"/>
        <v>64479.469999999994</v>
      </c>
      <c r="E98" s="86"/>
      <c r="F98" s="86">
        <f t="shared" si="41"/>
        <v>1046827.1600000001</v>
      </c>
      <c r="G98" s="86">
        <f t="shared" si="41"/>
        <v>14614.720000000001</v>
      </c>
      <c r="H98" s="86">
        <f t="shared" si="41"/>
        <v>566674.03999999992</v>
      </c>
      <c r="I98" s="86">
        <f>I49+I74+I96</f>
        <v>86431.430000000022</v>
      </c>
      <c r="J98" s="86"/>
      <c r="K98" s="86">
        <f>K49+K74+K96</f>
        <v>133467.19</v>
      </c>
      <c r="L98" s="86">
        <f t="shared" si="32"/>
        <v>8096100.25</v>
      </c>
      <c r="M98" s="81">
        <f>SUM(L40:L48)+SUM(L52:L73)+SUM(L77:L95)-L98</f>
        <v>0</v>
      </c>
      <c r="N98" s="75"/>
      <c r="O98" s="80" t="s">
        <v>264</v>
      </c>
      <c r="P98" s="86">
        <f t="shared" ref="P98:V98" si="42">P49+P74+P96</f>
        <v>5564062.75</v>
      </c>
      <c r="Q98" s="86">
        <f t="shared" si="42"/>
        <v>75178.080000000002</v>
      </c>
      <c r="R98" s="86">
        <f t="shared" si="42"/>
        <v>760899.71000000008</v>
      </c>
      <c r="S98" s="86">
        <f t="shared" si="42"/>
        <v>4487.51</v>
      </c>
      <c r="T98" s="86">
        <f t="shared" si="42"/>
        <v>603373.44999999995</v>
      </c>
      <c r="U98" s="86">
        <f>U49+U74+U96</f>
        <v>47924.04</v>
      </c>
      <c r="V98" s="86">
        <f t="shared" si="42"/>
        <v>3048.58</v>
      </c>
      <c r="W98" s="86">
        <f>SUM(P98:V98)</f>
        <v>7058974.1200000001</v>
      </c>
      <c r="X98" s="171">
        <f>SUM(W40:W48)+SUM(W52:W73)+SUM(W77:W95)-W98</f>
        <v>0</v>
      </c>
      <c r="Y98" s="80" t="s">
        <v>264</v>
      </c>
      <c r="Z98" s="163"/>
      <c r="AA98" s="177">
        <f t="shared" si="37"/>
        <v>8096100.25</v>
      </c>
      <c r="AB98" s="163"/>
      <c r="AC98" s="177">
        <f t="shared" si="38"/>
        <v>7058974.1200000001</v>
      </c>
      <c r="AD98" s="163"/>
      <c r="AE98" s="177">
        <f>L98-W98</f>
        <v>1037126.1299999999</v>
      </c>
      <c r="AF98" s="177"/>
      <c r="AG98" s="182">
        <f>L98/W98</f>
        <v>1.1469230673422557</v>
      </c>
      <c r="AH98" s="177"/>
      <c r="AI98" s="178">
        <v>0</v>
      </c>
    </row>
    <row r="99" spans="1:36" s="19" customFormat="1" ht="54.95" customHeight="1" x14ac:dyDescent="0.85">
      <c r="A99" s="163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75"/>
      <c r="N99" s="75"/>
      <c r="O99" s="75"/>
      <c r="P99" s="81"/>
      <c r="Q99" s="81"/>
      <c r="R99" s="81"/>
      <c r="S99" s="81"/>
      <c r="T99" s="81"/>
      <c r="U99" s="81"/>
      <c r="V99" s="81"/>
      <c r="W99" s="81"/>
      <c r="X99" s="163"/>
      <c r="Y99" s="75"/>
      <c r="Z99" s="163"/>
      <c r="AA99" s="164"/>
      <c r="AB99" s="163"/>
      <c r="AC99" s="164">
        <f t="shared" si="38"/>
        <v>0</v>
      </c>
      <c r="AD99" s="163"/>
      <c r="AE99" s="164"/>
      <c r="AF99" s="164"/>
      <c r="AG99" s="176"/>
      <c r="AH99" s="164"/>
      <c r="AI99" s="176"/>
    </row>
    <row r="100" spans="1:36" s="19" customFormat="1" ht="54.95" customHeight="1" x14ac:dyDescent="0.85">
      <c r="A100" s="169" t="s">
        <v>462</v>
      </c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75"/>
      <c r="N100" s="75"/>
      <c r="O100" s="169" t="s">
        <v>462</v>
      </c>
      <c r="P100" s="81"/>
      <c r="Q100" s="81"/>
      <c r="R100" s="81"/>
      <c r="S100" s="81"/>
      <c r="T100" s="81"/>
      <c r="U100" s="81"/>
      <c r="V100" s="81"/>
      <c r="W100" s="81"/>
      <c r="X100" s="163"/>
      <c r="Y100" s="169" t="s">
        <v>462</v>
      </c>
      <c r="Z100" s="163"/>
      <c r="AA100" s="164"/>
      <c r="AB100" s="163"/>
      <c r="AC100" s="164">
        <f t="shared" si="38"/>
        <v>0</v>
      </c>
      <c r="AD100" s="163"/>
      <c r="AE100" s="164"/>
      <c r="AF100" s="164"/>
      <c r="AG100" s="165"/>
      <c r="AH100" s="165"/>
      <c r="AI100" s="165"/>
      <c r="AJ100" s="23"/>
    </row>
    <row r="101" spans="1:36" s="19" customFormat="1" ht="54.95" customHeight="1" x14ac:dyDescent="0.85">
      <c r="A101" s="163" t="s">
        <v>267</v>
      </c>
      <c r="B101" s="81">
        <f>[1]CNT!N266</f>
        <v>112500</v>
      </c>
      <c r="C101" s="81"/>
      <c r="D101" s="81">
        <v>0</v>
      </c>
      <c r="E101" s="81"/>
      <c r="F101" s="81">
        <f>[1]DEP!K71</f>
        <v>112500</v>
      </c>
      <c r="G101" s="81">
        <v>0</v>
      </c>
      <c r="H101" s="81">
        <f>'[1]BSC (Dome)'!K75+'[1]BSC (Dome)'!K76</f>
        <v>49000</v>
      </c>
      <c r="I101" s="81">
        <f>'[1]Oliari Co.'!K21+'[1]Oliari Co.'!K22</f>
        <v>159300</v>
      </c>
      <c r="J101" s="81"/>
      <c r="K101" s="81">
        <f>'[1]722 Bedford St'!K22+'[1]722 Bedford St'!K23</f>
        <v>142500</v>
      </c>
      <c r="L101" s="81">
        <f t="shared" ref="L101:L116" si="43">SUM(B101:K101)</f>
        <v>575800</v>
      </c>
      <c r="M101" s="82"/>
      <c r="N101" s="82"/>
      <c r="O101" s="75" t="s">
        <v>267</v>
      </c>
      <c r="P101" s="81">
        <v>0</v>
      </c>
      <c r="Q101" s="81">
        <v>0</v>
      </c>
      <c r="R101" s="81">
        <v>0</v>
      </c>
      <c r="S101" s="81">
        <v>0</v>
      </c>
      <c r="T101" s="81">
        <f>40425.61+2200</f>
        <v>42625.61</v>
      </c>
      <c r="U101" s="81">
        <f>9000+323600</f>
        <v>332600</v>
      </c>
      <c r="V101" s="81">
        <v>100000</v>
      </c>
      <c r="W101" s="81">
        <f>SUM(P101:V101)</f>
        <v>475225.61</v>
      </c>
      <c r="X101" s="170"/>
      <c r="Y101" s="75" t="s">
        <v>267</v>
      </c>
      <c r="Z101" s="170"/>
      <c r="AA101" s="171">
        <f t="shared" si="37"/>
        <v>575800</v>
      </c>
      <c r="AB101" s="170"/>
      <c r="AC101" s="171">
        <f t="shared" si="38"/>
        <v>475225.61</v>
      </c>
      <c r="AD101" s="170"/>
      <c r="AE101" s="171">
        <f>L101-W101</f>
        <v>100574.39000000001</v>
      </c>
      <c r="AF101" s="171"/>
      <c r="AG101" s="165"/>
      <c r="AH101" s="165"/>
      <c r="AI101" s="165"/>
      <c r="AJ101" s="23"/>
    </row>
    <row r="102" spans="1:36" s="19" customFormat="1" ht="54.95" customHeight="1" x14ac:dyDescent="0.85">
      <c r="A102" s="163" t="s">
        <v>268</v>
      </c>
      <c r="B102" s="81">
        <f>[1]CNT!N267</f>
        <v>311113.75</v>
      </c>
      <c r="C102" s="81"/>
      <c r="D102" s="81">
        <v>0</v>
      </c>
      <c r="E102" s="81"/>
      <c r="F102" s="81">
        <v>0</v>
      </c>
      <c r="G102" s="81">
        <v>0</v>
      </c>
      <c r="H102" s="81">
        <v>0</v>
      </c>
      <c r="I102" s="81">
        <v>0</v>
      </c>
      <c r="J102" s="81"/>
      <c r="K102" s="81">
        <v>0</v>
      </c>
      <c r="L102" s="81">
        <f t="shared" si="43"/>
        <v>311113.75</v>
      </c>
      <c r="M102" s="82"/>
      <c r="N102" s="82"/>
      <c r="O102" s="75" t="s">
        <v>268</v>
      </c>
      <c r="P102" s="81">
        <v>309547.5</v>
      </c>
      <c r="Q102" s="81">
        <v>0</v>
      </c>
      <c r="R102" s="81">
        <v>0</v>
      </c>
      <c r="S102" s="81">
        <v>0</v>
      </c>
      <c r="T102" s="81">
        <v>0</v>
      </c>
      <c r="U102" s="81">
        <v>0</v>
      </c>
      <c r="V102" s="81">
        <v>0</v>
      </c>
      <c r="W102" s="81">
        <f>SUM(P102:V102)</f>
        <v>309547.5</v>
      </c>
      <c r="X102" s="170"/>
      <c r="Y102" s="75" t="s">
        <v>268</v>
      </c>
      <c r="Z102" s="170"/>
      <c r="AA102" s="171">
        <f t="shared" si="37"/>
        <v>311113.75</v>
      </c>
      <c r="AB102" s="170"/>
      <c r="AC102" s="171">
        <f t="shared" si="38"/>
        <v>309547.5</v>
      </c>
      <c r="AD102" s="170"/>
      <c r="AE102" s="171">
        <f t="shared" ref="AE102:AE111" si="44">L102-W102</f>
        <v>1566.25</v>
      </c>
      <c r="AF102" s="171"/>
      <c r="AG102" s="165"/>
      <c r="AH102" s="165"/>
      <c r="AI102" s="165"/>
      <c r="AJ102" s="23"/>
    </row>
    <row r="103" spans="1:36" s="19" customFormat="1" ht="54.95" customHeight="1" x14ac:dyDescent="0.85">
      <c r="A103" s="163" t="s">
        <v>326</v>
      </c>
      <c r="B103" s="81">
        <v>0</v>
      </c>
      <c r="C103" s="81"/>
      <c r="D103" s="81">
        <f>-[1]BPM!K56</f>
        <v>-311113.75</v>
      </c>
      <c r="E103" s="81"/>
      <c r="F103" s="81">
        <v>0</v>
      </c>
      <c r="G103" s="81">
        <v>0</v>
      </c>
      <c r="H103" s="81">
        <v>0</v>
      </c>
      <c r="I103" s="81">
        <v>0</v>
      </c>
      <c r="J103" s="81"/>
      <c r="K103" s="81">
        <v>0</v>
      </c>
      <c r="L103" s="81">
        <f t="shared" si="43"/>
        <v>-311113.75</v>
      </c>
      <c r="M103" s="82"/>
      <c r="N103" s="82"/>
      <c r="O103" s="75" t="s">
        <v>326</v>
      </c>
      <c r="P103" s="81">
        <v>0</v>
      </c>
      <c r="Q103" s="81">
        <v>-309547.5</v>
      </c>
      <c r="R103" s="81">
        <v>-10000</v>
      </c>
      <c r="S103" s="81">
        <v>0</v>
      </c>
      <c r="T103" s="81">
        <v>0</v>
      </c>
      <c r="U103" s="81">
        <v>0</v>
      </c>
      <c r="V103" s="81">
        <v>0</v>
      </c>
      <c r="W103" s="81">
        <f>SUM(P103:V103)</f>
        <v>-319547.5</v>
      </c>
      <c r="X103" s="170"/>
      <c r="Y103" s="75" t="s">
        <v>326</v>
      </c>
      <c r="Z103" s="170"/>
      <c r="AA103" s="171">
        <f t="shared" si="37"/>
        <v>-311113.75</v>
      </c>
      <c r="AB103" s="170"/>
      <c r="AC103" s="171">
        <f t="shared" si="38"/>
        <v>-319547.5</v>
      </c>
      <c r="AD103" s="170"/>
      <c r="AE103" s="171">
        <f t="shared" si="44"/>
        <v>8433.75</v>
      </c>
      <c r="AF103" s="171"/>
      <c r="AG103" s="165"/>
      <c r="AH103" s="165"/>
      <c r="AI103" s="165"/>
      <c r="AJ103" s="23"/>
    </row>
    <row r="104" spans="1:36" s="19" customFormat="1" ht="54.95" customHeight="1" x14ac:dyDescent="0.85">
      <c r="A104" s="163" t="s">
        <v>386</v>
      </c>
      <c r="B104" s="81">
        <f>[1]CNT!N268</f>
        <v>49196.87</v>
      </c>
      <c r="C104" s="81"/>
      <c r="D104" s="81">
        <f>-[1]BPM!K57</f>
        <v>-49196.87</v>
      </c>
      <c r="E104" s="81"/>
      <c r="F104" s="81">
        <v>0</v>
      </c>
      <c r="G104" s="81">
        <v>0</v>
      </c>
      <c r="H104" s="81">
        <v>0</v>
      </c>
      <c r="I104" s="81">
        <v>0</v>
      </c>
      <c r="J104" s="81"/>
      <c r="K104" s="81">
        <v>0</v>
      </c>
      <c r="L104" s="81">
        <f t="shared" si="43"/>
        <v>0</v>
      </c>
      <c r="M104" s="82"/>
      <c r="N104" s="82"/>
      <c r="O104" s="75" t="s">
        <v>386</v>
      </c>
      <c r="P104" s="81">
        <v>0</v>
      </c>
      <c r="Q104" s="81">
        <v>0</v>
      </c>
      <c r="R104" s="81">
        <v>0</v>
      </c>
      <c r="S104" s="81">
        <v>0</v>
      </c>
      <c r="T104" s="81">
        <v>0</v>
      </c>
      <c r="U104" s="81">
        <v>0</v>
      </c>
      <c r="V104" s="81">
        <v>0</v>
      </c>
      <c r="W104" s="81">
        <v>0</v>
      </c>
      <c r="X104" s="170"/>
      <c r="Y104" s="75" t="s">
        <v>386</v>
      </c>
      <c r="Z104" s="170"/>
      <c r="AA104" s="171">
        <f t="shared" si="37"/>
        <v>0</v>
      </c>
      <c r="AB104" s="170"/>
      <c r="AC104" s="171">
        <f t="shared" si="38"/>
        <v>0</v>
      </c>
      <c r="AD104" s="170"/>
      <c r="AE104" s="171">
        <f t="shared" si="44"/>
        <v>0</v>
      </c>
      <c r="AF104" s="171"/>
      <c r="AG104" s="165"/>
      <c r="AH104" s="165"/>
      <c r="AI104" s="165"/>
      <c r="AJ104" s="23"/>
    </row>
    <row r="105" spans="1:36" s="19" customFormat="1" ht="54.95" customHeight="1" x14ac:dyDescent="0.85">
      <c r="A105" s="163" t="s">
        <v>269</v>
      </c>
      <c r="B105" s="81">
        <f>[1]CNT!N269</f>
        <v>154224.38999999998</v>
      </c>
      <c r="C105" s="81"/>
      <c r="D105" s="81">
        <v>0</v>
      </c>
      <c r="E105" s="81"/>
      <c r="F105" s="81">
        <v>0</v>
      </c>
      <c r="G105" s="81">
        <v>0</v>
      </c>
      <c r="H105" s="81">
        <v>0</v>
      </c>
      <c r="I105" s="81">
        <v>0</v>
      </c>
      <c r="J105" s="81"/>
      <c r="K105" s="81">
        <v>0</v>
      </c>
      <c r="L105" s="81">
        <f t="shared" si="43"/>
        <v>154224.38999999998</v>
      </c>
      <c r="M105" s="82"/>
      <c r="N105" s="82"/>
      <c r="O105" s="75" t="s">
        <v>269</v>
      </c>
      <c r="P105" s="81">
        <v>0</v>
      </c>
      <c r="Q105" s="81">
        <v>0</v>
      </c>
      <c r="R105" s="81">
        <v>0</v>
      </c>
      <c r="S105" s="81">
        <v>0</v>
      </c>
      <c r="T105" s="81">
        <v>0</v>
      </c>
      <c r="U105" s="81">
        <v>0</v>
      </c>
      <c r="V105" s="81">
        <v>0</v>
      </c>
      <c r="W105" s="81">
        <f t="shared" ref="W105:W116" si="45">SUM(P105:V105)</f>
        <v>0</v>
      </c>
      <c r="X105" s="170"/>
      <c r="Y105" s="75" t="s">
        <v>269</v>
      </c>
      <c r="Z105" s="170"/>
      <c r="AA105" s="171">
        <f t="shared" si="37"/>
        <v>154224.38999999998</v>
      </c>
      <c r="AB105" s="170"/>
      <c r="AC105" s="171">
        <f t="shared" si="38"/>
        <v>0</v>
      </c>
      <c r="AD105" s="170"/>
      <c r="AE105" s="171">
        <f t="shared" si="44"/>
        <v>154224.38999999998</v>
      </c>
      <c r="AF105" s="171"/>
      <c r="AG105" s="165"/>
      <c r="AH105" s="165"/>
      <c r="AI105" s="165"/>
      <c r="AJ105" s="23"/>
    </row>
    <row r="106" spans="1:36" s="19" customFormat="1" ht="54.95" customHeight="1" x14ac:dyDescent="0.85">
      <c r="A106" s="163" t="s">
        <v>270</v>
      </c>
      <c r="B106" s="81">
        <f>[1]CNT!N270</f>
        <v>183407.18</v>
      </c>
      <c r="C106" s="81"/>
      <c r="D106" s="81">
        <f>-[1]BPM!K58</f>
        <v>9639.16</v>
      </c>
      <c r="E106" s="81"/>
      <c r="F106" s="81">
        <f>[1]DEP!K72</f>
        <v>24546.61</v>
      </c>
      <c r="G106" s="81">
        <f>[1]Lending!K16</f>
        <v>39725.869999999995</v>
      </c>
      <c r="H106" s="81">
        <v>0</v>
      </c>
      <c r="I106" s="81">
        <f>'[1]Oliari Co.'!K24</f>
        <v>32578.850000000002</v>
      </c>
      <c r="J106" s="81"/>
      <c r="K106" s="81">
        <v>0</v>
      </c>
      <c r="L106" s="81">
        <f t="shared" si="43"/>
        <v>289897.67</v>
      </c>
      <c r="M106" s="82"/>
      <c r="N106" s="82"/>
      <c r="O106" s="75" t="s">
        <v>270</v>
      </c>
      <c r="P106" s="81">
        <v>181643.5</v>
      </c>
      <c r="Q106" s="81">
        <v>0</v>
      </c>
      <c r="R106" s="81">
        <v>0</v>
      </c>
      <c r="S106" s="81">
        <v>87564.59</v>
      </c>
      <c r="T106" s="81">
        <v>0</v>
      </c>
      <c r="U106" s="81">
        <v>38363.26</v>
      </c>
      <c r="V106" s="81">
        <v>0</v>
      </c>
      <c r="W106" s="81">
        <f t="shared" si="45"/>
        <v>307571.34999999998</v>
      </c>
      <c r="X106" s="170"/>
      <c r="Y106" s="75" t="s">
        <v>270</v>
      </c>
      <c r="Z106" s="170"/>
      <c r="AA106" s="171">
        <f t="shared" si="37"/>
        <v>289897.67</v>
      </c>
      <c r="AB106" s="170"/>
      <c r="AC106" s="171">
        <f t="shared" si="38"/>
        <v>307571.34999999998</v>
      </c>
      <c r="AD106" s="170"/>
      <c r="AE106" s="171">
        <f t="shared" si="44"/>
        <v>-17673.679999999993</v>
      </c>
      <c r="AF106" s="171"/>
      <c r="AG106" s="165"/>
      <c r="AH106" s="165"/>
      <c r="AI106" s="165"/>
      <c r="AJ106" s="23"/>
    </row>
    <row r="107" spans="1:36" s="19" customFormat="1" ht="54.95" customHeight="1" x14ac:dyDescent="0.85">
      <c r="A107" s="163" t="s">
        <v>271</v>
      </c>
      <c r="B107" s="81">
        <f>[1]CNT!N271</f>
        <v>-137770.54999999999</v>
      </c>
      <c r="C107" s="81"/>
      <c r="D107" s="81">
        <v>0</v>
      </c>
      <c r="E107" s="81"/>
      <c r="F107" s="81">
        <v>0</v>
      </c>
      <c r="G107" s="81">
        <f>[1]Lending!K17</f>
        <v>-4702.0200000000004</v>
      </c>
      <c r="H107" s="81">
        <f>'[1]BSC (Dome)'!K78+'[1]BSC (Dome)'!K79</f>
        <v>-87107.24</v>
      </c>
      <c r="I107" s="81">
        <f>'[1]Oliari Co.'!K25</f>
        <v>-7748.3700000000008</v>
      </c>
      <c r="J107" s="81"/>
      <c r="K107" s="81">
        <v>0</v>
      </c>
      <c r="L107" s="81">
        <f t="shared" si="43"/>
        <v>-237328.18</v>
      </c>
      <c r="M107" s="82"/>
      <c r="N107" s="82"/>
      <c r="O107" s="75" t="s">
        <v>271</v>
      </c>
      <c r="P107" s="81">
        <v>-166093.94</v>
      </c>
      <c r="Q107" s="81">
        <v>0</v>
      </c>
      <c r="R107" s="81">
        <v>0</v>
      </c>
      <c r="S107" s="81">
        <v>-12533.52</v>
      </c>
      <c r="T107" s="81">
        <f>-34474.58+-54528.39</f>
        <v>-89002.97</v>
      </c>
      <c r="U107" s="81">
        <f>-16173.41-9500.81-1721.86</f>
        <v>-27396.080000000002</v>
      </c>
      <c r="V107" s="81">
        <v>0</v>
      </c>
      <c r="W107" s="81">
        <f t="shared" si="45"/>
        <v>-295026.51</v>
      </c>
      <c r="X107" s="170"/>
      <c r="Y107" s="75" t="s">
        <v>271</v>
      </c>
      <c r="Z107" s="170"/>
      <c r="AA107" s="171">
        <f t="shared" si="37"/>
        <v>-237328.18</v>
      </c>
      <c r="AB107" s="170"/>
      <c r="AC107" s="171">
        <f t="shared" si="38"/>
        <v>-295026.51</v>
      </c>
      <c r="AD107" s="170"/>
      <c r="AE107" s="171">
        <f t="shared" si="44"/>
        <v>57698.330000000016</v>
      </c>
      <c r="AF107" s="171"/>
      <c r="AG107" s="165"/>
      <c r="AH107" s="165"/>
      <c r="AI107" s="165"/>
      <c r="AJ107" s="23"/>
    </row>
    <row r="108" spans="1:36" s="19" customFormat="1" ht="54.95" customHeight="1" x14ac:dyDescent="0.85">
      <c r="A108" s="163" t="s">
        <v>272</v>
      </c>
      <c r="B108" s="81">
        <f>[1]CNT!N272</f>
        <v>49.6</v>
      </c>
      <c r="C108" s="81"/>
      <c r="D108" s="81">
        <v>0</v>
      </c>
      <c r="E108" s="81"/>
      <c r="F108" s="81">
        <v>0</v>
      </c>
      <c r="G108" s="81">
        <v>0</v>
      </c>
      <c r="H108" s="81">
        <f>'[1]BSC (Dome)'!K77</f>
        <v>1912.98</v>
      </c>
      <c r="I108" s="81">
        <f>'[1]Oliari Co.'!K23</f>
        <v>1.01</v>
      </c>
      <c r="J108" s="81"/>
      <c r="K108" s="81">
        <v>0</v>
      </c>
      <c r="L108" s="81">
        <f t="shared" si="43"/>
        <v>1963.59</v>
      </c>
      <c r="M108" s="82"/>
      <c r="N108" s="82"/>
      <c r="O108" s="75" t="s">
        <v>272</v>
      </c>
      <c r="P108" s="81">
        <v>0</v>
      </c>
      <c r="Q108" s="81">
        <v>0</v>
      </c>
      <c r="R108" s="81">
        <v>0</v>
      </c>
      <c r="S108" s="81">
        <v>0</v>
      </c>
      <c r="T108" s="81">
        <v>0</v>
      </c>
      <c r="U108" s="81">
        <v>0</v>
      </c>
      <c r="V108" s="81">
        <v>0</v>
      </c>
      <c r="W108" s="81">
        <f t="shared" si="45"/>
        <v>0</v>
      </c>
      <c r="X108" s="170"/>
      <c r="Y108" s="75" t="s">
        <v>272</v>
      </c>
      <c r="Z108" s="170"/>
      <c r="AA108" s="171">
        <f t="shared" si="37"/>
        <v>1963.59</v>
      </c>
      <c r="AB108" s="170"/>
      <c r="AC108" s="171">
        <f t="shared" si="38"/>
        <v>0</v>
      </c>
      <c r="AD108" s="170"/>
      <c r="AE108" s="171">
        <f t="shared" si="44"/>
        <v>1963.59</v>
      </c>
      <c r="AF108" s="171"/>
      <c r="AG108" s="165"/>
      <c r="AH108" s="165"/>
      <c r="AI108" s="165"/>
      <c r="AJ108" s="23"/>
    </row>
    <row r="109" spans="1:36" s="19" customFormat="1" ht="54.95" customHeight="1" x14ac:dyDescent="0.85">
      <c r="A109" s="163" t="s">
        <v>401</v>
      </c>
      <c r="B109" s="81">
        <f>[1]CNT!N273</f>
        <v>25869.809999999998</v>
      </c>
      <c r="C109" s="81"/>
      <c r="D109" s="81">
        <v>0</v>
      </c>
      <c r="E109" s="81"/>
      <c r="F109" s="81">
        <v>0</v>
      </c>
      <c r="G109" s="81">
        <v>0</v>
      </c>
      <c r="H109" s="81">
        <v>0</v>
      </c>
      <c r="I109" s="81">
        <v>0</v>
      </c>
      <c r="J109" s="81"/>
      <c r="K109" s="81">
        <v>0</v>
      </c>
      <c r="L109" s="81">
        <f t="shared" si="43"/>
        <v>25869.809999999998</v>
      </c>
      <c r="M109" s="82"/>
      <c r="N109" s="82"/>
      <c r="O109" s="163" t="s">
        <v>401</v>
      </c>
      <c r="P109" s="81">
        <v>0</v>
      </c>
      <c r="Q109" s="81">
        <v>0</v>
      </c>
      <c r="R109" s="81">
        <v>0</v>
      </c>
      <c r="S109" s="81">
        <v>0</v>
      </c>
      <c r="T109" s="81">
        <v>0</v>
      </c>
      <c r="U109" s="81">
        <v>0</v>
      </c>
      <c r="V109" s="81">
        <v>0</v>
      </c>
      <c r="W109" s="81">
        <f t="shared" si="45"/>
        <v>0</v>
      </c>
      <c r="X109" s="170"/>
      <c r="Y109" s="163" t="s">
        <v>401</v>
      </c>
      <c r="Z109" s="170"/>
      <c r="AA109" s="171">
        <f t="shared" si="37"/>
        <v>25869.809999999998</v>
      </c>
      <c r="AB109" s="170"/>
      <c r="AC109" s="171">
        <f t="shared" si="38"/>
        <v>0</v>
      </c>
      <c r="AD109" s="170"/>
      <c r="AE109" s="171">
        <f t="shared" si="44"/>
        <v>25869.809999999998</v>
      </c>
      <c r="AF109" s="171"/>
      <c r="AG109" s="165"/>
      <c r="AH109" s="165"/>
      <c r="AI109" s="165"/>
      <c r="AJ109" s="23"/>
    </row>
    <row r="110" spans="1:36" s="19" customFormat="1" ht="54.95" customHeight="1" x14ac:dyDescent="0.85">
      <c r="A110" s="163" t="s">
        <v>438</v>
      </c>
      <c r="B110" s="81">
        <f>[1]CNT!N274</f>
        <v>5035.16</v>
      </c>
      <c r="C110" s="81"/>
      <c r="D110" s="81">
        <v>0</v>
      </c>
      <c r="E110" s="81"/>
      <c r="F110" s="81">
        <v>0</v>
      </c>
      <c r="G110" s="81">
        <v>0</v>
      </c>
      <c r="H110" s="81">
        <v>0</v>
      </c>
      <c r="I110" s="81">
        <v>0</v>
      </c>
      <c r="J110" s="81"/>
      <c r="K110" s="81">
        <v>0</v>
      </c>
      <c r="L110" s="81">
        <f t="shared" si="43"/>
        <v>5035.16</v>
      </c>
      <c r="M110" s="82"/>
      <c r="N110" s="82"/>
      <c r="O110" s="163" t="s">
        <v>438</v>
      </c>
      <c r="P110" s="81">
        <v>0</v>
      </c>
      <c r="Q110" s="81">
        <v>0</v>
      </c>
      <c r="R110" s="81">
        <v>0</v>
      </c>
      <c r="S110" s="81">
        <v>0</v>
      </c>
      <c r="T110" s="81">
        <v>0</v>
      </c>
      <c r="U110" s="81">
        <v>0</v>
      </c>
      <c r="V110" s="81">
        <v>0</v>
      </c>
      <c r="W110" s="81">
        <f t="shared" si="45"/>
        <v>0</v>
      </c>
      <c r="X110" s="170"/>
      <c r="Y110" s="163" t="s">
        <v>438</v>
      </c>
      <c r="Z110" s="170"/>
      <c r="AA110" s="171"/>
      <c r="AB110" s="170"/>
      <c r="AC110" s="171">
        <f t="shared" si="38"/>
        <v>0</v>
      </c>
      <c r="AD110" s="170"/>
      <c r="AE110" s="171">
        <f t="shared" si="44"/>
        <v>5035.16</v>
      </c>
      <c r="AF110" s="171"/>
      <c r="AG110" s="165"/>
      <c r="AH110" s="165"/>
      <c r="AI110" s="165"/>
      <c r="AJ110" s="23"/>
    </row>
    <row r="111" spans="1:36" s="19" customFormat="1" ht="54.95" customHeight="1" x14ac:dyDescent="0.85">
      <c r="A111" s="163" t="s">
        <v>439</v>
      </c>
      <c r="B111" s="81">
        <f>[1]CNT!N276</f>
        <v>25430.999999999996</v>
      </c>
      <c r="C111" s="81"/>
      <c r="D111" s="81">
        <v>0</v>
      </c>
      <c r="E111" s="81"/>
      <c r="F111" s="81">
        <v>0</v>
      </c>
      <c r="G111" s="81">
        <v>0</v>
      </c>
      <c r="H111" s="81">
        <v>0</v>
      </c>
      <c r="I111" s="81">
        <v>0</v>
      </c>
      <c r="J111" s="81"/>
      <c r="K111" s="81">
        <v>0</v>
      </c>
      <c r="L111" s="81">
        <f t="shared" si="43"/>
        <v>25430.999999999996</v>
      </c>
      <c r="M111" s="82"/>
      <c r="N111" s="82"/>
      <c r="O111" s="163" t="s">
        <v>439</v>
      </c>
      <c r="P111" s="81">
        <v>0</v>
      </c>
      <c r="Q111" s="81">
        <v>0</v>
      </c>
      <c r="R111" s="81">
        <v>0</v>
      </c>
      <c r="S111" s="81">
        <v>0</v>
      </c>
      <c r="T111" s="81">
        <v>0</v>
      </c>
      <c r="U111" s="81">
        <v>0</v>
      </c>
      <c r="V111" s="81">
        <v>0</v>
      </c>
      <c r="W111" s="81">
        <f t="shared" si="45"/>
        <v>0</v>
      </c>
      <c r="X111" s="170"/>
      <c r="Y111" s="163" t="s">
        <v>439</v>
      </c>
      <c r="Z111" s="170"/>
      <c r="AA111" s="171"/>
      <c r="AB111" s="170"/>
      <c r="AC111" s="171">
        <f t="shared" si="38"/>
        <v>0</v>
      </c>
      <c r="AD111" s="170"/>
      <c r="AE111" s="171">
        <f t="shared" si="44"/>
        <v>25430.999999999996</v>
      </c>
      <c r="AF111" s="171"/>
      <c r="AG111" s="165"/>
      <c r="AH111" s="165"/>
      <c r="AI111" s="165"/>
      <c r="AJ111" s="23"/>
    </row>
    <row r="112" spans="1:36" s="19" customFormat="1" ht="54.95" customHeight="1" x14ac:dyDescent="0.85">
      <c r="A112" s="163" t="s">
        <v>403</v>
      </c>
      <c r="B112" s="81">
        <f>[1]CNT!N275</f>
        <v>22084.030000000002</v>
      </c>
      <c r="C112" s="81"/>
      <c r="D112" s="81">
        <v>0</v>
      </c>
      <c r="E112" s="81"/>
      <c r="F112" s="81">
        <v>0</v>
      </c>
      <c r="G112" s="81">
        <v>0</v>
      </c>
      <c r="H112" s="81">
        <v>0</v>
      </c>
      <c r="I112" s="81">
        <v>0</v>
      </c>
      <c r="J112" s="81"/>
      <c r="K112" s="81">
        <v>0</v>
      </c>
      <c r="L112" s="81">
        <f t="shared" si="43"/>
        <v>22084.030000000002</v>
      </c>
      <c r="M112" s="82"/>
      <c r="N112" s="82"/>
      <c r="O112" s="163" t="s">
        <v>403</v>
      </c>
      <c r="P112" s="81">
        <v>0</v>
      </c>
      <c r="Q112" s="81">
        <v>0</v>
      </c>
      <c r="R112" s="81">
        <v>0</v>
      </c>
      <c r="S112" s="81">
        <v>0</v>
      </c>
      <c r="T112" s="81">
        <v>0</v>
      </c>
      <c r="U112" s="81">
        <v>0</v>
      </c>
      <c r="V112" s="81">
        <v>0</v>
      </c>
      <c r="W112" s="81">
        <v>0</v>
      </c>
      <c r="X112" s="170"/>
      <c r="Y112" s="163" t="s">
        <v>403</v>
      </c>
      <c r="Z112" s="170"/>
      <c r="AA112" s="171">
        <f t="shared" si="37"/>
        <v>22084.030000000002</v>
      </c>
      <c r="AB112" s="170"/>
      <c r="AC112" s="171">
        <f t="shared" si="38"/>
        <v>0</v>
      </c>
      <c r="AD112" s="170"/>
      <c r="AE112" s="171"/>
      <c r="AF112" s="171"/>
      <c r="AG112" s="165"/>
      <c r="AH112" s="165"/>
      <c r="AI112" s="165"/>
      <c r="AJ112" s="23"/>
    </row>
    <row r="113" spans="1:36" s="19" customFormat="1" ht="54.95" customHeight="1" x14ac:dyDescent="0.85">
      <c r="A113" s="163" t="s">
        <v>449</v>
      </c>
      <c r="B113" s="81">
        <f>[1]CNT!N277</f>
        <v>3098.28</v>
      </c>
      <c r="C113" s="81"/>
      <c r="D113" s="81">
        <v>0</v>
      </c>
      <c r="E113" s="81"/>
      <c r="F113" s="81">
        <v>0</v>
      </c>
      <c r="G113" s="81">
        <v>0</v>
      </c>
      <c r="H113" s="81">
        <v>0</v>
      </c>
      <c r="I113" s="81">
        <v>0</v>
      </c>
      <c r="J113" s="81"/>
      <c r="K113" s="81">
        <v>0</v>
      </c>
      <c r="L113" s="81">
        <f t="shared" si="43"/>
        <v>3098.28</v>
      </c>
      <c r="M113" s="82"/>
      <c r="N113" s="82"/>
      <c r="O113" s="163" t="s">
        <v>449</v>
      </c>
      <c r="P113" s="81">
        <v>0</v>
      </c>
      <c r="Q113" s="81">
        <v>0</v>
      </c>
      <c r="R113" s="81">
        <v>0</v>
      </c>
      <c r="S113" s="81">
        <v>0</v>
      </c>
      <c r="T113" s="81">
        <v>0</v>
      </c>
      <c r="U113" s="81">
        <v>0</v>
      </c>
      <c r="V113" s="81">
        <v>0</v>
      </c>
      <c r="W113" s="81">
        <v>0</v>
      </c>
      <c r="X113" s="170"/>
      <c r="Y113" s="163" t="s">
        <v>449</v>
      </c>
      <c r="Z113" s="170"/>
      <c r="AA113" s="171"/>
      <c r="AB113" s="170"/>
      <c r="AC113" s="171">
        <f t="shared" si="38"/>
        <v>0</v>
      </c>
      <c r="AD113" s="170"/>
      <c r="AE113" s="171"/>
      <c r="AF113" s="171"/>
      <c r="AG113" s="165"/>
      <c r="AH113" s="165"/>
      <c r="AI113" s="165"/>
      <c r="AJ113" s="23"/>
    </row>
    <row r="114" spans="1:36" s="19" customFormat="1" ht="54.95" customHeight="1" x14ac:dyDescent="0.85">
      <c r="A114" s="169" t="s">
        <v>463</v>
      </c>
      <c r="B114" s="83">
        <f t="shared" ref="B114:L114" si="46">SUM(B101:B113)</f>
        <v>754239.5199999999</v>
      </c>
      <c r="C114" s="83"/>
      <c r="D114" s="83">
        <f t="shared" si="46"/>
        <v>-350671.46</v>
      </c>
      <c r="E114" s="83"/>
      <c r="F114" s="83">
        <f t="shared" si="46"/>
        <v>137046.60999999999</v>
      </c>
      <c r="G114" s="83">
        <f t="shared" si="46"/>
        <v>35023.849999999991</v>
      </c>
      <c r="H114" s="83">
        <f t="shared" si="46"/>
        <v>-36194.26</v>
      </c>
      <c r="I114" s="83">
        <f t="shared" si="46"/>
        <v>184131.49000000002</v>
      </c>
      <c r="J114" s="83"/>
      <c r="K114" s="83">
        <f t="shared" si="46"/>
        <v>142500</v>
      </c>
      <c r="L114" s="83">
        <f t="shared" si="46"/>
        <v>866075.75000000012</v>
      </c>
      <c r="M114" s="87">
        <f>SUM(L101:L113)-L114</f>
        <v>0</v>
      </c>
      <c r="N114" s="82"/>
      <c r="O114" s="169" t="s">
        <v>463</v>
      </c>
      <c r="P114" s="83">
        <f>SUM(P101:P113)</f>
        <v>325097.06</v>
      </c>
      <c r="Q114" s="83">
        <f>SUM(Q101:Q108)</f>
        <v>-309547.5</v>
      </c>
      <c r="R114" s="83">
        <f>SUM(R101:R108)</f>
        <v>-10000</v>
      </c>
      <c r="S114" s="83">
        <f>SUM(S101:S113)</f>
        <v>75031.069999999992</v>
      </c>
      <c r="T114" s="83">
        <f>SUM(T101:T113)</f>
        <v>-46377.36</v>
      </c>
      <c r="U114" s="83">
        <f>SUM(U101:U113)</f>
        <v>343567.18</v>
      </c>
      <c r="V114" s="83">
        <f>SUM(V101:V113)</f>
        <v>100000</v>
      </c>
      <c r="W114" s="83">
        <f>SUM(P114:V114)</f>
        <v>477770.44999999995</v>
      </c>
      <c r="X114" s="179">
        <f>SUM(W101:W112)-W114</f>
        <v>0</v>
      </c>
      <c r="Y114" s="169" t="s">
        <v>463</v>
      </c>
      <c r="Z114" s="170"/>
      <c r="AA114" s="175">
        <f t="shared" si="37"/>
        <v>866075.75000000012</v>
      </c>
      <c r="AB114" s="170"/>
      <c r="AC114" s="175">
        <f t="shared" si="38"/>
        <v>477770.44999999995</v>
      </c>
      <c r="AD114" s="170"/>
      <c r="AE114" s="175">
        <f>L114-W114</f>
        <v>388305.30000000016</v>
      </c>
      <c r="AF114" s="175"/>
      <c r="AG114" s="165"/>
      <c r="AH114" s="165"/>
      <c r="AI114" s="165"/>
      <c r="AJ114" s="23"/>
    </row>
    <row r="115" spans="1:36" s="19" customFormat="1" ht="54.95" customHeight="1" x14ac:dyDescent="0.85">
      <c r="A115" s="169"/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>
        <f t="shared" si="43"/>
        <v>0</v>
      </c>
      <c r="M115" s="82"/>
      <c r="N115" s="82"/>
      <c r="O115" s="80"/>
      <c r="P115" s="81"/>
      <c r="Q115" s="81"/>
      <c r="R115" s="81"/>
      <c r="S115" s="81"/>
      <c r="T115" s="81"/>
      <c r="U115" s="81"/>
      <c r="V115" s="81"/>
      <c r="W115" s="81">
        <f t="shared" si="45"/>
        <v>0</v>
      </c>
      <c r="X115" s="170"/>
      <c r="Y115" s="80"/>
      <c r="Z115" s="170"/>
      <c r="AA115" s="171"/>
      <c r="AB115" s="170"/>
      <c r="AC115" s="171">
        <f t="shared" si="38"/>
        <v>0</v>
      </c>
      <c r="AD115" s="170"/>
      <c r="AE115" s="171"/>
      <c r="AF115" s="171"/>
      <c r="AG115" s="165"/>
      <c r="AH115" s="165"/>
      <c r="AI115" s="165"/>
      <c r="AJ115" s="23"/>
    </row>
    <row r="116" spans="1:36" s="88" customFormat="1" ht="69.95" customHeight="1" thickBot="1" x14ac:dyDescent="1.1000000000000001">
      <c r="A116" s="183" t="s">
        <v>266</v>
      </c>
      <c r="B116" s="91">
        <f>B35-B98+B114</f>
        <v>-866177.09999820741</v>
      </c>
      <c r="C116" s="91"/>
      <c r="D116" s="91">
        <f t="shared" ref="D116:K116" si="47">D35-D98+D114</f>
        <v>409024.82000001491</v>
      </c>
      <c r="E116" s="91"/>
      <c r="F116" s="91">
        <f t="shared" si="47"/>
        <v>1266280.71</v>
      </c>
      <c r="G116" s="91">
        <f>G35-G98+G114</f>
        <v>20409.12999999999</v>
      </c>
      <c r="H116" s="91">
        <f t="shared" si="47"/>
        <v>-57152.549999999806</v>
      </c>
      <c r="I116" s="91">
        <f>I35-I98+I114</f>
        <v>97700.06</v>
      </c>
      <c r="J116" s="91"/>
      <c r="K116" s="91">
        <f t="shared" si="47"/>
        <v>9032.8099999999977</v>
      </c>
      <c r="L116" s="91">
        <f t="shared" si="43"/>
        <v>879117.88000180759</v>
      </c>
      <c r="M116" s="90"/>
      <c r="N116" s="90"/>
      <c r="O116" s="92" t="s">
        <v>266</v>
      </c>
      <c r="P116" s="91">
        <f t="shared" ref="P116:V116" si="48">P35-P98+P114</f>
        <v>-817103.95999807352</v>
      </c>
      <c r="Q116" s="91">
        <f t="shared" si="48"/>
        <v>191371.89999999671</v>
      </c>
      <c r="R116" s="91">
        <f t="shared" si="48"/>
        <v>703070.16</v>
      </c>
      <c r="S116" s="91">
        <f t="shared" si="48"/>
        <v>70543.56</v>
      </c>
      <c r="T116" s="91">
        <f>T35-T98+T114</f>
        <v>-98430.059999999954</v>
      </c>
      <c r="U116" s="91">
        <f>U35-U98+U114</f>
        <v>295643.14</v>
      </c>
      <c r="V116" s="91">
        <f t="shared" si="48"/>
        <v>96951.42</v>
      </c>
      <c r="W116" s="91">
        <f t="shared" si="45"/>
        <v>442046.16000192321</v>
      </c>
      <c r="Y116" s="92" t="s">
        <v>266</v>
      </c>
      <c r="AA116" s="184">
        <f t="shared" si="37"/>
        <v>879117.88000180759</v>
      </c>
      <c r="AC116" s="184">
        <f t="shared" si="38"/>
        <v>442046.16000192321</v>
      </c>
      <c r="AE116" s="184">
        <f>L116-W116</f>
        <v>437071.71999988437</v>
      </c>
      <c r="AF116" s="185"/>
      <c r="AG116" s="89"/>
      <c r="AH116" s="89"/>
      <c r="AI116" s="89"/>
      <c r="AJ116" s="89"/>
    </row>
    <row r="117" spans="1:36" ht="39.950000000000003" customHeight="1" thickTop="1" x14ac:dyDescent="0.85"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AH117" s="165"/>
      <c r="AJ117" s="6"/>
    </row>
    <row r="118" spans="1:36" ht="39.950000000000003" hidden="1" customHeight="1" x14ac:dyDescent="0.85">
      <c r="AH118" s="165"/>
      <c r="AJ118" s="6"/>
    </row>
    <row r="119" spans="1:36" s="19" customFormat="1" ht="39.950000000000003" hidden="1" customHeight="1" x14ac:dyDescent="0.85">
      <c r="A119" s="163" t="s">
        <v>331</v>
      </c>
      <c r="B119" s="81">
        <v>-866177.10000047239</v>
      </c>
      <c r="C119" s="81"/>
      <c r="D119" s="186">
        <v>409024.82</v>
      </c>
      <c r="E119" s="186"/>
      <c r="F119" s="186">
        <v>1266280.71</v>
      </c>
      <c r="G119" s="186">
        <v>20409.13</v>
      </c>
      <c r="H119" s="186">
        <v>-57152.55</v>
      </c>
      <c r="I119" s="186">
        <v>97700.06</v>
      </c>
      <c r="J119" s="186"/>
      <c r="K119" s="186">
        <v>9032.81</v>
      </c>
      <c r="L119" s="81">
        <f>SUM(B119:K119)</f>
        <v>879117.87999952747</v>
      </c>
      <c r="M119" s="82"/>
      <c r="N119" s="82"/>
      <c r="O119" s="75"/>
      <c r="P119" s="81">
        <v>-817103.96</v>
      </c>
      <c r="Q119" s="81">
        <v>191371.9</v>
      </c>
      <c r="R119" s="81">
        <v>703070.16</v>
      </c>
      <c r="S119" s="81">
        <v>70543.56</v>
      </c>
      <c r="T119" s="81">
        <v>-98430.06</v>
      </c>
      <c r="U119" s="81">
        <v>295643.14</v>
      </c>
      <c r="V119" s="81">
        <v>96951.42</v>
      </c>
      <c r="W119" s="81">
        <f>SUM(P119:V119)</f>
        <v>442046.16000000009</v>
      </c>
      <c r="X119" s="170"/>
      <c r="Y119" s="75"/>
      <c r="Z119" s="170"/>
      <c r="AA119" s="171"/>
      <c r="AB119" s="170"/>
      <c r="AC119" s="171"/>
      <c r="AD119" s="170"/>
      <c r="AE119" s="171"/>
      <c r="AF119" s="171"/>
      <c r="AG119" s="165"/>
      <c r="AH119" s="165"/>
      <c r="AI119" s="165"/>
      <c r="AJ119" s="23"/>
    </row>
    <row r="120" spans="1:36" s="19" customFormat="1" ht="39.950000000000003" hidden="1" customHeight="1" x14ac:dyDescent="0.85">
      <c r="A120" s="163"/>
      <c r="B120" s="81">
        <f t="shared" ref="B120:L120" si="49">B116-B119</f>
        <v>2.2649765014648438E-6</v>
      </c>
      <c r="C120" s="81"/>
      <c r="D120" s="81">
        <f t="shared" si="49"/>
        <v>1.4901161193847656E-8</v>
      </c>
      <c r="E120" s="81"/>
      <c r="F120" s="81">
        <f t="shared" si="49"/>
        <v>0</v>
      </c>
      <c r="G120" s="81">
        <f t="shared" si="49"/>
        <v>0</v>
      </c>
      <c r="H120" s="81">
        <f t="shared" si="49"/>
        <v>1.964508555829525E-10</v>
      </c>
      <c r="I120" s="81">
        <f t="shared" si="49"/>
        <v>0</v>
      </c>
      <c r="J120" s="81"/>
      <c r="K120" s="81">
        <f t="shared" si="49"/>
        <v>0</v>
      </c>
      <c r="L120" s="81">
        <f t="shared" si="49"/>
        <v>2.2801104933023453E-6</v>
      </c>
      <c r="M120" s="82"/>
      <c r="N120" s="82"/>
      <c r="O120" s="75"/>
      <c r="P120" s="81">
        <f>P116-P119</f>
        <v>1.9264407455921173E-6</v>
      </c>
      <c r="Q120" s="81">
        <f t="shared" ref="Q120:V120" si="50">Q116-Q119</f>
        <v>-3.2887328416109085E-9</v>
      </c>
      <c r="R120" s="81">
        <f t="shared" si="50"/>
        <v>0</v>
      </c>
      <c r="S120" s="81">
        <f t="shared" si="50"/>
        <v>0</v>
      </c>
      <c r="T120" s="81">
        <f>T116-T119</f>
        <v>0</v>
      </c>
      <c r="U120" s="81">
        <f>U116-U119</f>
        <v>0</v>
      </c>
      <c r="V120" s="81">
        <f t="shared" si="50"/>
        <v>0</v>
      </c>
      <c r="W120" s="81">
        <f>W116-W119</f>
        <v>1.9231229089200497E-6</v>
      </c>
      <c r="X120" s="170"/>
      <c r="Y120" s="75"/>
      <c r="Z120" s="170"/>
      <c r="AA120" s="171"/>
      <c r="AB120" s="170"/>
      <c r="AC120" s="171"/>
      <c r="AD120" s="170"/>
      <c r="AE120" s="171"/>
      <c r="AF120" s="171"/>
      <c r="AG120" s="165"/>
      <c r="AH120" s="165"/>
      <c r="AI120" s="165"/>
      <c r="AJ120" s="23"/>
    </row>
    <row r="121" spans="1:36" s="19" customFormat="1" ht="39.950000000000003" customHeight="1" x14ac:dyDescent="0.85">
      <c r="A121" s="163"/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>
        <f>L35-L49-L74-L96+L114-L116</f>
        <v>-1.1641532182693481E-9</v>
      </c>
      <c r="M121" s="82"/>
      <c r="N121" s="82"/>
      <c r="O121" s="75"/>
      <c r="P121" s="81"/>
      <c r="Q121" s="81"/>
      <c r="R121" s="81"/>
      <c r="S121" s="81"/>
      <c r="T121" s="81"/>
      <c r="U121" s="81"/>
      <c r="V121" s="81"/>
      <c r="W121" s="81">
        <f>W35-W49-W74-W96+W114-W116</f>
        <v>-5.8207660913467407E-10</v>
      </c>
      <c r="X121" s="170"/>
      <c r="Y121" s="75"/>
      <c r="Z121" s="170"/>
      <c r="AA121" s="171"/>
      <c r="AB121" s="170"/>
      <c r="AC121" s="171"/>
      <c r="AD121" s="170"/>
      <c r="AE121" s="171"/>
      <c r="AF121" s="171"/>
      <c r="AG121" s="165"/>
      <c r="AH121" s="165"/>
      <c r="AI121" s="165"/>
      <c r="AJ121" s="23"/>
    </row>
    <row r="122" spans="1:36" s="88" customFormat="1" ht="69.95" customHeight="1" x14ac:dyDescent="1.05">
      <c r="A122" s="88" t="s">
        <v>508</v>
      </c>
      <c r="B122" s="187"/>
      <c r="C122" s="188" t="s">
        <v>562</v>
      </c>
      <c r="D122" s="188"/>
      <c r="E122" s="188" t="s">
        <v>563</v>
      </c>
      <c r="F122" s="188"/>
      <c r="G122" s="188"/>
      <c r="H122" s="188"/>
      <c r="I122" s="188"/>
      <c r="J122" s="188" t="s">
        <v>551</v>
      </c>
      <c r="K122" s="187"/>
      <c r="L122" s="187"/>
      <c r="M122" s="189"/>
      <c r="N122" s="189"/>
      <c r="P122" s="187"/>
      <c r="Q122" s="187"/>
      <c r="R122" s="187"/>
      <c r="S122" s="187"/>
      <c r="T122" s="187"/>
      <c r="U122" s="187" t="s">
        <v>509</v>
      </c>
      <c r="V122" s="187"/>
      <c r="W122" s="187"/>
      <c r="X122" s="190"/>
      <c r="Z122" s="190"/>
      <c r="AA122" s="191"/>
      <c r="AB122" s="190"/>
      <c r="AC122" s="191"/>
      <c r="AD122" s="190"/>
      <c r="AE122" s="191"/>
      <c r="AF122" s="191"/>
      <c r="AG122" s="89"/>
      <c r="AH122" s="89"/>
      <c r="AI122" s="89"/>
      <c r="AJ122" s="89"/>
    </row>
    <row r="123" spans="1:36" s="88" customFormat="1" ht="69.95" customHeight="1" x14ac:dyDescent="1.05">
      <c r="A123" s="88" t="s">
        <v>510</v>
      </c>
      <c r="B123" s="187">
        <f>-477376.41-469372.32</f>
        <v>-946748.73</v>
      </c>
      <c r="C123" s="192">
        <f>B123/9</f>
        <v>-105194.30333333333</v>
      </c>
      <c r="D123" s="187">
        <v>469372.32</v>
      </c>
      <c r="E123" s="192">
        <f>D123/9</f>
        <v>52152.480000000003</v>
      </c>
      <c r="F123" s="187">
        <v>477376.41</v>
      </c>
      <c r="G123" s="187">
        <v>0</v>
      </c>
      <c r="H123" s="187">
        <v>0</v>
      </c>
      <c r="I123" s="187">
        <v>0</v>
      </c>
      <c r="J123" s="192">
        <f>I123/9</f>
        <v>0</v>
      </c>
      <c r="K123" s="187">
        <v>0</v>
      </c>
      <c r="L123" s="187">
        <f>SUM(B123:K123)</f>
        <v>-53041.823333333188</v>
      </c>
      <c r="M123" s="189"/>
      <c r="N123" s="189"/>
      <c r="P123" s="187"/>
      <c r="Q123" s="187"/>
      <c r="R123" s="187"/>
      <c r="S123" s="187"/>
      <c r="T123" s="187"/>
      <c r="U123" s="187" t="s">
        <v>511</v>
      </c>
      <c r="V123" s="187"/>
      <c r="W123" s="187"/>
      <c r="X123" s="190"/>
      <c r="Z123" s="190"/>
      <c r="AA123" s="191"/>
      <c r="AB123" s="190"/>
      <c r="AC123" s="191"/>
      <c r="AD123" s="190"/>
      <c r="AE123" s="191"/>
      <c r="AF123" s="191"/>
      <c r="AG123" s="89"/>
      <c r="AH123" s="89"/>
      <c r="AI123" s="89"/>
      <c r="AJ123" s="89"/>
    </row>
    <row r="124" spans="1:36" s="88" customFormat="1" ht="69.95" customHeight="1" x14ac:dyDescent="1.05">
      <c r="A124" s="88" t="s">
        <v>512</v>
      </c>
      <c r="B124" s="187">
        <f>-40022.14-40004.02</f>
        <v>-80026.16</v>
      </c>
      <c r="C124" s="192">
        <f t="shared" ref="C124:C138" si="51">B124/9</f>
        <v>-8891.7955555555563</v>
      </c>
      <c r="D124" s="187">
        <v>40004.019999999997</v>
      </c>
      <c r="E124" s="192">
        <f t="shared" ref="E124:E138" si="52">D124/9</f>
        <v>4444.8911111111111</v>
      </c>
      <c r="F124" s="187">
        <v>40022.14</v>
      </c>
      <c r="G124" s="187">
        <v>0</v>
      </c>
      <c r="H124" s="187">
        <v>0</v>
      </c>
      <c r="I124" s="187">
        <v>0</v>
      </c>
      <c r="J124" s="192">
        <f t="shared" ref="J124:J138" si="53">I124/9</f>
        <v>0</v>
      </c>
      <c r="K124" s="187">
        <v>0</v>
      </c>
      <c r="L124" s="187">
        <f t="shared" ref="L124:L127" si="54">SUM(B124:K124)</f>
        <v>-4446.9044444444517</v>
      </c>
      <c r="M124" s="189"/>
      <c r="N124" s="189"/>
      <c r="P124" s="187"/>
      <c r="Q124" s="187"/>
      <c r="R124" s="187"/>
      <c r="S124" s="187"/>
      <c r="T124" s="187"/>
      <c r="U124" s="187">
        <v>11000</v>
      </c>
      <c r="V124" s="187"/>
      <c r="W124" s="187"/>
      <c r="X124" s="190"/>
      <c r="Z124" s="190"/>
      <c r="AA124" s="191"/>
      <c r="AB124" s="190"/>
      <c r="AC124" s="191"/>
      <c r="AD124" s="190"/>
      <c r="AE124" s="191"/>
      <c r="AF124" s="191"/>
      <c r="AG124" s="89"/>
      <c r="AH124" s="89"/>
      <c r="AI124" s="89"/>
      <c r="AJ124" s="89"/>
    </row>
    <row r="125" spans="1:36" s="88" customFormat="1" ht="69.95" customHeight="1" x14ac:dyDescent="1.05">
      <c r="A125" s="88" t="s">
        <v>552</v>
      </c>
      <c r="B125" s="187">
        <f>-48708.17-33457.3</f>
        <v>-82165.47</v>
      </c>
      <c r="C125" s="192">
        <f t="shared" si="51"/>
        <v>-9129.496666666666</v>
      </c>
      <c r="D125" s="187">
        <v>33457.300000000003</v>
      </c>
      <c r="E125" s="192">
        <f t="shared" si="52"/>
        <v>3717.4777777777781</v>
      </c>
      <c r="F125" s="187">
        <v>48708.17</v>
      </c>
      <c r="G125" s="187">
        <v>0</v>
      </c>
      <c r="H125" s="187">
        <v>0</v>
      </c>
      <c r="I125" s="187">
        <v>0</v>
      </c>
      <c r="J125" s="192">
        <f t="shared" si="53"/>
        <v>0</v>
      </c>
      <c r="K125" s="187">
        <v>0</v>
      </c>
      <c r="L125" s="187">
        <f t="shared" si="54"/>
        <v>-5412.0188888888952</v>
      </c>
      <c r="M125" s="189"/>
      <c r="N125" s="189"/>
      <c r="P125" s="187"/>
      <c r="Q125" s="187"/>
      <c r="R125" s="187"/>
      <c r="S125" s="187"/>
      <c r="T125" s="187"/>
      <c r="U125" s="187" t="s">
        <v>514</v>
      </c>
      <c r="V125" s="187"/>
      <c r="W125" s="187"/>
      <c r="X125" s="190"/>
      <c r="Z125" s="190"/>
      <c r="AA125" s="191"/>
      <c r="AB125" s="190"/>
      <c r="AC125" s="191"/>
      <c r="AD125" s="190"/>
      <c r="AE125" s="191"/>
      <c r="AF125" s="191"/>
      <c r="AG125" s="89"/>
      <c r="AH125" s="89"/>
      <c r="AI125" s="89"/>
      <c r="AJ125" s="89"/>
    </row>
    <row r="126" spans="1:36" s="88" customFormat="1" ht="69.95" customHeight="1" x14ac:dyDescent="1.05">
      <c r="A126" s="88" t="s">
        <v>516</v>
      </c>
      <c r="B126" s="187">
        <f>-14255.95-13656.46</f>
        <v>-27912.41</v>
      </c>
      <c r="C126" s="192">
        <f t="shared" si="51"/>
        <v>-3101.3788888888889</v>
      </c>
      <c r="D126" s="187">
        <v>13656.46</v>
      </c>
      <c r="E126" s="192">
        <f t="shared" si="52"/>
        <v>1517.3844444444444</v>
      </c>
      <c r="F126" s="187">
        <v>14255.95</v>
      </c>
      <c r="G126" s="187">
        <v>0</v>
      </c>
      <c r="H126" s="187">
        <v>0</v>
      </c>
      <c r="I126" s="187">
        <v>0</v>
      </c>
      <c r="J126" s="192">
        <f t="shared" si="53"/>
        <v>0</v>
      </c>
      <c r="K126" s="187">
        <v>0</v>
      </c>
      <c r="L126" s="187">
        <f t="shared" si="54"/>
        <v>-1583.9944444444445</v>
      </c>
      <c r="M126" s="189"/>
      <c r="N126" s="189"/>
      <c r="P126" s="187"/>
      <c r="Q126" s="187"/>
      <c r="R126" s="187"/>
      <c r="S126" s="187"/>
      <c r="T126" s="187"/>
      <c r="U126" s="187"/>
      <c r="V126" s="187"/>
      <c r="W126" s="187"/>
      <c r="X126" s="190"/>
      <c r="Z126" s="190"/>
      <c r="AA126" s="191"/>
      <c r="AB126" s="190"/>
      <c r="AC126" s="191"/>
      <c r="AD126" s="190"/>
      <c r="AE126" s="191"/>
      <c r="AF126" s="191"/>
      <c r="AG126" s="89"/>
      <c r="AH126" s="89"/>
      <c r="AI126" s="89"/>
      <c r="AJ126" s="89"/>
    </row>
    <row r="127" spans="1:36" s="88" customFormat="1" ht="69.95" customHeight="1" x14ac:dyDescent="1.05">
      <c r="A127" s="88" t="s">
        <v>517</v>
      </c>
      <c r="B127" s="187">
        <f>-B48*0.35</f>
        <v>-15977.052</v>
      </c>
      <c r="C127" s="192">
        <f t="shared" si="51"/>
        <v>-1775.2280000000001</v>
      </c>
      <c r="D127" s="187">
        <f>B48*0.1</f>
        <v>4564.8720000000003</v>
      </c>
      <c r="E127" s="192">
        <f t="shared" si="52"/>
        <v>507.20800000000003</v>
      </c>
      <c r="F127" s="187">
        <f>B48*0.25</f>
        <v>11412.18</v>
      </c>
      <c r="G127" s="187">
        <v>0</v>
      </c>
      <c r="H127" s="187">
        <v>0</v>
      </c>
      <c r="I127" s="187">
        <v>0</v>
      </c>
      <c r="J127" s="192">
        <f t="shared" si="53"/>
        <v>0</v>
      </c>
      <c r="K127" s="187">
        <v>0</v>
      </c>
      <c r="L127" s="187">
        <f t="shared" si="54"/>
        <v>-1268.0199999999986</v>
      </c>
      <c r="M127" s="189"/>
      <c r="N127" s="189"/>
      <c r="P127" s="187"/>
      <c r="Q127" s="187"/>
      <c r="R127" s="187"/>
      <c r="S127" s="187"/>
      <c r="T127" s="187"/>
      <c r="U127" s="187"/>
      <c r="V127" s="187"/>
      <c r="W127" s="187"/>
      <c r="X127" s="190"/>
      <c r="Z127" s="190"/>
      <c r="AA127" s="191"/>
      <c r="AB127" s="190"/>
      <c r="AC127" s="191"/>
      <c r="AD127" s="190"/>
      <c r="AE127" s="191"/>
      <c r="AF127" s="191"/>
      <c r="AG127" s="89"/>
      <c r="AH127" s="89"/>
      <c r="AI127" s="89"/>
      <c r="AJ127" s="89"/>
    </row>
    <row r="128" spans="1:36" s="88" customFormat="1" ht="69.95" customHeight="1" x14ac:dyDescent="1.05">
      <c r="A128" s="88" t="s">
        <v>553</v>
      </c>
      <c r="B128" s="187">
        <v>0</v>
      </c>
      <c r="C128" s="192">
        <f t="shared" si="51"/>
        <v>0</v>
      </c>
      <c r="D128" s="187">
        <f>5000*9</f>
        <v>45000</v>
      </c>
      <c r="E128" s="192">
        <f t="shared" si="52"/>
        <v>5000</v>
      </c>
      <c r="F128" s="187">
        <v>0</v>
      </c>
      <c r="G128" s="187">
        <v>0</v>
      </c>
      <c r="H128" s="187">
        <v>0</v>
      </c>
      <c r="I128" s="187">
        <f>-5000*9</f>
        <v>-45000</v>
      </c>
      <c r="J128" s="192">
        <f t="shared" si="53"/>
        <v>-5000</v>
      </c>
      <c r="K128" s="187">
        <v>0</v>
      </c>
      <c r="L128" s="187">
        <f t="shared" ref="L128:L143" si="55">SUM(B128:K128)</f>
        <v>0</v>
      </c>
      <c r="M128" s="189"/>
      <c r="N128" s="189"/>
      <c r="P128" s="187"/>
      <c r="Q128" s="187"/>
      <c r="R128" s="187"/>
      <c r="S128" s="187"/>
      <c r="T128" s="187"/>
      <c r="U128" s="187"/>
      <c r="V128" s="187"/>
      <c r="W128" s="187"/>
      <c r="X128" s="190"/>
      <c r="Z128" s="190"/>
      <c r="AA128" s="191"/>
      <c r="AB128" s="190"/>
      <c r="AC128" s="191"/>
      <c r="AD128" s="190"/>
      <c r="AE128" s="191"/>
      <c r="AF128" s="191"/>
      <c r="AG128" s="89"/>
      <c r="AH128" s="89"/>
      <c r="AI128" s="89"/>
      <c r="AJ128" s="89"/>
    </row>
    <row r="129" spans="1:36" s="88" customFormat="1" ht="69.95" customHeight="1" x14ac:dyDescent="1.05">
      <c r="A129" s="88" t="s">
        <v>518</v>
      </c>
      <c r="B129" s="187">
        <f>B71*-0.15</f>
        <v>-18056.969999999998</v>
      </c>
      <c r="C129" s="192">
        <f t="shared" si="51"/>
        <v>-2006.3299999999997</v>
      </c>
      <c r="D129" s="187">
        <f>B71*0.15</f>
        <v>18056.969999999998</v>
      </c>
      <c r="E129" s="192">
        <f t="shared" si="52"/>
        <v>2006.3299999999997</v>
      </c>
      <c r="F129" s="187">
        <v>0</v>
      </c>
      <c r="G129" s="187">
        <v>0</v>
      </c>
      <c r="H129" s="187">
        <v>0</v>
      </c>
      <c r="I129" s="187">
        <v>0</v>
      </c>
      <c r="J129" s="192">
        <f t="shared" si="53"/>
        <v>0</v>
      </c>
      <c r="K129" s="187">
        <v>0</v>
      </c>
      <c r="L129" s="187">
        <f t="shared" si="55"/>
        <v>1.5916157281026244E-12</v>
      </c>
      <c r="M129" s="189"/>
      <c r="N129" s="189"/>
      <c r="P129" s="187"/>
      <c r="Q129" s="187"/>
      <c r="R129" s="187"/>
      <c r="S129" s="187"/>
      <c r="T129" s="187"/>
      <c r="U129" s="187"/>
      <c r="V129" s="187"/>
      <c r="W129" s="187"/>
      <c r="X129" s="190"/>
      <c r="Z129" s="190"/>
      <c r="AA129" s="191"/>
      <c r="AB129" s="190"/>
      <c r="AC129" s="191"/>
      <c r="AD129" s="190"/>
      <c r="AE129" s="191"/>
      <c r="AF129" s="191"/>
      <c r="AG129" s="89"/>
      <c r="AH129" s="89"/>
      <c r="AI129" s="89"/>
      <c r="AJ129" s="89"/>
    </row>
    <row r="130" spans="1:36" s="88" customFormat="1" ht="69.95" customHeight="1" x14ac:dyDescent="1.05">
      <c r="A130" s="88" t="s">
        <v>519</v>
      </c>
      <c r="B130" s="187">
        <f>-B62*0.1</f>
        <v>-4557.8289999999997</v>
      </c>
      <c r="C130" s="192">
        <f t="shared" si="51"/>
        <v>-506.42544444444439</v>
      </c>
      <c r="D130" s="187">
        <f>B62*0.1</f>
        <v>4557.8289999999997</v>
      </c>
      <c r="E130" s="192">
        <f t="shared" si="52"/>
        <v>506.42544444444439</v>
      </c>
      <c r="F130" s="187">
        <v>0</v>
      </c>
      <c r="G130" s="187">
        <v>0</v>
      </c>
      <c r="H130" s="187">
        <v>0</v>
      </c>
      <c r="I130" s="187">
        <v>0</v>
      </c>
      <c r="J130" s="192">
        <f t="shared" si="53"/>
        <v>0</v>
      </c>
      <c r="K130" s="187">
        <v>0</v>
      </c>
      <c r="L130" s="187">
        <f t="shared" si="55"/>
        <v>2.8421709430404007E-13</v>
      </c>
      <c r="M130" s="189"/>
      <c r="N130" s="189"/>
      <c r="P130" s="187"/>
      <c r="Q130" s="187"/>
      <c r="R130" s="187"/>
      <c r="S130" s="187"/>
      <c r="T130" s="187"/>
      <c r="U130" s="187"/>
      <c r="V130" s="187"/>
      <c r="W130" s="187"/>
      <c r="X130" s="190"/>
      <c r="Z130" s="190"/>
      <c r="AA130" s="191"/>
      <c r="AB130" s="190"/>
      <c r="AC130" s="191"/>
      <c r="AD130" s="190"/>
      <c r="AE130" s="191"/>
      <c r="AF130" s="191"/>
      <c r="AG130" s="89"/>
      <c r="AH130" s="89"/>
      <c r="AI130" s="89"/>
      <c r="AJ130" s="89"/>
    </row>
    <row r="131" spans="1:36" s="88" customFormat="1" ht="69.95" customHeight="1" x14ac:dyDescent="1.05">
      <c r="A131" s="88" t="s">
        <v>520</v>
      </c>
      <c r="B131" s="187">
        <f>B70*-0.15</f>
        <v>-2299.5329999999999</v>
      </c>
      <c r="C131" s="192">
        <f t="shared" si="51"/>
        <v>-255.50366666666665</v>
      </c>
      <c r="D131" s="187">
        <f>B70*0.15</f>
        <v>2299.5329999999999</v>
      </c>
      <c r="E131" s="192">
        <f t="shared" si="52"/>
        <v>255.50366666666665</v>
      </c>
      <c r="F131" s="187">
        <v>0</v>
      </c>
      <c r="G131" s="187">
        <v>0</v>
      </c>
      <c r="H131" s="187">
        <v>0</v>
      </c>
      <c r="I131" s="187">
        <v>0</v>
      </c>
      <c r="J131" s="192">
        <f t="shared" si="53"/>
        <v>0</v>
      </c>
      <c r="K131" s="187">
        <v>0</v>
      </c>
      <c r="L131" s="187">
        <f t="shared" si="55"/>
        <v>1.4210854715202004E-13</v>
      </c>
      <c r="M131" s="189"/>
      <c r="N131" s="189"/>
      <c r="P131" s="187"/>
      <c r="Q131" s="187"/>
      <c r="R131" s="187"/>
      <c r="S131" s="187"/>
      <c r="T131" s="187"/>
      <c r="U131" s="187"/>
      <c r="V131" s="187"/>
      <c r="W131" s="187"/>
      <c r="X131" s="190"/>
      <c r="Z131" s="190"/>
      <c r="AA131" s="191"/>
      <c r="AB131" s="190"/>
      <c r="AC131" s="191"/>
      <c r="AD131" s="190"/>
      <c r="AE131" s="191"/>
      <c r="AF131" s="191"/>
      <c r="AG131" s="89"/>
      <c r="AH131" s="89"/>
      <c r="AI131" s="89"/>
      <c r="AJ131" s="89"/>
    </row>
    <row r="132" spans="1:36" s="88" customFormat="1" ht="69.95" customHeight="1" x14ac:dyDescent="1.05">
      <c r="A132" s="88" t="s">
        <v>521</v>
      </c>
      <c r="B132" s="187">
        <f>-B84*0.2</f>
        <v>-10750.686000000002</v>
      </c>
      <c r="C132" s="192">
        <f t="shared" si="51"/>
        <v>-1194.5206666666668</v>
      </c>
      <c r="D132" s="187">
        <f>B84*0.1</f>
        <v>5375.3430000000008</v>
      </c>
      <c r="E132" s="192">
        <f t="shared" si="52"/>
        <v>597.26033333333339</v>
      </c>
      <c r="F132" s="187">
        <f>B84*0.1</f>
        <v>5375.3430000000008</v>
      </c>
      <c r="G132" s="187">
        <v>0</v>
      </c>
      <c r="H132" s="187">
        <v>0</v>
      </c>
      <c r="I132" s="187">
        <v>0</v>
      </c>
      <c r="J132" s="192">
        <f t="shared" si="53"/>
        <v>0</v>
      </c>
      <c r="K132" s="187">
        <v>0</v>
      </c>
      <c r="L132" s="187">
        <f t="shared" si="55"/>
        <v>-597.26033333333362</v>
      </c>
      <c r="M132" s="189"/>
      <c r="N132" s="189"/>
      <c r="P132" s="187"/>
      <c r="Q132" s="187"/>
      <c r="R132" s="187"/>
      <c r="S132" s="187"/>
      <c r="T132" s="187"/>
      <c r="U132" s="187"/>
      <c r="V132" s="187"/>
      <c r="W132" s="187"/>
      <c r="X132" s="190"/>
      <c r="Z132" s="190"/>
      <c r="AA132" s="191"/>
      <c r="AB132" s="190"/>
      <c r="AC132" s="191"/>
      <c r="AD132" s="190"/>
      <c r="AE132" s="191"/>
      <c r="AF132" s="191"/>
      <c r="AG132" s="89"/>
      <c r="AH132" s="89"/>
      <c r="AI132" s="89"/>
      <c r="AJ132" s="89"/>
    </row>
    <row r="133" spans="1:36" s="88" customFormat="1" ht="69.95" customHeight="1" x14ac:dyDescent="1.05">
      <c r="A133" s="88" t="s">
        <v>522</v>
      </c>
      <c r="B133" s="187">
        <f>-B85*0.35</f>
        <v>-13773.375</v>
      </c>
      <c r="C133" s="192">
        <f t="shared" si="51"/>
        <v>-1530.375</v>
      </c>
      <c r="D133" s="187">
        <f>B85*0.1</f>
        <v>3935.25</v>
      </c>
      <c r="E133" s="192">
        <f t="shared" si="52"/>
        <v>437.25</v>
      </c>
      <c r="F133" s="187">
        <f>B85*0.25</f>
        <v>9838.125</v>
      </c>
      <c r="G133" s="187">
        <v>0</v>
      </c>
      <c r="H133" s="187">
        <v>0</v>
      </c>
      <c r="I133" s="187">
        <v>0</v>
      </c>
      <c r="J133" s="192">
        <f t="shared" si="53"/>
        <v>0</v>
      </c>
      <c r="K133" s="187">
        <v>0</v>
      </c>
      <c r="L133" s="187">
        <f t="shared" si="55"/>
        <v>-1093.125</v>
      </c>
      <c r="M133" s="189"/>
      <c r="N133" s="189"/>
      <c r="P133" s="187"/>
      <c r="Q133" s="187"/>
      <c r="R133" s="187"/>
      <c r="S133" s="187"/>
      <c r="T133" s="187"/>
      <c r="U133" s="187"/>
      <c r="V133" s="187"/>
      <c r="W133" s="187"/>
      <c r="X133" s="190"/>
      <c r="Z133" s="190"/>
      <c r="AA133" s="191"/>
      <c r="AB133" s="190"/>
      <c r="AC133" s="191"/>
      <c r="AD133" s="190"/>
      <c r="AE133" s="191"/>
      <c r="AF133" s="191"/>
      <c r="AG133" s="89"/>
      <c r="AH133" s="89"/>
      <c r="AI133" s="89"/>
      <c r="AJ133" s="89"/>
    </row>
    <row r="134" spans="1:36" s="90" customFormat="1" ht="69.95" customHeight="1" x14ac:dyDescent="1.05">
      <c r="A134" s="90" t="s">
        <v>523</v>
      </c>
      <c r="B134" s="187">
        <v>-23420.78</v>
      </c>
      <c r="C134" s="192">
        <f t="shared" si="51"/>
        <v>-2602.3088888888888</v>
      </c>
      <c r="D134" s="187">
        <v>0</v>
      </c>
      <c r="E134" s="192">
        <f t="shared" si="52"/>
        <v>0</v>
      </c>
      <c r="F134" s="187">
        <v>23420.78</v>
      </c>
      <c r="G134" s="187">
        <v>0</v>
      </c>
      <c r="H134" s="187">
        <v>0</v>
      </c>
      <c r="I134" s="187">
        <v>0</v>
      </c>
      <c r="J134" s="192">
        <f t="shared" si="53"/>
        <v>0</v>
      </c>
      <c r="K134" s="187">
        <v>0</v>
      </c>
      <c r="L134" s="187">
        <f t="shared" si="55"/>
        <v>-2602.3088888888888</v>
      </c>
      <c r="M134" s="189"/>
      <c r="N134" s="189"/>
      <c r="P134" s="187"/>
      <c r="Q134" s="187"/>
      <c r="R134" s="187"/>
      <c r="S134" s="187"/>
      <c r="T134" s="187"/>
      <c r="U134" s="187"/>
      <c r="V134" s="187"/>
      <c r="W134" s="187"/>
      <c r="X134" s="189"/>
      <c r="Z134" s="189"/>
      <c r="AA134" s="187"/>
      <c r="AB134" s="189"/>
      <c r="AC134" s="187"/>
      <c r="AD134" s="189"/>
      <c r="AE134" s="187"/>
      <c r="AF134" s="187"/>
      <c r="AG134" s="107"/>
      <c r="AH134" s="107"/>
      <c r="AI134" s="107"/>
      <c r="AJ134" s="107"/>
    </row>
    <row r="135" spans="1:36" s="88" customFormat="1" ht="69.95" customHeight="1" x14ac:dyDescent="1.05">
      <c r="A135" s="88" t="s">
        <v>554</v>
      </c>
      <c r="B135" s="187">
        <f>B102</f>
        <v>311113.75</v>
      </c>
      <c r="C135" s="192">
        <f t="shared" si="51"/>
        <v>34568.194444444445</v>
      </c>
      <c r="D135" s="187">
        <f>D103</f>
        <v>-311113.75</v>
      </c>
      <c r="E135" s="192">
        <f t="shared" si="52"/>
        <v>-34568.194444444445</v>
      </c>
      <c r="F135" s="187">
        <v>0</v>
      </c>
      <c r="G135" s="187">
        <v>0</v>
      </c>
      <c r="H135" s="187">
        <v>0</v>
      </c>
      <c r="I135" s="187">
        <v>0</v>
      </c>
      <c r="J135" s="192">
        <f t="shared" si="53"/>
        <v>0</v>
      </c>
      <c r="K135" s="187">
        <v>0</v>
      </c>
      <c r="L135" s="187">
        <f t="shared" si="55"/>
        <v>-7.2759576141834259E-12</v>
      </c>
      <c r="M135" s="189"/>
      <c r="N135" s="189"/>
      <c r="P135" s="187"/>
      <c r="Q135" s="187"/>
      <c r="R135" s="187"/>
      <c r="S135" s="187"/>
      <c r="T135" s="187"/>
      <c r="U135" s="187"/>
      <c r="V135" s="187"/>
      <c r="W135" s="187"/>
      <c r="X135" s="190"/>
      <c r="Z135" s="190"/>
      <c r="AA135" s="191"/>
      <c r="AB135" s="190"/>
      <c r="AC135" s="191"/>
      <c r="AD135" s="190"/>
      <c r="AE135" s="191"/>
      <c r="AF135" s="191"/>
      <c r="AG135" s="89"/>
      <c r="AH135" s="89"/>
      <c r="AI135" s="89"/>
      <c r="AJ135" s="89"/>
    </row>
    <row r="136" spans="1:36" s="88" customFormat="1" ht="69.95" customHeight="1" x14ac:dyDescent="1.05">
      <c r="A136" s="88" t="s">
        <v>555</v>
      </c>
      <c r="B136" s="187">
        <f>-(721.82)*9</f>
        <v>-6496.38</v>
      </c>
      <c r="C136" s="192">
        <f t="shared" si="51"/>
        <v>-721.82</v>
      </c>
      <c r="D136" s="187"/>
      <c r="E136" s="192">
        <f t="shared" si="52"/>
        <v>0</v>
      </c>
      <c r="F136" s="187">
        <f>(721.82)*9</f>
        <v>6496.38</v>
      </c>
      <c r="G136" s="187">
        <v>0</v>
      </c>
      <c r="H136" s="187">
        <v>0</v>
      </c>
      <c r="I136" s="187">
        <v>0</v>
      </c>
      <c r="J136" s="192">
        <f t="shared" si="53"/>
        <v>0</v>
      </c>
      <c r="K136" s="187">
        <v>0</v>
      </c>
      <c r="L136" s="187">
        <f t="shared" si="55"/>
        <v>-721.81999999999971</v>
      </c>
      <c r="M136" s="189"/>
      <c r="N136" s="189"/>
      <c r="P136" s="187"/>
      <c r="Q136" s="187"/>
      <c r="R136" s="187"/>
      <c r="S136" s="187"/>
      <c r="T136" s="187"/>
      <c r="U136" s="187"/>
      <c r="V136" s="187"/>
      <c r="W136" s="187"/>
      <c r="X136" s="190"/>
      <c r="Z136" s="190"/>
      <c r="AA136" s="191"/>
      <c r="AB136" s="190"/>
      <c r="AC136" s="191"/>
      <c r="AD136" s="190"/>
      <c r="AE136" s="191"/>
      <c r="AF136" s="191"/>
      <c r="AG136" s="89"/>
      <c r="AH136" s="89"/>
      <c r="AI136" s="89"/>
      <c r="AJ136" s="89"/>
    </row>
    <row r="137" spans="1:36" s="90" customFormat="1" ht="69.95" customHeight="1" x14ac:dyDescent="1.05">
      <c r="A137" s="90" t="s">
        <v>556</v>
      </c>
      <c r="B137" s="187">
        <v>-6690.64</v>
      </c>
      <c r="C137" s="192">
        <f t="shared" si="51"/>
        <v>-743.40444444444449</v>
      </c>
      <c r="D137" s="187">
        <v>0</v>
      </c>
      <c r="E137" s="192">
        <f t="shared" si="52"/>
        <v>0</v>
      </c>
      <c r="F137" s="187">
        <v>6690.64</v>
      </c>
      <c r="G137" s="187">
        <v>0</v>
      </c>
      <c r="H137" s="187">
        <v>0</v>
      </c>
      <c r="I137" s="187">
        <v>0</v>
      </c>
      <c r="J137" s="192">
        <f t="shared" si="53"/>
        <v>0</v>
      </c>
      <c r="K137" s="187">
        <v>0</v>
      </c>
      <c r="L137" s="187">
        <f t="shared" si="55"/>
        <v>-743.40444444444438</v>
      </c>
      <c r="M137" s="189"/>
      <c r="N137" s="189"/>
      <c r="P137" s="187"/>
      <c r="Q137" s="187"/>
      <c r="R137" s="187"/>
      <c r="S137" s="187"/>
      <c r="T137" s="187"/>
      <c r="U137" s="187"/>
      <c r="V137" s="187"/>
      <c r="W137" s="187"/>
      <c r="X137" s="189"/>
      <c r="Z137" s="189"/>
      <c r="AA137" s="187"/>
      <c r="AB137" s="189"/>
      <c r="AC137" s="187"/>
      <c r="AD137" s="189"/>
      <c r="AE137" s="187"/>
      <c r="AF137" s="187"/>
      <c r="AG137" s="107"/>
      <c r="AH137" s="107"/>
      <c r="AI137" s="107"/>
      <c r="AJ137" s="107"/>
    </row>
    <row r="138" spans="1:36" s="90" customFormat="1" ht="69.95" customHeight="1" x14ac:dyDescent="1.05">
      <c r="A138" s="90" t="s">
        <v>557</v>
      </c>
      <c r="B138" s="187">
        <v>-7140.03</v>
      </c>
      <c r="C138" s="192">
        <f t="shared" si="51"/>
        <v>-793.33666666666659</v>
      </c>
      <c r="D138" s="187">
        <v>7140.03</v>
      </c>
      <c r="E138" s="192">
        <f t="shared" si="52"/>
        <v>793.33666666666659</v>
      </c>
      <c r="F138" s="187">
        <v>0</v>
      </c>
      <c r="G138" s="187">
        <v>0</v>
      </c>
      <c r="H138" s="187">
        <v>0</v>
      </c>
      <c r="I138" s="187">
        <v>0</v>
      </c>
      <c r="J138" s="192">
        <f t="shared" si="53"/>
        <v>0</v>
      </c>
      <c r="K138" s="187">
        <v>0</v>
      </c>
      <c r="L138" s="187">
        <f t="shared" si="55"/>
        <v>-4.5474735088646412E-13</v>
      </c>
      <c r="M138" s="189"/>
      <c r="N138" s="189"/>
      <c r="P138" s="187"/>
      <c r="Q138" s="187"/>
      <c r="R138" s="187"/>
      <c r="S138" s="187"/>
      <c r="T138" s="187"/>
      <c r="U138" s="187"/>
      <c r="V138" s="187"/>
      <c r="W138" s="187"/>
      <c r="X138" s="189"/>
      <c r="Z138" s="189"/>
      <c r="AA138" s="187"/>
      <c r="AB138" s="189"/>
      <c r="AC138" s="187"/>
      <c r="AD138" s="189"/>
      <c r="AE138" s="187"/>
      <c r="AF138" s="187"/>
      <c r="AG138" s="107"/>
      <c r="AH138" s="107"/>
      <c r="AI138" s="107"/>
      <c r="AJ138" s="107"/>
    </row>
    <row r="139" spans="1:36" s="88" customFormat="1" ht="69.95" customHeight="1" x14ac:dyDescent="1.05">
      <c r="A139" s="88" t="s">
        <v>558</v>
      </c>
      <c r="B139" s="193">
        <f>SUM(B123:B138)</f>
        <v>-934902.29499999993</v>
      </c>
      <c r="C139" s="194">
        <f>SUM(C123:C138)</f>
        <v>-103878.0327777778</v>
      </c>
      <c r="D139" s="193">
        <f>SUM(D123:D138)</f>
        <v>336306.17700000003</v>
      </c>
      <c r="E139" s="193">
        <f>SUM(E123:E138)</f>
        <v>37367.35300000001</v>
      </c>
      <c r="F139" s="193">
        <f>SUM(F123:F138)</f>
        <v>643596.11800000002</v>
      </c>
      <c r="G139" s="193">
        <f t="shared" ref="G139:K139" si="56">SUM(G123:G138)</f>
        <v>0</v>
      </c>
      <c r="H139" s="193">
        <f t="shared" si="56"/>
        <v>0</v>
      </c>
      <c r="I139" s="193">
        <f t="shared" si="56"/>
        <v>-45000</v>
      </c>
      <c r="J139" s="193">
        <f>SUM(J123:J138)</f>
        <v>-5000</v>
      </c>
      <c r="K139" s="193">
        <f t="shared" si="56"/>
        <v>0</v>
      </c>
      <c r="L139" s="193">
        <f>SUM(L123:L138)</f>
        <v>-71510.679777777681</v>
      </c>
      <c r="M139" s="189"/>
      <c r="N139" s="189"/>
      <c r="P139" s="187"/>
      <c r="Q139" s="187"/>
      <c r="R139" s="187"/>
      <c r="S139" s="187"/>
      <c r="T139" s="187"/>
      <c r="U139" s="187"/>
      <c r="V139" s="187"/>
      <c r="W139" s="187"/>
      <c r="X139" s="190"/>
      <c r="Z139" s="190"/>
      <c r="AA139" s="191"/>
      <c r="AB139" s="190"/>
      <c r="AC139" s="191"/>
      <c r="AD139" s="190"/>
      <c r="AE139" s="191"/>
      <c r="AF139" s="191"/>
      <c r="AG139" s="89"/>
      <c r="AH139" s="89"/>
      <c r="AI139" s="89"/>
      <c r="AJ139" s="89"/>
    </row>
    <row r="140" spans="1:36" s="88" customFormat="1" ht="69.95" customHeight="1" x14ac:dyDescent="1.05">
      <c r="B140" s="187"/>
      <c r="C140" s="187"/>
      <c r="D140" s="187"/>
      <c r="E140" s="187"/>
      <c r="F140" s="187"/>
      <c r="G140" s="187"/>
      <c r="H140" s="187"/>
      <c r="I140" s="187"/>
      <c r="J140" s="187"/>
      <c r="K140" s="187"/>
      <c r="L140" s="187">
        <f t="shared" si="55"/>
        <v>0</v>
      </c>
      <c r="M140" s="189"/>
      <c r="N140" s="189"/>
      <c r="P140" s="187"/>
      <c r="Q140" s="187"/>
      <c r="R140" s="187"/>
      <c r="S140" s="187"/>
      <c r="T140" s="187"/>
      <c r="U140" s="187"/>
      <c r="V140" s="187"/>
      <c r="W140" s="187"/>
      <c r="X140" s="190"/>
      <c r="Z140" s="190"/>
      <c r="AA140" s="191"/>
      <c r="AB140" s="190"/>
      <c r="AC140" s="191"/>
      <c r="AD140" s="190"/>
      <c r="AE140" s="191"/>
      <c r="AF140" s="191"/>
      <c r="AG140" s="89"/>
      <c r="AH140" s="89"/>
      <c r="AI140" s="89"/>
      <c r="AJ140" s="89"/>
    </row>
    <row r="141" spans="1:36" s="88" customFormat="1" ht="69.95" customHeight="1" thickBot="1" x14ac:dyDescent="1.1000000000000001">
      <c r="A141" s="88" t="s">
        <v>559</v>
      </c>
      <c r="B141" s="195">
        <f>B116-B139</f>
        <v>68725.195001792512</v>
      </c>
      <c r="C141" s="195"/>
      <c r="D141" s="195">
        <f t="shared" ref="D141:K141" si="57">D116-D139</f>
        <v>72718.643000014883</v>
      </c>
      <c r="E141" s="195"/>
      <c r="F141" s="195">
        <f t="shared" si="57"/>
        <v>622684.59199999995</v>
      </c>
      <c r="G141" s="195">
        <f t="shared" si="57"/>
        <v>20409.12999999999</v>
      </c>
      <c r="H141" s="195">
        <f t="shared" si="57"/>
        <v>-57152.549999999806</v>
      </c>
      <c r="I141" s="195">
        <f t="shared" si="57"/>
        <v>142700.06</v>
      </c>
      <c r="J141" s="195"/>
      <c r="K141" s="195">
        <f t="shared" si="57"/>
        <v>9032.8099999999977</v>
      </c>
      <c r="L141" s="195">
        <f>L116-L139</f>
        <v>950628.55977958522</v>
      </c>
      <c r="M141" s="189"/>
      <c r="N141" s="189"/>
      <c r="P141" s="187"/>
      <c r="Q141" s="187"/>
      <c r="R141" s="187"/>
      <c r="S141" s="187"/>
      <c r="T141" s="187"/>
      <c r="U141" s="187"/>
      <c r="V141" s="187"/>
      <c r="W141" s="187"/>
      <c r="X141" s="190"/>
      <c r="Z141" s="190"/>
      <c r="AA141" s="191"/>
      <c r="AB141" s="190"/>
      <c r="AC141" s="191"/>
      <c r="AD141" s="190"/>
      <c r="AE141" s="191"/>
      <c r="AF141" s="191"/>
      <c r="AG141" s="89"/>
      <c r="AH141" s="89"/>
      <c r="AI141" s="89"/>
      <c r="AJ141" s="89"/>
    </row>
    <row r="142" spans="1:36" s="88" customFormat="1" ht="69.95" customHeight="1" thickTop="1" x14ac:dyDescent="1.05">
      <c r="B142" s="187"/>
      <c r="C142" s="187"/>
      <c r="D142" s="187"/>
      <c r="E142" s="187"/>
      <c r="F142" s="187"/>
      <c r="G142" s="187"/>
      <c r="H142" s="187"/>
      <c r="I142" s="187"/>
      <c r="J142" s="187"/>
      <c r="K142" s="187"/>
      <c r="L142" s="187">
        <f t="shared" si="55"/>
        <v>0</v>
      </c>
      <c r="M142" s="189"/>
      <c r="N142" s="189"/>
      <c r="P142" s="187"/>
      <c r="Q142" s="187"/>
      <c r="R142" s="187"/>
      <c r="S142" s="187"/>
      <c r="T142" s="187"/>
      <c r="U142" s="187"/>
      <c r="V142" s="187"/>
      <c r="W142" s="187"/>
      <c r="X142" s="190"/>
      <c r="Z142" s="190"/>
      <c r="AA142" s="191"/>
      <c r="AB142" s="190"/>
      <c r="AC142" s="191"/>
      <c r="AD142" s="190"/>
      <c r="AE142" s="191"/>
      <c r="AF142" s="191"/>
      <c r="AG142" s="89"/>
      <c r="AH142" s="89"/>
      <c r="AI142" s="89"/>
      <c r="AJ142" s="89"/>
    </row>
    <row r="143" spans="1:36" s="19" customFormat="1" ht="54.95" hidden="1" customHeight="1" x14ac:dyDescent="0.85">
      <c r="A143" s="163" t="s">
        <v>560</v>
      </c>
      <c r="B143" s="81">
        <v>100000</v>
      </c>
      <c r="C143" s="81"/>
      <c r="D143" s="81"/>
      <c r="E143" s="81"/>
      <c r="F143" s="81">
        <v>200000</v>
      </c>
      <c r="G143" s="81">
        <v>0</v>
      </c>
      <c r="H143" s="81">
        <v>57152.55</v>
      </c>
      <c r="I143" s="81">
        <v>100000</v>
      </c>
      <c r="J143" s="81"/>
      <c r="K143" s="81">
        <v>100000</v>
      </c>
      <c r="L143" s="81">
        <f t="shared" si="55"/>
        <v>557152.55000000005</v>
      </c>
      <c r="M143" s="82"/>
      <c r="N143" s="82"/>
      <c r="O143" s="163"/>
      <c r="P143" s="81"/>
      <c r="Q143" s="81"/>
      <c r="R143" s="81"/>
      <c r="S143" s="81"/>
      <c r="T143" s="81"/>
      <c r="U143" s="81"/>
      <c r="V143" s="81"/>
      <c r="W143" s="81"/>
      <c r="X143" s="170"/>
      <c r="Y143" s="163"/>
      <c r="Z143" s="170"/>
      <c r="AA143" s="171"/>
      <c r="AB143" s="170"/>
      <c r="AC143" s="171"/>
      <c r="AD143" s="170"/>
      <c r="AE143" s="171"/>
      <c r="AF143" s="171"/>
      <c r="AG143" s="165"/>
      <c r="AH143" s="165"/>
      <c r="AI143" s="165"/>
      <c r="AJ143" s="23"/>
    </row>
    <row r="144" spans="1:36" hidden="1" x14ac:dyDescent="0.85"/>
    <row r="145" spans="1:12" ht="58.5" hidden="1" thickBot="1" x14ac:dyDescent="0.9">
      <c r="A145" s="163" t="s">
        <v>561</v>
      </c>
      <c r="B145" s="196">
        <f>B141+B143</f>
        <v>168725.19500179251</v>
      </c>
      <c r="C145" s="196"/>
      <c r="D145" s="196"/>
      <c r="E145" s="196"/>
      <c r="F145" s="196">
        <f t="shared" ref="F145:L145" si="58">F141+F143</f>
        <v>822684.59199999995</v>
      </c>
      <c r="G145" s="196">
        <f t="shared" si="58"/>
        <v>20409.12999999999</v>
      </c>
      <c r="H145" s="196">
        <f t="shared" si="58"/>
        <v>1.964508555829525E-10</v>
      </c>
      <c r="I145" s="196">
        <f t="shared" si="58"/>
        <v>242700.06</v>
      </c>
      <c r="J145" s="196"/>
      <c r="K145" s="196">
        <f t="shared" si="58"/>
        <v>109032.81</v>
      </c>
      <c r="L145" s="196">
        <f t="shared" si="58"/>
        <v>1507781.1097795852</v>
      </c>
    </row>
    <row r="146" spans="1:12" hidden="1" x14ac:dyDescent="0.85"/>
    <row r="149" spans="1:12" x14ac:dyDescent="0.85">
      <c r="B149" s="81"/>
      <c r="C149" s="81"/>
    </row>
    <row r="150" spans="1:12" x14ac:dyDescent="0.85">
      <c r="B150" s="81"/>
      <c r="C150" s="81"/>
    </row>
  </sheetData>
  <mergeCells count="11">
    <mergeCell ref="O8:X8"/>
    <mergeCell ref="A2:AI2"/>
    <mergeCell ref="A3:AI3"/>
    <mergeCell ref="A5:M5"/>
    <mergeCell ref="O5:X5"/>
    <mergeCell ref="Y5:AI8"/>
    <mergeCell ref="A6:M6"/>
    <mergeCell ref="O6:X6"/>
    <mergeCell ref="A7:M7"/>
    <mergeCell ref="O7:X7"/>
    <mergeCell ref="A8:M8"/>
  </mergeCells>
  <pageMargins left="0.7" right="0.7" top="0.75" bottom="0.75" header="0.3" footer="0.3"/>
  <pageSetup scale="15" fitToWidth="3" fitToHeight="3" orientation="landscape" r:id="rId1"/>
  <headerFooter>
    <oddFooter>&amp;C&amp;16Page &amp;P of &amp;N</oddFooter>
  </headerFooter>
  <rowBreaks count="2" manualBreakCount="2">
    <brk id="50" max="8" man="1"/>
    <brk id="99" max="8" man="1"/>
  </rowBreaks>
  <colBreaks count="3" manualBreakCount="3">
    <brk id="10" min="115" max="150" man="1"/>
    <brk id="13" min="4" max="115" man="1"/>
    <brk id="24" min="4" max="11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433"/>
  <sheetViews>
    <sheetView tabSelected="1" topLeftCell="A88" zoomScale="20" zoomScaleNormal="20" zoomScaleSheetLayoutView="10" workbookViewId="0">
      <selection activeCell="B106" sqref="B106:H119"/>
    </sheetView>
  </sheetViews>
  <sheetFormatPr defaultRowHeight="57.75" x14ac:dyDescent="0.85"/>
  <cols>
    <col min="1" max="1" width="179.85546875" style="75" customWidth="1"/>
    <col min="2" max="2" width="97.28515625" style="75" bestFit="1" customWidth="1"/>
    <col min="3" max="3" width="93" style="75" bestFit="1" customWidth="1"/>
    <col min="4" max="4" width="94.42578125" style="75" bestFit="1" customWidth="1"/>
    <col min="5" max="5" width="114.42578125" style="75" bestFit="1" customWidth="1"/>
    <col min="6" max="6" width="91.5703125" style="75" bestFit="1" customWidth="1"/>
    <col min="7" max="7" width="104.42578125" style="75" bestFit="1" customWidth="1"/>
    <col min="8" max="8" width="84.42578125" style="75" bestFit="1" customWidth="1"/>
    <col min="9" max="9" width="105.85546875" style="75" bestFit="1" customWidth="1"/>
    <col min="10" max="10" width="46.42578125" style="75" customWidth="1"/>
    <col min="11" max="11" width="11.42578125" style="75" customWidth="1"/>
    <col min="12" max="12" width="26.85546875" style="75" customWidth="1"/>
    <col min="13" max="13" width="111.5703125" style="109" bestFit="1" customWidth="1"/>
    <col min="14" max="14" width="93" style="109" bestFit="1" customWidth="1"/>
    <col min="15" max="15" width="94.42578125" style="109" bestFit="1" customWidth="1"/>
    <col min="16" max="16" width="85.85546875" style="109" bestFit="1" customWidth="1"/>
    <col min="17" max="17" width="93" style="109" bestFit="1" customWidth="1"/>
    <col min="18" max="18" width="90.140625" style="109" bestFit="1" customWidth="1"/>
    <col min="19" max="19" width="87.28515625" style="109" bestFit="1" customWidth="1"/>
    <col min="20" max="20" width="114.42578125" style="75" bestFit="1" customWidth="1"/>
    <col min="21" max="21" width="50.140625" style="75" customWidth="1"/>
    <col min="22" max="22" width="155.42578125" style="75" bestFit="1" customWidth="1"/>
    <col min="23" max="23" width="11.42578125" style="75" customWidth="1"/>
    <col min="24" max="24" width="105.85546875" style="75" bestFit="1" customWidth="1"/>
    <col min="25" max="25" width="11.42578125" style="75" customWidth="1"/>
    <col min="26" max="26" width="114.42578125" style="75" bestFit="1" customWidth="1"/>
    <col min="27" max="27" width="11.42578125" style="75" customWidth="1"/>
    <col min="28" max="28" width="104.42578125" style="98" bestFit="1" customWidth="1"/>
    <col min="29" max="29" width="4.28515625" style="98" customWidth="1"/>
    <col min="30" max="30" width="58.7109375" style="100" bestFit="1" customWidth="1"/>
    <col min="31" max="31" width="4.28515625" style="98" customWidth="1"/>
    <col min="32" max="32" width="50.7109375" style="100" customWidth="1"/>
  </cols>
  <sheetData>
    <row r="1" spans="1:11" s="11" customFormat="1" ht="54.95" customHeight="1" x14ac:dyDescent="0.85">
      <c r="A1" s="245">
        <v>2018</v>
      </c>
      <c r="B1" s="246"/>
      <c r="C1" s="246"/>
      <c r="D1" s="246"/>
      <c r="E1" s="246"/>
      <c r="F1" s="246"/>
      <c r="G1" s="246"/>
      <c r="H1" s="246"/>
      <c r="I1" s="246"/>
      <c r="J1" s="247"/>
      <c r="K1" s="75"/>
    </row>
    <row r="2" spans="1:11" s="11" customFormat="1" ht="54.95" customHeight="1" x14ac:dyDescent="0.85">
      <c r="A2" s="248" t="s">
        <v>405</v>
      </c>
      <c r="B2" s="249"/>
      <c r="C2" s="249"/>
      <c r="D2" s="249"/>
      <c r="E2" s="249"/>
      <c r="F2" s="249"/>
      <c r="G2" s="249"/>
      <c r="H2" s="249"/>
      <c r="I2" s="249"/>
      <c r="J2" s="250"/>
      <c r="K2" s="75"/>
    </row>
    <row r="3" spans="1:11" s="11" customFormat="1" ht="54.95" customHeight="1" x14ac:dyDescent="0.85">
      <c r="A3" s="248" t="s">
        <v>346</v>
      </c>
      <c r="B3" s="249"/>
      <c r="C3" s="249"/>
      <c r="D3" s="249"/>
      <c r="E3" s="249"/>
      <c r="F3" s="249"/>
      <c r="G3" s="249"/>
      <c r="H3" s="249"/>
      <c r="I3" s="249"/>
      <c r="J3" s="250"/>
      <c r="K3" s="75"/>
    </row>
    <row r="4" spans="1:11" s="11" customFormat="1" ht="54.95" customHeight="1" x14ac:dyDescent="0.85">
      <c r="A4" s="242">
        <v>43159</v>
      </c>
      <c r="B4" s="243"/>
      <c r="C4" s="243"/>
      <c r="D4" s="243"/>
      <c r="E4" s="243"/>
      <c r="F4" s="243"/>
      <c r="G4" s="243"/>
      <c r="H4" s="243"/>
      <c r="I4" s="243"/>
      <c r="J4" s="244"/>
      <c r="K4" s="75"/>
    </row>
    <row r="5" spans="1:11" s="19" customFormat="1" ht="54.95" customHeight="1" x14ac:dyDescent="0.85">
      <c r="A5" s="76"/>
      <c r="B5" s="76"/>
      <c r="C5" s="76"/>
      <c r="D5" s="76"/>
      <c r="E5" s="76"/>
      <c r="F5" s="76"/>
      <c r="G5" s="76"/>
      <c r="H5" s="76"/>
      <c r="I5" s="76"/>
      <c r="J5" s="76"/>
      <c r="K5" s="75"/>
    </row>
    <row r="6" spans="1:11" s="19" customFormat="1" ht="54.95" customHeight="1" x14ac:dyDescent="0.85">
      <c r="A6" s="75"/>
      <c r="B6" s="75"/>
      <c r="C6" s="75"/>
      <c r="D6" s="75"/>
      <c r="E6" s="75"/>
      <c r="F6" s="75"/>
      <c r="G6" s="75"/>
      <c r="H6" s="75"/>
      <c r="I6" s="75"/>
      <c r="J6" s="76">
        <v>2018</v>
      </c>
      <c r="K6" s="76"/>
    </row>
    <row r="7" spans="1:11" s="19" customFormat="1" ht="54.95" customHeight="1" x14ac:dyDescent="0.85">
      <c r="A7" s="75"/>
      <c r="B7" s="75"/>
      <c r="C7" s="75"/>
      <c r="D7" s="75"/>
      <c r="E7" s="75"/>
      <c r="F7" s="75"/>
      <c r="G7" s="75"/>
      <c r="H7" s="75"/>
      <c r="I7" s="75"/>
      <c r="J7" s="76" t="s">
        <v>345</v>
      </c>
      <c r="K7" s="76"/>
    </row>
    <row r="8" spans="1:11" s="19" customFormat="1" ht="54.95" customHeight="1" x14ac:dyDescent="0.85">
      <c r="A8" s="75"/>
      <c r="B8" s="75"/>
      <c r="C8" s="75"/>
      <c r="D8" s="75"/>
      <c r="E8" s="75"/>
      <c r="F8" s="75"/>
      <c r="G8" s="75"/>
      <c r="H8" s="75"/>
      <c r="I8" s="75"/>
      <c r="J8" s="76" t="s">
        <v>343</v>
      </c>
      <c r="K8" s="76"/>
    </row>
    <row r="9" spans="1:11" s="19" customFormat="1" ht="54.95" customHeight="1" x14ac:dyDescent="0.85">
      <c r="A9" s="75"/>
      <c r="B9" s="75"/>
      <c r="C9" s="75"/>
      <c r="D9" s="75"/>
      <c r="E9" s="75"/>
      <c r="F9" s="75"/>
      <c r="G9" s="75"/>
      <c r="H9" s="75"/>
      <c r="I9" s="76" t="s">
        <v>207</v>
      </c>
      <c r="J9" s="76" t="s">
        <v>207</v>
      </c>
      <c r="K9" s="76"/>
    </row>
    <row r="10" spans="1:11" s="19" customFormat="1" ht="54.95" customHeight="1" x14ac:dyDescent="0.85">
      <c r="A10" s="75"/>
      <c r="B10" s="78" t="s">
        <v>212</v>
      </c>
      <c r="C10" s="78" t="s">
        <v>214</v>
      </c>
      <c r="D10" s="78" t="s">
        <v>213</v>
      </c>
      <c r="E10" s="78" t="s">
        <v>215</v>
      </c>
      <c r="F10" s="78" t="s">
        <v>216</v>
      </c>
      <c r="G10" s="78" t="s">
        <v>406</v>
      </c>
      <c r="H10" s="78" t="s">
        <v>418</v>
      </c>
      <c r="I10" s="78">
        <v>2018</v>
      </c>
      <c r="J10" s="79" t="s">
        <v>339</v>
      </c>
      <c r="K10" s="79"/>
    </row>
    <row r="11" spans="1:11" s="19" customFormat="1" ht="54.95" customHeight="1" x14ac:dyDescent="0.85">
      <c r="A11" s="80" t="s">
        <v>62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</row>
    <row r="12" spans="1:11" s="19" customFormat="1" ht="54.95" customHeight="1" x14ac:dyDescent="0.85">
      <c r="A12" s="75" t="s">
        <v>217</v>
      </c>
      <c r="B12" s="81">
        <f>CNT!N107+CNT!N118</f>
        <v>552165320.73000002</v>
      </c>
      <c r="C12" s="81">
        <f>BPM!N8+BPM!N15</f>
        <v>27599240.669999998</v>
      </c>
      <c r="D12" s="81">
        <v>0</v>
      </c>
      <c r="E12" s="81">
        <v>0</v>
      </c>
      <c r="F12" s="81">
        <v>0</v>
      </c>
      <c r="G12" s="81">
        <v>0</v>
      </c>
      <c r="H12" s="81">
        <v>0</v>
      </c>
      <c r="I12" s="81">
        <f t="shared" ref="I12:I47" si="0">SUM(B12:H12)</f>
        <v>579764561.39999998</v>
      </c>
      <c r="J12" s="82">
        <f>I12/$I$19</f>
        <v>0.2138992040310001</v>
      </c>
      <c r="K12" s="82"/>
    </row>
    <row r="13" spans="1:11" s="19" customFormat="1" ht="54.95" customHeight="1" x14ac:dyDescent="0.85">
      <c r="A13" s="75" t="s">
        <v>218</v>
      </c>
      <c r="B13" s="81">
        <f>CNT!N108+CNT!N119</f>
        <v>2104162210.24</v>
      </c>
      <c r="C13" s="81">
        <f>BPM!N9+BPM!N16</f>
        <v>1739278.6099999999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1">
        <f t="shared" si="0"/>
        <v>2105901488.8499999</v>
      </c>
      <c r="J13" s="82">
        <f t="shared" ref="J13:J18" si="1">I13/$I$19</f>
        <v>0.77695444361928023</v>
      </c>
      <c r="K13" s="82"/>
    </row>
    <row r="14" spans="1:11" s="19" customFormat="1" ht="54.95" customHeight="1" x14ac:dyDescent="0.85">
      <c r="A14" s="75" t="s">
        <v>219</v>
      </c>
      <c r="B14" s="81">
        <f>CNT!N109+CNT!N120</f>
        <v>9977331.6099999994</v>
      </c>
      <c r="C14" s="81">
        <f>BPM!N10</f>
        <v>197806.81</v>
      </c>
      <c r="D14" s="81">
        <v>0</v>
      </c>
      <c r="E14" s="81">
        <v>0</v>
      </c>
      <c r="F14" s="81">
        <v>0</v>
      </c>
      <c r="G14" s="81">
        <v>0</v>
      </c>
      <c r="H14" s="81">
        <v>0</v>
      </c>
      <c r="I14" s="81">
        <f t="shared" si="0"/>
        <v>10175138.42</v>
      </c>
      <c r="J14" s="82">
        <f t="shared" si="1"/>
        <v>3.7540307805078756E-3</v>
      </c>
      <c r="K14" s="82"/>
    </row>
    <row r="15" spans="1:11" s="19" customFormat="1" ht="54.95" customHeight="1" x14ac:dyDescent="0.85">
      <c r="A15" s="75" t="s">
        <v>421</v>
      </c>
      <c r="B15" s="81">
        <f>CNT!N110+CNT!N121</f>
        <v>9160247.4700000007</v>
      </c>
      <c r="C15" s="81">
        <f>BPM!N11</f>
        <v>3310.3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f t="shared" si="0"/>
        <v>9163557.7700000014</v>
      </c>
      <c r="J15" s="82">
        <f t="shared" si="1"/>
        <v>3.380816703183691E-3</v>
      </c>
      <c r="K15" s="82"/>
    </row>
    <row r="16" spans="1:11" s="19" customFormat="1" ht="54.95" customHeight="1" x14ac:dyDescent="0.85">
      <c r="A16" s="75" t="s">
        <v>220</v>
      </c>
      <c r="B16" s="81">
        <f>CNT!N114+CNT!N124</f>
        <v>1988324.9900000002</v>
      </c>
      <c r="C16" s="81">
        <f>0</f>
        <v>0</v>
      </c>
      <c r="D16" s="81">
        <v>0</v>
      </c>
      <c r="E16" s="81">
        <v>0</v>
      </c>
      <c r="F16" s="81">
        <v>0</v>
      </c>
      <c r="G16" s="81">
        <v>0</v>
      </c>
      <c r="H16" s="81">
        <v>0</v>
      </c>
      <c r="I16" s="81">
        <f t="shared" si="0"/>
        <v>1988324.9900000002</v>
      </c>
      <c r="J16" s="82">
        <f t="shared" si="1"/>
        <v>7.3357559435668245E-4</v>
      </c>
      <c r="K16" s="82"/>
    </row>
    <row r="17" spans="1:11" s="19" customFormat="1" ht="54.95" customHeight="1" x14ac:dyDescent="0.85">
      <c r="A17" s="75" t="s">
        <v>221</v>
      </c>
      <c r="B17" s="81">
        <f>CNT!N125+CNT!N127+CNT!N126+CNT!N128</f>
        <v>292312.5</v>
      </c>
      <c r="C17" s="81">
        <f>BPM!N12</f>
        <v>0</v>
      </c>
      <c r="D17" s="81">
        <v>0</v>
      </c>
      <c r="E17" s="81">
        <v>0</v>
      </c>
      <c r="F17" s="81">
        <v>0</v>
      </c>
      <c r="G17" s="81">
        <v>0</v>
      </c>
      <c r="H17" s="81">
        <v>0</v>
      </c>
      <c r="I17" s="81">
        <f t="shared" si="0"/>
        <v>292312.5</v>
      </c>
      <c r="J17" s="82">
        <f t="shared" si="1"/>
        <v>1.0784621075722017E-4</v>
      </c>
      <c r="K17" s="82"/>
    </row>
    <row r="18" spans="1:11" s="19" customFormat="1" ht="54.95" customHeight="1" x14ac:dyDescent="0.85">
      <c r="A18" s="75" t="s">
        <v>222</v>
      </c>
      <c r="B18" s="81">
        <f>CNT!N112+CNT!N113+CNT!N115+CNT!N116+CNT!N117+CNT!N111+CNT!N123</f>
        <v>446444.5</v>
      </c>
      <c r="C18" s="81">
        <f>BPM!N14+BPM!N13</f>
        <v>1309014.25</v>
      </c>
      <c r="D18" s="81">
        <f>DEP!N17</f>
        <v>910323.34</v>
      </c>
      <c r="E18" s="81">
        <v>0</v>
      </c>
      <c r="F18" s="81">
        <f>'BSC (Dome)'!N14</f>
        <v>505677.55000000005</v>
      </c>
      <c r="G18" s="81">
        <v>0</v>
      </c>
      <c r="H18" s="81">
        <v>0</v>
      </c>
      <c r="I18" s="81">
        <f t="shared" si="0"/>
        <v>3171459.6399999997</v>
      </c>
      <c r="J18" s="82">
        <f t="shared" si="1"/>
        <v>1.1700830609141161E-3</v>
      </c>
      <c r="K18" s="82"/>
    </row>
    <row r="19" spans="1:11" s="19" customFormat="1" ht="54.95" customHeight="1" x14ac:dyDescent="0.85">
      <c r="A19" s="80" t="s">
        <v>223</v>
      </c>
      <c r="B19" s="83">
        <f>SUM(B12:B18)</f>
        <v>2678192192.04</v>
      </c>
      <c r="C19" s="83">
        <f>SUM(C12:C18)</f>
        <v>30848650.639999997</v>
      </c>
      <c r="D19" s="83">
        <f t="shared" ref="D19:H19" si="2">SUM(D12:D18)</f>
        <v>910323.34</v>
      </c>
      <c r="E19" s="83">
        <f t="shared" si="2"/>
        <v>0</v>
      </c>
      <c r="F19" s="83">
        <f>SUM(F12:F18)</f>
        <v>505677.55000000005</v>
      </c>
      <c r="G19" s="83">
        <f>SUM(G12:G18)</f>
        <v>0</v>
      </c>
      <c r="H19" s="83">
        <f t="shared" si="2"/>
        <v>0</v>
      </c>
      <c r="I19" s="83">
        <f t="shared" si="0"/>
        <v>2710456843.5700002</v>
      </c>
      <c r="J19" s="84">
        <f>SUM(J12:J18)</f>
        <v>0.99999999999999989</v>
      </c>
      <c r="K19" s="85"/>
    </row>
    <row r="20" spans="1:11" s="19" customFormat="1" ht="54.95" customHeight="1" x14ac:dyDescent="0.85">
      <c r="A20" s="75"/>
      <c r="B20" s="81"/>
      <c r="C20" s="81"/>
      <c r="D20" s="81"/>
      <c r="E20" s="81"/>
      <c r="F20" s="81"/>
      <c r="G20" s="81"/>
      <c r="H20" s="81"/>
      <c r="I20" s="81">
        <f t="shared" si="0"/>
        <v>0</v>
      </c>
      <c r="J20" s="75"/>
      <c r="K20" s="75"/>
    </row>
    <row r="21" spans="1:11" s="19" customFormat="1" ht="54.95" customHeight="1" x14ac:dyDescent="0.85">
      <c r="A21" s="80" t="s">
        <v>208</v>
      </c>
      <c r="B21" s="81"/>
      <c r="C21" s="81"/>
      <c r="D21" s="81"/>
      <c r="E21" s="81"/>
      <c r="F21" s="81"/>
      <c r="G21" s="81"/>
      <c r="H21" s="81"/>
      <c r="I21" s="81">
        <f t="shared" si="0"/>
        <v>0</v>
      </c>
      <c r="J21" s="75"/>
      <c r="K21" s="75"/>
    </row>
    <row r="22" spans="1:11" s="19" customFormat="1" ht="54.95" customHeight="1" x14ac:dyDescent="0.85">
      <c r="A22" s="75" t="s">
        <v>217</v>
      </c>
      <c r="B22" s="81">
        <f>CNT!N133+CNT!N138+CNT!N150+CNT!N154+CNT!N155+CNT!N159+CNT!N163+CNT!N170</f>
        <v>548018078.07999992</v>
      </c>
      <c r="C22" s="81">
        <f>BPM!N20+BPM!N31</f>
        <v>27521127.590000004</v>
      </c>
      <c r="D22" s="81">
        <v>0</v>
      </c>
      <c r="E22" s="81">
        <v>0</v>
      </c>
      <c r="F22" s="81">
        <v>0</v>
      </c>
      <c r="G22" s="81">
        <v>0</v>
      </c>
      <c r="H22" s="81">
        <v>0</v>
      </c>
      <c r="I22" s="81">
        <f t="shared" si="0"/>
        <v>575539205.66999996</v>
      </c>
      <c r="J22" s="82">
        <f t="shared" ref="J22:J29" si="3">I22/$I$30</f>
        <v>0.21270733236454256</v>
      </c>
      <c r="K22" s="82"/>
    </row>
    <row r="23" spans="1:11" s="19" customFormat="1" ht="54.95" customHeight="1" x14ac:dyDescent="0.85">
      <c r="A23" s="75" t="s">
        <v>218</v>
      </c>
      <c r="B23" s="81">
        <f>CNT!N134+CNT!N139+CNT!N151+CNT!N156+CNT!N160+CNT!N164+CNT!N167+CNT!N171</f>
        <v>2101989550.5800004</v>
      </c>
      <c r="C23" s="81">
        <f>BPM!N21+BPM!N32</f>
        <v>1648455.5400000003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f t="shared" si="0"/>
        <v>2103638006.1200004</v>
      </c>
      <c r="J23" s="82">
        <f t="shared" si="3"/>
        <v>0.77746089950823039</v>
      </c>
      <c r="K23" s="82"/>
    </row>
    <row r="24" spans="1:11" s="19" customFormat="1" ht="54.95" customHeight="1" x14ac:dyDescent="0.85">
      <c r="A24" s="75" t="s">
        <v>219</v>
      </c>
      <c r="B24" s="81">
        <f>CNT!N135+CNT!N140+CNT!N152+CNT!N157+CNT!N161+CNT!N165+CNT!N169+CNT!N172</f>
        <v>9867506.4600000028</v>
      </c>
      <c r="C24" s="81">
        <f>BPM!N22+BPM!N33</f>
        <v>187214.56</v>
      </c>
      <c r="D24" s="81">
        <v>0</v>
      </c>
      <c r="E24" s="81">
        <v>0</v>
      </c>
      <c r="F24" s="81">
        <v>0</v>
      </c>
      <c r="G24" s="81">
        <v>0</v>
      </c>
      <c r="H24" s="81">
        <v>0</v>
      </c>
      <c r="I24" s="81">
        <f t="shared" si="0"/>
        <v>10054721.020000003</v>
      </c>
      <c r="J24" s="82">
        <f t="shared" si="3"/>
        <v>3.7160159807778214E-3</v>
      </c>
      <c r="K24" s="82"/>
    </row>
    <row r="25" spans="1:11" s="19" customFormat="1" ht="54.95" customHeight="1" x14ac:dyDescent="0.85">
      <c r="A25" s="75" t="s">
        <v>421</v>
      </c>
      <c r="B25" s="81">
        <f>CNT!N136+CNT!N141+CNT!N153+CNT!N158+CNT!N162+CNT!N166+CNT!N173+CNT!N174</f>
        <v>9832119.5999999996</v>
      </c>
      <c r="C25" s="81">
        <f>BPM!N23</f>
        <v>2079</v>
      </c>
      <c r="D25" s="81">
        <v>0</v>
      </c>
      <c r="E25" s="81">
        <v>0</v>
      </c>
      <c r="F25" s="81">
        <v>0</v>
      </c>
      <c r="G25" s="81">
        <v>0</v>
      </c>
      <c r="H25" s="81">
        <v>0</v>
      </c>
      <c r="I25" s="81">
        <f t="shared" si="0"/>
        <v>9834198.5999999996</v>
      </c>
      <c r="J25" s="82">
        <f t="shared" si="3"/>
        <v>3.6345154761681163E-3</v>
      </c>
      <c r="K25" s="82"/>
    </row>
    <row r="26" spans="1:11" s="19" customFormat="1" ht="54.95" customHeight="1" x14ac:dyDescent="0.85">
      <c r="A26" s="75" t="s">
        <v>220</v>
      </c>
      <c r="B26" s="81">
        <f>CNT!N137+CNT!N144+CNT!N168+CNT!N179</f>
        <v>2125134.19</v>
      </c>
      <c r="C26" s="81">
        <f>0</f>
        <v>0</v>
      </c>
      <c r="D26" s="81">
        <v>0</v>
      </c>
      <c r="E26" s="81">
        <v>0</v>
      </c>
      <c r="F26" s="81">
        <v>0</v>
      </c>
      <c r="G26" s="81">
        <v>0</v>
      </c>
      <c r="H26" s="81">
        <v>0</v>
      </c>
      <c r="I26" s="81">
        <f t="shared" si="0"/>
        <v>2125134.19</v>
      </c>
      <c r="J26" s="82">
        <f t="shared" si="3"/>
        <v>7.8540544244133875E-4</v>
      </c>
      <c r="K26" s="82"/>
    </row>
    <row r="27" spans="1:11" s="19" customFormat="1" ht="54.95" customHeight="1" x14ac:dyDescent="0.85">
      <c r="A27" s="75" t="s">
        <v>221</v>
      </c>
      <c r="B27" s="81">
        <f>CNT!N190+CNT!N191+CNT!N192+CNT!N193+CNT!N194+CNT!N195+CNT!N196+CNT!N197+CNT!N198</f>
        <v>180989.69</v>
      </c>
      <c r="C27" s="81">
        <f>BPM!N25</f>
        <v>0</v>
      </c>
      <c r="D27" s="81">
        <v>0</v>
      </c>
      <c r="E27" s="81">
        <v>0</v>
      </c>
      <c r="F27" s="81">
        <v>0</v>
      </c>
      <c r="G27" s="81">
        <v>0</v>
      </c>
      <c r="H27" s="81">
        <v>0</v>
      </c>
      <c r="I27" s="81">
        <f t="shared" si="0"/>
        <v>180989.69</v>
      </c>
      <c r="J27" s="82">
        <f t="shared" si="3"/>
        <v>6.6890028978250428E-5</v>
      </c>
      <c r="K27" s="82"/>
    </row>
    <row r="28" spans="1:11" s="19" customFormat="1" ht="54.95" customHeight="1" x14ac:dyDescent="0.85">
      <c r="A28" s="75" t="s">
        <v>222</v>
      </c>
      <c r="B28" s="81">
        <f>CNT!N131+CNT!N142+CNT!N143+CNT!N145+CNT!N148+CNT!N149+CNT!N178+CNT!N176+CNT!N177+CNT!N180+CNT!N181+CNT!N182+CNT!N183+CNT!N184+CNT!N185+CNT!N186+CNT!N187+CNT!N188+CNT!N189+CNT!N175</f>
        <v>3222649.9</v>
      </c>
      <c r="C28" s="81">
        <f>BPM!N26+BPM!N27+BPM!N28+BPM!N29+BPM!N30+BPM!N34+BPM!N35+BPM!N24</f>
        <v>1078155.77</v>
      </c>
      <c r="D28" s="81">
        <f>DEP!N23</f>
        <v>105681.95</v>
      </c>
      <c r="E28" s="81">
        <v>0</v>
      </c>
      <c r="F28" s="81">
        <f>'BSC (Dome)'!N17</f>
        <v>1068.5899999999999</v>
      </c>
      <c r="G28" s="81">
        <v>0</v>
      </c>
      <c r="H28" s="81">
        <v>0</v>
      </c>
      <c r="I28" s="81">
        <f t="shared" ref="I28" si="4">SUM(B28:H28)</f>
        <v>4407556.21</v>
      </c>
      <c r="J28" s="82">
        <f t="shared" si="3"/>
        <v>1.6289411988614799E-3</v>
      </c>
      <c r="K28" s="82"/>
    </row>
    <row r="29" spans="1:11" s="19" customFormat="1" ht="54.95" customHeight="1" x14ac:dyDescent="0.85">
      <c r="A29" s="75" t="s">
        <v>540</v>
      </c>
      <c r="B29" s="81">
        <v>0</v>
      </c>
      <c r="C29" s="81">
        <v>0</v>
      </c>
      <c r="D29" s="81">
        <v>0</v>
      </c>
      <c r="E29" s="81">
        <v>0</v>
      </c>
      <c r="F29" s="81">
        <v>0</v>
      </c>
      <c r="G29" s="81">
        <v>0</v>
      </c>
      <c r="H29" s="81">
        <v>0</v>
      </c>
      <c r="I29" s="81">
        <f t="shared" si="0"/>
        <v>0</v>
      </c>
      <c r="J29" s="82">
        <f t="shared" si="3"/>
        <v>0</v>
      </c>
      <c r="K29" s="82"/>
    </row>
    <row r="30" spans="1:11" s="19" customFormat="1" ht="54.95" customHeight="1" x14ac:dyDescent="0.85">
      <c r="A30" s="80" t="s">
        <v>224</v>
      </c>
      <c r="B30" s="83">
        <f>SUM(B22:B29)</f>
        <v>2675236028.5000005</v>
      </c>
      <c r="C30" s="83">
        <f t="shared" ref="C30:H30" si="5">SUM(C22:C29)</f>
        <v>30437032.460000001</v>
      </c>
      <c r="D30" s="83">
        <f t="shared" si="5"/>
        <v>105681.95</v>
      </c>
      <c r="E30" s="83">
        <f t="shared" si="5"/>
        <v>0</v>
      </c>
      <c r="F30" s="83">
        <f>SUM(F22:F29)</f>
        <v>1068.5899999999999</v>
      </c>
      <c r="G30" s="83">
        <f>SUM(G22:G29)</f>
        <v>0</v>
      </c>
      <c r="H30" s="83">
        <f t="shared" si="5"/>
        <v>0</v>
      </c>
      <c r="I30" s="83">
        <f t="shared" si="0"/>
        <v>2705779811.5000005</v>
      </c>
      <c r="J30" s="84">
        <f>SUM(J22:J29)</f>
        <v>1</v>
      </c>
      <c r="K30" s="85"/>
    </row>
    <row r="31" spans="1:11" s="19" customFormat="1" ht="54.95" customHeight="1" x14ac:dyDescent="0.85">
      <c r="A31" s="75"/>
      <c r="B31" s="81"/>
      <c r="C31" s="81"/>
      <c r="D31" s="81"/>
      <c r="E31" s="81"/>
      <c r="F31" s="81"/>
      <c r="G31" s="81"/>
      <c r="H31" s="81"/>
      <c r="I31" s="81"/>
      <c r="J31" s="75"/>
      <c r="K31" s="75"/>
    </row>
    <row r="32" spans="1:11" s="19" customFormat="1" ht="54.95" customHeight="1" thickBot="1" x14ac:dyDescent="0.9">
      <c r="A32" s="80" t="s">
        <v>211</v>
      </c>
      <c r="B32" s="86">
        <f>B19-B30</f>
        <v>2956163.539999485</v>
      </c>
      <c r="C32" s="86">
        <f t="shared" ref="C32:H32" si="6">C19-C30</f>
        <v>411618.17999999598</v>
      </c>
      <c r="D32" s="86">
        <f t="shared" si="6"/>
        <v>804641.39</v>
      </c>
      <c r="E32" s="86">
        <f t="shared" si="6"/>
        <v>0</v>
      </c>
      <c r="F32" s="86">
        <f>F19-F30</f>
        <v>504608.96</v>
      </c>
      <c r="G32" s="86">
        <f>G19-G30</f>
        <v>0</v>
      </c>
      <c r="H32" s="86">
        <f t="shared" si="6"/>
        <v>0</v>
      </c>
      <c r="I32" s="86">
        <f t="shared" si="0"/>
        <v>4677032.0699994816</v>
      </c>
      <c r="J32" s="75"/>
      <c r="K32" s="75"/>
    </row>
    <row r="33" spans="1:11" s="19" customFormat="1" ht="54.95" customHeight="1" x14ac:dyDescent="0.85">
      <c r="A33" s="75"/>
      <c r="B33" s="81"/>
      <c r="C33" s="81"/>
      <c r="D33" s="81"/>
      <c r="E33" s="81"/>
      <c r="F33" s="81"/>
      <c r="G33" s="81"/>
      <c r="H33" s="81"/>
      <c r="I33" s="81">
        <f t="shared" si="0"/>
        <v>0</v>
      </c>
      <c r="J33" s="75"/>
      <c r="K33" s="75"/>
    </row>
    <row r="34" spans="1:11" s="19" customFormat="1" ht="54.95" customHeight="1" x14ac:dyDescent="0.85">
      <c r="A34" s="80" t="s">
        <v>209</v>
      </c>
      <c r="B34" s="81"/>
      <c r="C34" s="81"/>
      <c r="D34" s="81"/>
      <c r="E34" s="81"/>
      <c r="F34" s="81"/>
      <c r="G34" s="81"/>
      <c r="H34" s="81"/>
      <c r="I34" s="81">
        <f t="shared" si="0"/>
        <v>0</v>
      </c>
      <c r="J34" s="75"/>
      <c r="K34" s="75"/>
    </row>
    <row r="35" spans="1:11" s="19" customFormat="1" ht="54.95" customHeight="1" x14ac:dyDescent="0.85">
      <c r="A35" s="75"/>
      <c r="B35" s="81"/>
      <c r="C35" s="81"/>
      <c r="D35" s="81"/>
      <c r="E35" s="81"/>
      <c r="F35" s="81"/>
      <c r="G35" s="81"/>
      <c r="H35" s="81"/>
      <c r="I35" s="81">
        <f t="shared" si="0"/>
        <v>0</v>
      </c>
      <c r="J35" s="75"/>
      <c r="K35" s="75"/>
    </row>
    <row r="36" spans="1:11" s="19" customFormat="1" ht="54.95" customHeight="1" x14ac:dyDescent="0.85">
      <c r="A36" s="80" t="s">
        <v>225</v>
      </c>
      <c r="B36" s="81"/>
      <c r="C36" s="81"/>
      <c r="D36" s="81"/>
      <c r="E36" s="81"/>
      <c r="F36" s="81"/>
      <c r="G36" s="81"/>
      <c r="H36" s="81"/>
      <c r="I36" s="81">
        <f t="shared" si="0"/>
        <v>0</v>
      </c>
      <c r="J36" s="75"/>
      <c r="K36" s="75"/>
    </row>
    <row r="37" spans="1:11" s="19" customFormat="1" ht="54.95" customHeight="1" x14ac:dyDescent="0.85">
      <c r="A37" s="75" t="s">
        <v>226</v>
      </c>
      <c r="B37" s="186">
        <f>CNT!N202-(105194.3)*5</f>
        <v>971318.65000000014</v>
      </c>
      <c r="C37" s="186">
        <f>BPM!N43+(52152.48)*5</f>
        <v>260762.40000000002</v>
      </c>
      <c r="D37" s="186">
        <f>DEP!N29+(53041.82)*5</f>
        <v>307999.94999999995</v>
      </c>
      <c r="E37" s="81">
        <v>0</v>
      </c>
      <c r="F37" s="81">
        <f>'BSC (Dome)'!N24+'BSC (Dome)'!N32</f>
        <v>158138.38999999998</v>
      </c>
      <c r="G37" s="81">
        <v>0</v>
      </c>
      <c r="H37" s="81">
        <v>0</v>
      </c>
      <c r="I37" s="81">
        <f t="shared" si="0"/>
        <v>1698219.3900000001</v>
      </c>
      <c r="J37" s="82">
        <f>I37/$I$47</f>
        <v>0.78716290644463383</v>
      </c>
      <c r="K37" s="82"/>
    </row>
    <row r="38" spans="1:11" s="19" customFormat="1" ht="54.95" customHeight="1" x14ac:dyDescent="0.85">
      <c r="A38" s="75" t="s">
        <v>544</v>
      </c>
      <c r="B38" s="81">
        <f>CNT!N203</f>
        <v>0</v>
      </c>
      <c r="C38" s="81"/>
      <c r="D38" s="81"/>
      <c r="E38" s="81"/>
      <c r="F38" s="81">
        <f>'BSC (Dome)'!N25</f>
        <v>0</v>
      </c>
      <c r="G38" s="81"/>
      <c r="H38" s="81"/>
      <c r="I38" s="81">
        <f t="shared" si="0"/>
        <v>0</v>
      </c>
      <c r="J38" s="82">
        <f>I38/$I$47</f>
        <v>0</v>
      </c>
      <c r="K38" s="82"/>
    </row>
    <row r="39" spans="1:11" s="19" customFormat="1" ht="54.95" customHeight="1" x14ac:dyDescent="0.85">
      <c r="A39" s="75" t="s">
        <v>227</v>
      </c>
      <c r="B39" s="81">
        <f>CNT!N204</f>
        <v>16352</v>
      </c>
      <c r="C39" s="81">
        <v>0</v>
      </c>
      <c r="D39" s="81">
        <v>0</v>
      </c>
      <c r="E39" s="81">
        <v>0</v>
      </c>
      <c r="F39" s="81">
        <v>0</v>
      </c>
      <c r="G39" s="81">
        <v>0</v>
      </c>
      <c r="H39" s="81">
        <v>0</v>
      </c>
      <c r="I39" s="81">
        <f t="shared" si="0"/>
        <v>16352</v>
      </c>
      <c r="J39" s="82">
        <f t="shared" ref="J39:J46" si="7">I39/$I$47</f>
        <v>7.5795200090034605E-3</v>
      </c>
      <c r="K39" s="82"/>
    </row>
    <row r="40" spans="1:11" s="19" customFormat="1" ht="54.95" customHeight="1" x14ac:dyDescent="0.85">
      <c r="A40" s="75" t="s">
        <v>228</v>
      </c>
      <c r="B40" s="186">
        <f>CNT!N205-(8891.8)*5</f>
        <v>95404.549999999988</v>
      </c>
      <c r="C40" s="186">
        <f>BPM!N44+(4444.89)*5</f>
        <v>22224.45</v>
      </c>
      <c r="D40" s="186">
        <f>DEP!N30+(4446.9)*5</f>
        <v>27629.11</v>
      </c>
      <c r="E40" s="81">
        <v>0</v>
      </c>
      <c r="F40" s="81">
        <f>'BSC (Dome)'!N26</f>
        <v>10395.460000000001</v>
      </c>
      <c r="G40" s="81">
        <v>0</v>
      </c>
      <c r="H40" s="81">
        <v>0</v>
      </c>
      <c r="I40" s="81">
        <f t="shared" si="0"/>
        <v>155653.56999999998</v>
      </c>
      <c r="J40" s="82">
        <f t="shared" si="7"/>
        <v>7.2148932747542846E-2</v>
      </c>
      <c r="K40" s="82"/>
    </row>
    <row r="41" spans="1:11" s="19" customFormat="1" ht="54.95" customHeight="1" x14ac:dyDescent="0.85">
      <c r="A41" s="75" t="s">
        <v>229</v>
      </c>
      <c r="B41" s="186">
        <f>CNT!N206-(9129.5)*5</f>
        <v>91546.94</v>
      </c>
      <c r="C41" s="186">
        <f>BPM!N45+(3717.48)*5</f>
        <v>18587.400000000001</v>
      </c>
      <c r="D41" s="186">
        <f>DEP!N31+(5412.02)*5</f>
        <v>42899.37</v>
      </c>
      <c r="E41" s="81">
        <v>0</v>
      </c>
      <c r="F41" s="81">
        <f>'BSC (Dome)'!N27</f>
        <v>26095.66</v>
      </c>
      <c r="G41" s="81">
        <v>0</v>
      </c>
      <c r="H41" s="81">
        <v>0</v>
      </c>
      <c r="I41" s="81">
        <f t="shared" si="0"/>
        <v>179129.37</v>
      </c>
      <c r="J41" s="82">
        <f t="shared" si="7"/>
        <v>8.3030494380820941E-2</v>
      </c>
      <c r="K41" s="82"/>
    </row>
    <row r="42" spans="1:11" s="19" customFormat="1" ht="54.95" customHeight="1" x14ac:dyDescent="0.85">
      <c r="A42" s="75" t="s">
        <v>230</v>
      </c>
      <c r="B42" s="81">
        <f>CNT!N207</f>
        <v>18482.510000000002</v>
      </c>
      <c r="C42" s="81">
        <f>BPM!N46</f>
        <v>0</v>
      </c>
      <c r="D42" s="81">
        <f>DEP!N32</f>
        <v>1084.8999999999999</v>
      </c>
      <c r="E42" s="81">
        <v>0</v>
      </c>
      <c r="F42" s="81">
        <f>'BSC (Dome)'!N28</f>
        <v>1451.16</v>
      </c>
      <c r="G42" s="81">
        <v>0</v>
      </c>
      <c r="H42" s="81">
        <v>0</v>
      </c>
      <c r="I42" s="81">
        <f t="shared" si="0"/>
        <v>21018.570000000003</v>
      </c>
      <c r="J42" s="82">
        <f t="shared" si="7"/>
        <v>9.7425802272284659E-3</v>
      </c>
      <c r="K42" s="82"/>
    </row>
    <row r="43" spans="1:11" s="19" customFormat="1" ht="54.95" customHeight="1" x14ac:dyDescent="0.85">
      <c r="A43" s="75" t="s">
        <v>231</v>
      </c>
      <c r="B43" s="186">
        <f>CNT!N208-(3101.38)*5</f>
        <v>30328.1</v>
      </c>
      <c r="C43" s="186">
        <f>(1517.38)*5</f>
        <v>7586.9000000000005</v>
      </c>
      <c r="D43" s="186">
        <f>DEP!N33+(1583.99)*5</f>
        <v>9919.9500000000007</v>
      </c>
      <c r="E43" s="81">
        <v>0</v>
      </c>
      <c r="F43" s="81">
        <f>'BSC (Dome)'!N30</f>
        <v>2250</v>
      </c>
      <c r="G43" s="81">
        <v>0</v>
      </c>
      <c r="H43" s="81">
        <v>0</v>
      </c>
      <c r="I43" s="81">
        <f t="shared" si="0"/>
        <v>50084.95</v>
      </c>
      <c r="J43" s="82">
        <f t="shared" si="7"/>
        <v>2.3215501508985922E-2</v>
      </c>
      <c r="K43" s="82"/>
    </row>
    <row r="44" spans="1:11" s="19" customFormat="1" ht="54.95" customHeight="1" x14ac:dyDescent="0.85">
      <c r="A44" s="75" t="s">
        <v>307</v>
      </c>
      <c r="B44" s="81">
        <f>CNT!N210+CNT!N209</f>
        <v>6840.4400000000005</v>
      </c>
      <c r="C44" s="81">
        <v>0</v>
      </c>
      <c r="D44" s="81">
        <f>DEP!N34</f>
        <v>680.01</v>
      </c>
      <c r="E44" s="81">
        <v>0</v>
      </c>
      <c r="F44" s="81">
        <f>'BSC (Dome)'!N29+'BSC (Dome)'!N31</f>
        <v>656.05</v>
      </c>
      <c r="G44" s="81">
        <v>0</v>
      </c>
      <c r="H44" s="81">
        <v>0</v>
      </c>
      <c r="I44" s="81">
        <f t="shared" si="0"/>
        <v>8176.5000000000009</v>
      </c>
      <c r="J44" s="82">
        <f t="shared" si="7"/>
        <v>3.789991765754452E-3</v>
      </c>
      <c r="K44" s="82"/>
    </row>
    <row r="45" spans="1:11" s="19" customFormat="1" ht="54.95" customHeight="1" x14ac:dyDescent="0.85">
      <c r="A45" s="75" t="s">
        <v>232</v>
      </c>
      <c r="B45" s="81">
        <f>CNT!N211+CNT!N212</f>
        <v>3109.48</v>
      </c>
      <c r="C45" s="81">
        <v>0</v>
      </c>
      <c r="D45" s="81">
        <v>0</v>
      </c>
      <c r="E45" s="81">
        <v>0</v>
      </c>
      <c r="F45" s="81">
        <v>0</v>
      </c>
      <c r="G45" s="81">
        <v>0</v>
      </c>
      <c r="H45" s="81">
        <v>0</v>
      </c>
      <c r="I45" s="81">
        <f t="shared" si="0"/>
        <v>3109.48</v>
      </c>
      <c r="J45" s="82">
        <f t="shared" si="7"/>
        <v>1.4413139602248092E-3</v>
      </c>
      <c r="K45" s="82"/>
    </row>
    <row r="46" spans="1:11" s="19" customFormat="1" ht="54.95" customHeight="1" x14ac:dyDescent="0.85">
      <c r="A46" s="75" t="s">
        <v>246</v>
      </c>
      <c r="B46" s="186">
        <f>CNT!N241-(1775.23)*5</f>
        <v>16772.57</v>
      </c>
      <c r="C46" s="186">
        <f>BPM!N48+(507.21)*5</f>
        <v>2536.0499999999997</v>
      </c>
      <c r="D46" s="186">
        <f>DEP!N35+(1268.02)*5</f>
        <v>6340.1</v>
      </c>
      <c r="E46" s="81">
        <v>0</v>
      </c>
      <c r="F46" s="81">
        <v>0</v>
      </c>
      <c r="G46" s="81">
        <v>0</v>
      </c>
      <c r="H46" s="81">
        <v>0</v>
      </c>
      <c r="I46" s="81">
        <f t="shared" si="0"/>
        <v>25648.720000000001</v>
      </c>
      <c r="J46" s="82">
        <f t="shared" si="7"/>
        <v>1.1888758955805236E-2</v>
      </c>
      <c r="K46" s="82"/>
    </row>
    <row r="47" spans="1:11" s="19" customFormat="1" ht="54.95" customHeight="1" x14ac:dyDescent="0.85">
      <c r="A47" s="80" t="s">
        <v>233</v>
      </c>
      <c r="B47" s="83">
        <f t="shared" ref="B47:H47" si="8">SUM(B37:B46)</f>
        <v>1250155.2400000002</v>
      </c>
      <c r="C47" s="83">
        <f t="shared" si="8"/>
        <v>311697.20000000007</v>
      </c>
      <c r="D47" s="83">
        <f t="shared" si="8"/>
        <v>396553.38999999996</v>
      </c>
      <c r="E47" s="83">
        <f t="shared" si="8"/>
        <v>0</v>
      </c>
      <c r="F47" s="83">
        <f>SUM(F37:F46)</f>
        <v>198986.71999999997</v>
      </c>
      <c r="G47" s="83">
        <f t="shared" si="8"/>
        <v>0</v>
      </c>
      <c r="H47" s="83">
        <f t="shared" si="8"/>
        <v>0</v>
      </c>
      <c r="I47" s="83">
        <f t="shared" si="0"/>
        <v>2157392.5500000003</v>
      </c>
      <c r="J47" s="84">
        <f>SUM(J37:J46)</f>
        <v>1</v>
      </c>
      <c r="K47" s="85"/>
    </row>
    <row r="48" spans="1:11" s="19" customFormat="1" ht="54.95" customHeight="1" x14ac:dyDescent="0.85">
      <c r="A48" s="75"/>
      <c r="B48" s="81"/>
      <c r="C48" s="81"/>
      <c r="D48" s="81"/>
      <c r="E48" s="81"/>
      <c r="F48" s="81"/>
      <c r="G48" s="81"/>
      <c r="H48" s="81"/>
      <c r="I48" s="81"/>
      <c r="J48" s="75"/>
      <c r="K48" s="75"/>
    </row>
    <row r="49" spans="1:11" s="19" customFormat="1" ht="54.95" customHeight="1" x14ac:dyDescent="0.85">
      <c r="A49" s="80" t="s">
        <v>486</v>
      </c>
      <c r="B49" s="81"/>
      <c r="C49" s="81"/>
      <c r="D49" s="81"/>
      <c r="E49" s="81"/>
      <c r="F49" s="81"/>
      <c r="G49" s="81"/>
      <c r="H49" s="81"/>
      <c r="I49" s="81"/>
      <c r="J49" s="75"/>
      <c r="K49" s="75"/>
    </row>
    <row r="50" spans="1:11" s="19" customFormat="1" ht="54.95" customHeight="1" x14ac:dyDescent="0.85">
      <c r="A50" s="75" t="s">
        <v>234</v>
      </c>
      <c r="B50" s="81">
        <f>CNT!N216+CNT!N217+CNT!N237</f>
        <v>171000</v>
      </c>
      <c r="C50" s="186">
        <f>5*5000</f>
        <v>25000</v>
      </c>
      <c r="D50" s="81">
        <f>DEP!N39</f>
        <v>187500</v>
      </c>
      <c r="E50" s="81">
        <v>0</v>
      </c>
      <c r="F50" s="81">
        <f>'BSC (Dome)'!N36</f>
        <v>5000</v>
      </c>
      <c r="G50" s="81">
        <v>0</v>
      </c>
      <c r="H50" s="81">
        <v>0</v>
      </c>
      <c r="I50" s="81">
        <f t="shared" ref="I50:I72" si="9">SUM(B50:H50)</f>
        <v>388500</v>
      </c>
      <c r="J50" s="82">
        <f t="shared" ref="J50:J71" si="10">I50/$I$72</f>
        <v>0.21289161707502119</v>
      </c>
      <c r="K50" s="82"/>
    </row>
    <row r="51" spans="1:11" s="19" customFormat="1" ht="54.95" customHeight="1" x14ac:dyDescent="0.85">
      <c r="A51" s="75" t="s">
        <v>235</v>
      </c>
      <c r="B51" s="81">
        <f>CNT!N218</f>
        <v>15853.150000000001</v>
      </c>
      <c r="C51" s="81">
        <v>0</v>
      </c>
      <c r="D51" s="81">
        <f>DEP!N40</f>
        <v>33450.199999999997</v>
      </c>
      <c r="E51" s="81">
        <v>0</v>
      </c>
      <c r="F51" s="81">
        <f>'BSC (Dome)'!N38</f>
        <v>3703.5</v>
      </c>
      <c r="G51" s="81">
        <v>0</v>
      </c>
      <c r="H51" s="81">
        <v>0</v>
      </c>
      <c r="I51" s="81">
        <f t="shared" si="9"/>
        <v>53006.85</v>
      </c>
      <c r="J51" s="82">
        <f t="shared" si="10"/>
        <v>2.9046882915194562E-2</v>
      </c>
      <c r="K51" s="82"/>
    </row>
    <row r="52" spans="1:11" s="19" customFormat="1" ht="54.95" customHeight="1" x14ac:dyDescent="0.85">
      <c r="A52" s="75" t="s">
        <v>236</v>
      </c>
      <c r="B52" s="81">
        <f>CNT!N219</f>
        <v>8507.1799999999985</v>
      </c>
      <c r="C52" s="81">
        <v>0</v>
      </c>
      <c r="D52" s="81">
        <v>0</v>
      </c>
      <c r="E52" s="81">
        <v>0</v>
      </c>
      <c r="F52" s="81">
        <f>'BSC (Dome)'!N37</f>
        <v>58354.85</v>
      </c>
      <c r="G52" s="81">
        <v>0</v>
      </c>
      <c r="H52" s="81">
        <v>0</v>
      </c>
      <c r="I52" s="81">
        <f t="shared" si="9"/>
        <v>66862.03</v>
      </c>
      <c r="J52" s="82">
        <f t="shared" si="10"/>
        <v>3.6639293919224145E-2</v>
      </c>
      <c r="K52" s="82"/>
    </row>
    <row r="53" spans="1:11" s="19" customFormat="1" ht="54.95" customHeight="1" x14ac:dyDescent="0.85">
      <c r="A53" s="75" t="s">
        <v>337</v>
      </c>
      <c r="B53" s="81">
        <f>CNT!N220</f>
        <v>579.03</v>
      </c>
      <c r="C53" s="81">
        <v>0</v>
      </c>
      <c r="D53" s="81">
        <v>0</v>
      </c>
      <c r="E53" s="81">
        <v>0</v>
      </c>
      <c r="F53" s="81">
        <f>'BSC (Dome)'!N39</f>
        <v>1532.02</v>
      </c>
      <c r="G53" s="81">
        <v>0</v>
      </c>
      <c r="H53" s="81">
        <v>0</v>
      </c>
      <c r="I53" s="81">
        <f t="shared" si="9"/>
        <v>2111.0500000000002</v>
      </c>
      <c r="J53" s="82">
        <f t="shared" si="10"/>
        <v>1.1568207161550155E-3</v>
      </c>
      <c r="K53" s="82"/>
    </row>
    <row r="54" spans="1:11" s="19" customFormat="1" ht="54.95" customHeight="1" x14ac:dyDescent="0.85">
      <c r="A54" s="75" t="s">
        <v>290</v>
      </c>
      <c r="B54" s="81">
        <f>CNT!N221</f>
        <v>0</v>
      </c>
      <c r="C54" s="81">
        <v>0</v>
      </c>
      <c r="D54" s="81">
        <f>DEP!N41</f>
        <v>750</v>
      </c>
      <c r="E54" s="81">
        <v>0</v>
      </c>
      <c r="F54" s="81">
        <f>'BSC (Dome)'!N40</f>
        <v>3003.8</v>
      </c>
      <c r="G54" s="81">
        <v>0</v>
      </c>
      <c r="H54" s="81">
        <v>0</v>
      </c>
      <c r="I54" s="81">
        <f t="shared" si="9"/>
        <v>3753.8</v>
      </c>
      <c r="J54" s="82">
        <f t="shared" si="10"/>
        <v>2.0570207263223028E-3</v>
      </c>
      <c r="K54" s="82"/>
    </row>
    <row r="55" spans="1:11" s="19" customFormat="1" ht="54.95" customHeight="1" x14ac:dyDescent="0.85">
      <c r="A55" s="75" t="s">
        <v>445</v>
      </c>
      <c r="B55" s="103">
        <f>CNT!N222</f>
        <v>14225</v>
      </c>
      <c r="C55" s="81">
        <v>0</v>
      </c>
      <c r="D55" s="81">
        <f>DEP!N42</f>
        <v>6660</v>
      </c>
      <c r="E55" s="81">
        <v>0</v>
      </c>
      <c r="F55" s="81">
        <v>0</v>
      </c>
      <c r="G55" s="81">
        <v>0</v>
      </c>
      <c r="H55" s="81">
        <v>0</v>
      </c>
      <c r="I55" s="81">
        <f t="shared" si="9"/>
        <v>20885</v>
      </c>
      <c r="J55" s="82">
        <f t="shared" si="10"/>
        <v>1.1444636866439685E-2</v>
      </c>
      <c r="K55" s="82"/>
    </row>
    <row r="56" spans="1:11" s="19" customFormat="1" ht="54.95" customHeight="1" x14ac:dyDescent="0.85">
      <c r="A56" s="75" t="s">
        <v>373</v>
      </c>
      <c r="B56" s="81">
        <f>CNT!N223+CNT!N234</f>
        <v>56121.599999999999</v>
      </c>
      <c r="C56" s="81">
        <v>0</v>
      </c>
      <c r="D56" s="81">
        <f>DEP!N43</f>
        <v>7404.9699999999993</v>
      </c>
      <c r="E56" s="81">
        <v>0</v>
      </c>
      <c r="F56" s="81">
        <f>'BSC (Dome)'!N42</f>
        <v>2381.98</v>
      </c>
      <c r="G56" s="81">
        <v>0</v>
      </c>
      <c r="H56" s="81">
        <v>0</v>
      </c>
      <c r="I56" s="81">
        <f t="shared" si="9"/>
        <v>65908.55</v>
      </c>
      <c r="J56" s="82">
        <f t="shared" si="10"/>
        <v>3.6116802544581439E-2</v>
      </c>
      <c r="K56" s="82"/>
    </row>
    <row r="57" spans="1:11" s="19" customFormat="1" ht="54.95" customHeight="1" x14ac:dyDescent="0.85">
      <c r="A57" s="75" t="s">
        <v>374</v>
      </c>
      <c r="B57" s="81"/>
      <c r="C57" s="81">
        <f>BPM!N53</f>
        <v>1511.66</v>
      </c>
      <c r="D57" s="81">
        <v>0</v>
      </c>
      <c r="E57" s="81">
        <v>0</v>
      </c>
      <c r="F57" s="81">
        <f>'BSC (Dome)'!N43+'BSC (Dome)'!N49</f>
        <v>6036.92</v>
      </c>
      <c r="G57" s="81">
        <v>0</v>
      </c>
      <c r="H57" s="81">
        <v>0</v>
      </c>
      <c r="I57" s="81">
        <f t="shared" si="9"/>
        <v>7548.58</v>
      </c>
      <c r="J57" s="82">
        <f t="shared" si="10"/>
        <v>4.1364978193569202E-3</v>
      </c>
      <c r="K57" s="82"/>
    </row>
    <row r="58" spans="1:11" s="19" customFormat="1" ht="54.95" customHeight="1" x14ac:dyDescent="0.85">
      <c r="A58" s="75" t="s">
        <v>239</v>
      </c>
      <c r="B58" s="81">
        <f>CNT!N224</f>
        <v>43382.590000000011</v>
      </c>
      <c r="C58" s="81">
        <v>0</v>
      </c>
      <c r="D58" s="81">
        <f>DEP!N44</f>
        <v>26970.9</v>
      </c>
      <c r="E58" s="81">
        <v>0</v>
      </c>
      <c r="F58" s="81">
        <f>'BSC (Dome)'!N45</f>
        <v>233.66</v>
      </c>
      <c r="G58" s="81">
        <v>0</v>
      </c>
      <c r="H58" s="81">
        <v>0</v>
      </c>
      <c r="I58" s="81">
        <f t="shared" si="9"/>
        <v>70587.150000000023</v>
      </c>
      <c r="J58" s="82">
        <f t="shared" si="10"/>
        <v>3.8680598476749262E-2</v>
      </c>
      <c r="K58" s="82"/>
    </row>
    <row r="59" spans="1:11" s="19" customFormat="1" ht="54.95" customHeight="1" x14ac:dyDescent="0.85">
      <c r="A59" s="75" t="s">
        <v>240</v>
      </c>
      <c r="B59" s="81">
        <f>CNT!N225</f>
        <v>15500</v>
      </c>
      <c r="C59" s="81">
        <v>0</v>
      </c>
      <c r="D59" s="81">
        <f>DEP!N45</f>
        <v>7274.04</v>
      </c>
      <c r="E59" s="81">
        <v>0</v>
      </c>
      <c r="F59" s="81">
        <v>0</v>
      </c>
      <c r="G59" s="81">
        <v>0</v>
      </c>
      <c r="H59" s="81">
        <v>0</v>
      </c>
      <c r="I59" s="81">
        <f t="shared" si="9"/>
        <v>22774.04</v>
      </c>
      <c r="J59" s="82">
        <f t="shared" si="10"/>
        <v>1.24797997501447E-2</v>
      </c>
      <c r="K59" s="82"/>
    </row>
    <row r="60" spans="1:11" s="19" customFormat="1" ht="54.95" customHeight="1" x14ac:dyDescent="0.85">
      <c r="A60" s="75" t="s">
        <v>238</v>
      </c>
      <c r="B60" s="186">
        <f>CNT!N226-(506.43)*5</f>
        <v>22952.46</v>
      </c>
      <c r="C60" s="186">
        <f>BPM!N54+(506.43)*5</f>
        <v>2532.15</v>
      </c>
      <c r="D60" s="81">
        <f>DEP!N46</f>
        <v>90104.159999999989</v>
      </c>
      <c r="E60" s="81">
        <v>0</v>
      </c>
      <c r="F60" s="81">
        <f>'BSC (Dome)'!N47</f>
        <v>12122</v>
      </c>
      <c r="G60" s="81">
        <v>0</v>
      </c>
      <c r="H60" s="81">
        <v>0</v>
      </c>
      <c r="I60" s="81">
        <f t="shared" si="9"/>
        <v>127710.76999999999</v>
      </c>
      <c r="J60" s="82">
        <f t="shared" si="10"/>
        <v>6.9983403714790476E-2</v>
      </c>
      <c r="K60" s="82"/>
    </row>
    <row r="61" spans="1:11" s="19" customFormat="1" ht="54.95" customHeight="1" x14ac:dyDescent="0.85">
      <c r="A61" s="75" t="s">
        <v>359</v>
      </c>
      <c r="B61" s="81">
        <v>0</v>
      </c>
      <c r="C61" s="81">
        <v>0</v>
      </c>
      <c r="D61" s="81">
        <v>0</v>
      </c>
      <c r="E61" s="81">
        <v>0</v>
      </c>
      <c r="F61" s="81">
        <f>'BSC (Dome)'!N44</f>
        <v>9714.57</v>
      </c>
      <c r="G61" s="81">
        <v>0</v>
      </c>
      <c r="H61" s="81">
        <v>0</v>
      </c>
      <c r="I61" s="81">
        <f t="shared" si="9"/>
        <v>9714.57</v>
      </c>
      <c r="J61" s="82">
        <f t="shared" si="10"/>
        <v>5.3234247528661221E-3</v>
      </c>
      <c r="K61" s="82"/>
    </row>
    <row r="62" spans="1:11" s="19" customFormat="1" ht="54.95" customHeight="1" x14ac:dyDescent="0.85">
      <c r="A62" s="75" t="s">
        <v>241</v>
      </c>
      <c r="B62" s="81">
        <f>CNT!N269+CNT!N227</f>
        <v>7250.46</v>
      </c>
      <c r="C62" s="81">
        <v>0</v>
      </c>
      <c r="D62" s="81">
        <f>DEP!N47</f>
        <v>152.47</v>
      </c>
      <c r="E62" s="81">
        <v>0</v>
      </c>
      <c r="F62" s="81">
        <f>'BSC (Dome)'!N50</f>
        <v>1417.5100000000002</v>
      </c>
      <c r="G62" s="81">
        <v>0</v>
      </c>
      <c r="H62" s="81">
        <v>0</v>
      </c>
      <c r="I62" s="81">
        <f t="shared" si="9"/>
        <v>8820.44</v>
      </c>
      <c r="J62" s="82">
        <f t="shared" si="10"/>
        <v>4.8334562031227797E-3</v>
      </c>
      <c r="K62" s="82"/>
    </row>
    <row r="63" spans="1:11" s="19" customFormat="1" ht="54.95" customHeight="1" x14ac:dyDescent="0.85">
      <c r="A63" s="75" t="s">
        <v>242</v>
      </c>
      <c r="B63" s="81">
        <f>CNT!N228</f>
        <v>2242.5</v>
      </c>
      <c r="C63" s="81">
        <v>0</v>
      </c>
      <c r="D63" s="81">
        <f>DEP!N49</f>
        <v>1786.62</v>
      </c>
      <c r="E63" s="81">
        <v>0</v>
      </c>
      <c r="F63" s="81">
        <v>0</v>
      </c>
      <c r="G63" s="81">
        <v>0</v>
      </c>
      <c r="H63" s="81">
        <v>0</v>
      </c>
      <c r="I63" s="81">
        <f t="shared" si="9"/>
        <v>4029.12</v>
      </c>
      <c r="J63" s="82">
        <f t="shared" si="10"/>
        <v>2.2078915629068453E-3</v>
      </c>
      <c r="K63" s="82"/>
    </row>
    <row r="64" spans="1:11" s="19" customFormat="1" ht="54.95" customHeight="1" x14ac:dyDescent="0.85">
      <c r="A64" s="75" t="s">
        <v>243</v>
      </c>
      <c r="B64" s="81">
        <f>CNT!N230</f>
        <v>1666.6499999999999</v>
      </c>
      <c r="C64" s="81">
        <v>0</v>
      </c>
      <c r="D64" s="81">
        <v>0</v>
      </c>
      <c r="E64" s="81">
        <v>0</v>
      </c>
      <c r="F64" s="81">
        <v>0</v>
      </c>
      <c r="G64" s="81">
        <v>0</v>
      </c>
      <c r="H64" s="81">
        <v>0</v>
      </c>
      <c r="I64" s="81">
        <f t="shared" si="9"/>
        <v>1666.6499999999999</v>
      </c>
      <c r="J64" s="82">
        <f t="shared" si="10"/>
        <v>9.1329681749828583E-4</v>
      </c>
      <c r="K64" s="82"/>
    </row>
    <row r="65" spans="1:11" s="19" customFormat="1" ht="54.95" customHeight="1" x14ac:dyDescent="0.85">
      <c r="A65" s="75" t="s">
        <v>244</v>
      </c>
      <c r="B65" s="81">
        <f>CNT!N231+CNT!N236</f>
        <v>593305.84</v>
      </c>
      <c r="C65" s="81">
        <f>BPM!N55</f>
        <v>1815.58</v>
      </c>
      <c r="D65" s="81">
        <f>DEP!N50</f>
        <v>51718.71</v>
      </c>
      <c r="E65" s="81">
        <v>0</v>
      </c>
      <c r="F65" s="81">
        <f>'BSC (Dome)'!N53</f>
        <v>46910.850000000006</v>
      </c>
      <c r="G65" s="81">
        <f>'Oliari Co.'!N11</f>
        <v>46256.350000000006</v>
      </c>
      <c r="H65" s="81">
        <f>'722 Bedford St'!N11</f>
        <v>73494.559999999998</v>
      </c>
      <c r="I65" s="81">
        <f t="shared" si="9"/>
        <v>813501.8899999999</v>
      </c>
      <c r="J65" s="82">
        <f t="shared" si="10"/>
        <v>0.4457856701562059</v>
      </c>
      <c r="K65" s="82"/>
    </row>
    <row r="66" spans="1:11" s="19" customFormat="1" ht="54.95" customHeight="1" x14ac:dyDescent="0.85">
      <c r="A66" s="75" t="s">
        <v>254</v>
      </c>
      <c r="B66" s="81">
        <f>CNT!N252</f>
        <v>976.74</v>
      </c>
      <c r="C66" s="81">
        <v>0</v>
      </c>
      <c r="D66" s="81">
        <v>0</v>
      </c>
      <c r="E66" s="81">
        <v>0</v>
      </c>
      <c r="F66" s="81">
        <v>0</v>
      </c>
      <c r="G66" s="81">
        <v>0</v>
      </c>
      <c r="H66" s="81">
        <v>0</v>
      </c>
      <c r="I66" s="81">
        <f t="shared" si="9"/>
        <v>976.74</v>
      </c>
      <c r="J66" s="82">
        <f t="shared" si="10"/>
        <v>5.3523747248869036E-4</v>
      </c>
      <c r="K66" s="82"/>
    </row>
    <row r="67" spans="1:11" s="19" customFormat="1" ht="54.95" customHeight="1" x14ac:dyDescent="0.85">
      <c r="A67" s="75" t="s">
        <v>356</v>
      </c>
      <c r="B67" s="81">
        <f>CNT!N266</f>
        <v>109</v>
      </c>
      <c r="C67" s="81">
        <f>BPM!N67</f>
        <v>198.97000000000003</v>
      </c>
      <c r="D67" s="81">
        <f>DEP!N69</f>
        <v>149</v>
      </c>
      <c r="E67" s="81">
        <f>Lending!N11</f>
        <v>109</v>
      </c>
      <c r="F67" s="81">
        <f>'BSC (Dome)'!N48</f>
        <v>565</v>
      </c>
      <c r="G67" s="81">
        <f>'Oliari Co.'!N10</f>
        <v>520</v>
      </c>
      <c r="H67" s="81">
        <f>'722 Bedford St'!N10</f>
        <v>520</v>
      </c>
      <c r="I67" s="81">
        <f t="shared" si="9"/>
        <v>2170.9700000000003</v>
      </c>
      <c r="J67" s="82">
        <f t="shared" si="10"/>
        <v>1.1896558916894692E-3</v>
      </c>
      <c r="K67" s="82"/>
    </row>
    <row r="68" spans="1:11" s="19" customFormat="1" ht="54.95" customHeight="1" x14ac:dyDescent="0.85">
      <c r="A68" s="75" t="s">
        <v>247</v>
      </c>
      <c r="B68" s="186">
        <f>CNT!N251-(255.5)*5</f>
        <v>7609.2899999999991</v>
      </c>
      <c r="C68" s="186">
        <f>BPM!N68+(255.5)*5</f>
        <v>1277.5</v>
      </c>
      <c r="D68" s="81">
        <f>DEP!N51</f>
        <v>9106.3599999999988</v>
      </c>
      <c r="E68" s="81">
        <v>0</v>
      </c>
      <c r="F68" s="81">
        <v>0</v>
      </c>
      <c r="G68" s="81">
        <v>0</v>
      </c>
      <c r="H68" s="81">
        <v>0</v>
      </c>
      <c r="I68" s="81">
        <f t="shared" si="9"/>
        <v>17993.149999999998</v>
      </c>
      <c r="J68" s="82">
        <f t="shared" si="10"/>
        <v>9.8599505785673548E-3</v>
      </c>
      <c r="K68" s="82"/>
    </row>
    <row r="69" spans="1:11" s="19" customFormat="1" ht="54.95" customHeight="1" x14ac:dyDescent="0.85">
      <c r="A69" s="75" t="s">
        <v>248</v>
      </c>
      <c r="B69" s="186">
        <f>CNT!N255+CNT!N235+CNT!N229-(2006.33)*5</f>
        <v>67932.7</v>
      </c>
      <c r="C69" s="186">
        <f>BPM!N62+(2006.33)*5</f>
        <v>10031.65</v>
      </c>
      <c r="D69" s="81">
        <f>DEP!N48</f>
        <v>36452.49</v>
      </c>
      <c r="E69" s="81">
        <v>0</v>
      </c>
      <c r="F69" s="81">
        <v>0</v>
      </c>
      <c r="G69" s="81">
        <v>0</v>
      </c>
      <c r="H69" s="81">
        <v>0</v>
      </c>
      <c r="I69" s="81">
        <f t="shared" si="9"/>
        <v>114416.84</v>
      </c>
      <c r="J69" s="82">
        <f t="shared" si="10"/>
        <v>6.2698548489611247E-2</v>
      </c>
      <c r="K69" s="82"/>
    </row>
    <row r="70" spans="1:11" s="19" customFormat="1" ht="54.95" customHeight="1" x14ac:dyDescent="0.85">
      <c r="A70" s="75" t="s">
        <v>368</v>
      </c>
      <c r="B70" s="81">
        <f>CNT!N232</f>
        <v>8995.09</v>
      </c>
      <c r="C70" s="81">
        <v>0</v>
      </c>
      <c r="D70" s="81">
        <f>DEP!N52</f>
        <v>4420.04</v>
      </c>
      <c r="E70" s="81">
        <v>0</v>
      </c>
      <c r="F70" s="81">
        <f>'BSC (Dome)'!N55</f>
        <v>2372.79</v>
      </c>
      <c r="G70" s="81">
        <v>0</v>
      </c>
      <c r="H70" s="81">
        <v>0</v>
      </c>
      <c r="I70" s="81">
        <f t="shared" si="9"/>
        <v>15787.920000000002</v>
      </c>
      <c r="J70" s="82">
        <f t="shared" si="10"/>
        <v>8.6515207697582218E-3</v>
      </c>
      <c r="K70" s="82"/>
    </row>
    <row r="71" spans="1:11" s="19" customFormat="1" ht="54.95" customHeight="1" x14ac:dyDescent="0.85">
      <c r="A71" s="75" t="s">
        <v>369</v>
      </c>
      <c r="B71" s="81">
        <f>CNT!N233</f>
        <v>0</v>
      </c>
      <c r="C71" s="81">
        <f>BPM!N61</f>
        <v>2018.48</v>
      </c>
      <c r="D71" s="81">
        <f>DEP!N53</f>
        <v>920.12</v>
      </c>
      <c r="E71" s="81">
        <v>0</v>
      </c>
      <c r="F71" s="81">
        <f>'BSC (Dome)'!N56</f>
        <v>3207.52</v>
      </c>
      <c r="G71" s="81">
        <v>0</v>
      </c>
      <c r="H71" s="81">
        <v>0</v>
      </c>
      <c r="I71" s="81">
        <f t="shared" si="9"/>
        <v>6146.12</v>
      </c>
      <c r="J71" s="82">
        <f t="shared" si="10"/>
        <v>3.3679727813053519E-3</v>
      </c>
      <c r="K71" s="82"/>
    </row>
    <row r="72" spans="1:11" s="19" customFormat="1" ht="54.95" customHeight="1" x14ac:dyDescent="0.85">
      <c r="A72" s="80" t="s">
        <v>249</v>
      </c>
      <c r="B72" s="83">
        <f t="shared" ref="B72:H72" si="11">SUM(B50:B71)</f>
        <v>1038209.2799999999</v>
      </c>
      <c r="C72" s="83">
        <f t="shared" si="11"/>
        <v>44385.990000000005</v>
      </c>
      <c r="D72" s="83">
        <f t="shared" si="11"/>
        <v>464820.0799999999</v>
      </c>
      <c r="E72" s="83">
        <f t="shared" si="11"/>
        <v>109</v>
      </c>
      <c r="F72" s="83">
        <f t="shared" si="11"/>
        <v>156556.97000000003</v>
      </c>
      <c r="G72" s="83">
        <f t="shared" si="11"/>
        <v>46776.350000000006</v>
      </c>
      <c r="H72" s="83">
        <f t="shared" si="11"/>
        <v>74014.559999999998</v>
      </c>
      <c r="I72" s="83">
        <f t="shared" si="9"/>
        <v>1824872.23</v>
      </c>
      <c r="J72" s="84">
        <f>SUM(J50:J71)</f>
        <v>1</v>
      </c>
      <c r="K72" s="85"/>
    </row>
    <row r="73" spans="1:11" s="19" customFormat="1" ht="54.95" customHeight="1" x14ac:dyDescent="0.85">
      <c r="A73" s="75"/>
      <c r="B73" s="81"/>
      <c r="C73" s="81"/>
      <c r="D73" s="81"/>
      <c r="E73" s="81"/>
      <c r="F73" s="81"/>
      <c r="G73" s="81"/>
      <c r="H73" s="81"/>
      <c r="I73" s="81"/>
      <c r="J73" s="75"/>
      <c r="K73" s="75"/>
    </row>
    <row r="74" spans="1:11" s="19" customFormat="1" ht="54.95" customHeight="1" x14ac:dyDescent="0.85">
      <c r="A74" s="75"/>
      <c r="B74" s="75"/>
      <c r="C74" s="75"/>
      <c r="D74" s="75"/>
      <c r="E74" s="75"/>
      <c r="F74" s="75"/>
      <c r="G74" s="75"/>
      <c r="H74" s="75"/>
      <c r="I74" s="75"/>
      <c r="J74" s="120">
        <v>2018</v>
      </c>
      <c r="K74" s="120"/>
    </row>
    <row r="75" spans="1:11" s="19" customFormat="1" ht="54.95" customHeight="1" x14ac:dyDescent="0.85">
      <c r="A75" s="75"/>
      <c r="B75" s="75"/>
      <c r="C75" s="75"/>
      <c r="D75" s="75"/>
      <c r="E75" s="75"/>
      <c r="F75" s="75"/>
      <c r="G75" s="75"/>
      <c r="H75" s="75"/>
      <c r="I75" s="75"/>
      <c r="J75" s="120" t="s">
        <v>345</v>
      </c>
      <c r="K75" s="120"/>
    </row>
    <row r="76" spans="1:11" s="19" customFormat="1" ht="54.95" customHeight="1" x14ac:dyDescent="0.85">
      <c r="A76" s="75"/>
      <c r="B76" s="75"/>
      <c r="C76" s="75"/>
      <c r="D76" s="75"/>
      <c r="E76" s="75"/>
      <c r="F76" s="75"/>
      <c r="G76" s="75"/>
      <c r="H76" s="75"/>
      <c r="I76" s="75"/>
      <c r="J76" s="120" t="s">
        <v>343</v>
      </c>
      <c r="K76" s="120"/>
    </row>
    <row r="77" spans="1:11" s="19" customFormat="1" ht="54.95" customHeight="1" x14ac:dyDescent="0.85">
      <c r="A77" s="75"/>
      <c r="B77" s="75"/>
      <c r="C77" s="75"/>
      <c r="D77" s="75"/>
      <c r="E77" s="75"/>
      <c r="F77" s="75"/>
      <c r="G77" s="75"/>
      <c r="H77" s="75"/>
      <c r="I77" s="120" t="s">
        <v>207</v>
      </c>
      <c r="J77" s="120" t="s">
        <v>207</v>
      </c>
      <c r="K77" s="120"/>
    </row>
    <row r="78" spans="1:11" s="19" customFormat="1" ht="54.95" customHeight="1" x14ac:dyDescent="0.85">
      <c r="A78" s="75"/>
      <c r="B78" s="78" t="s">
        <v>212</v>
      </c>
      <c r="C78" s="78" t="s">
        <v>214</v>
      </c>
      <c r="D78" s="78" t="s">
        <v>213</v>
      </c>
      <c r="E78" s="78" t="s">
        <v>215</v>
      </c>
      <c r="F78" s="78" t="s">
        <v>216</v>
      </c>
      <c r="G78" s="78" t="s">
        <v>406</v>
      </c>
      <c r="H78" s="78" t="s">
        <v>418</v>
      </c>
      <c r="I78" s="78">
        <v>2018</v>
      </c>
      <c r="J78" s="121" t="s">
        <v>339</v>
      </c>
      <c r="K78" s="121"/>
    </row>
    <row r="79" spans="1:11" s="19" customFormat="1" ht="54.95" customHeight="1" x14ac:dyDescent="0.85">
      <c r="A79" s="75"/>
      <c r="B79" s="81"/>
      <c r="C79" s="81"/>
      <c r="D79" s="81"/>
      <c r="E79" s="81"/>
      <c r="F79" s="81"/>
      <c r="G79" s="81"/>
      <c r="H79" s="81"/>
      <c r="I79" s="81"/>
      <c r="J79" s="75"/>
      <c r="K79" s="75"/>
    </row>
    <row r="80" spans="1:11" s="19" customFormat="1" ht="54.95" customHeight="1" x14ac:dyDescent="0.85">
      <c r="A80" s="80" t="s">
        <v>250</v>
      </c>
      <c r="B80" s="81"/>
      <c r="C80" s="81"/>
      <c r="D80" s="81"/>
      <c r="E80" s="81"/>
      <c r="F80" s="81"/>
      <c r="G80" s="81"/>
      <c r="H80" s="81"/>
      <c r="I80" s="81"/>
      <c r="J80" s="75"/>
      <c r="K80" s="75"/>
    </row>
    <row r="81" spans="1:11" s="19" customFormat="1" ht="54.95" customHeight="1" x14ac:dyDescent="0.85">
      <c r="A81" s="75" t="s">
        <v>251</v>
      </c>
      <c r="B81" s="81">
        <f>CNT!N242</f>
        <v>4648.83</v>
      </c>
      <c r="C81" s="81">
        <v>0</v>
      </c>
      <c r="D81" s="81">
        <f>DEP!N57</f>
        <v>848.35</v>
      </c>
      <c r="E81" s="81">
        <v>0</v>
      </c>
      <c r="F81" s="81">
        <f>'BSC (Dome)'!N60</f>
        <v>2033.72</v>
      </c>
      <c r="G81" s="81">
        <v>0</v>
      </c>
      <c r="H81" s="81">
        <v>0</v>
      </c>
      <c r="I81" s="81">
        <f t="shared" ref="I81:I103" si="12">SUM(B81:H81)</f>
        <v>7530.9000000000005</v>
      </c>
      <c r="J81" s="82">
        <f t="shared" ref="J81:J100" si="13">I81/$I$101</f>
        <v>1.5950200656231015E-2</v>
      </c>
      <c r="K81" s="82"/>
    </row>
    <row r="82" spans="1:11" s="19" customFormat="1" ht="54.95" customHeight="1" x14ac:dyDescent="0.85">
      <c r="A82" s="75" t="s">
        <v>391</v>
      </c>
      <c r="B82" s="81">
        <f>CNT!N240</f>
        <v>0</v>
      </c>
      <c r="C82" s="81">
        <v>0</v>
      </c>
      <c r="D82" s="81">
        <v>0</v>
      </c>
      <c r="E82" s="81">
        <v>0</v>
      </c>
      <c r="F82" s="81">
        <v>0</v>
      </c>
      <c r="G82" s="81">
        <v>0</v>
      </c>
      <c r="H82" s="81">
        <v>0</v>
      </c>
      <c r="I82" s="81">
        <f t="shared" si="12"/>
        <v>0</v>
      </c>
      <c r="J82" s="82">
        <f t="shared" si="13"/>
        <v>0</v>
      </c>
      <c r="K82" s="82"/>
    </row>
    <row r="83" spans="1:11" s="19" customFormat="1" ht="54.95" customHeight="1" x14ac:dyDescent="0.85">
      <c r="A83" s="75" t="s">
        <v>546</v>
      </c>
      <c r="B83" s="81">
        <v>0</v>
      </c>
      <c r="C83" s="81">
        <v>0</v>
      </c>
      <c r="D83" s="81">
        <v>0</v>
      </c>
      <c r="E83" s="81">
        <f>Lending!N9</f>
        <v>0</v>
      </c>
      <c r="F83" s="81">
        <v>0</v>
      </c>
      <c r="G83" s="81">
        <v>0</v>
      </c>
      <c r="H83" s="81">
        <v>0</v>
      </c>
      <c r="I83" s="81">
        <f t="shared" si="12"/>
        <v>0</v>
      </c>
      <c r="J83" s="82">
        <f t="shared" si="13"/>
        <v>0</v>
      </c>
      <c r="K83" s="82"/>
    </row>
    <row r="84" spans="1:11" s="19" customFormat="1" ht="54.95" customHeight="1" x14ac:dyDescent="0.85">
      <c r="A84" s="75" t="s">
        <v>252</v>
      </c>
      <c r="B84" s="81">
        <f>CNT!N243</f>
        <v>55704.789999999994</v>
      </c>
      <c r="C84" s="81">
        <f>BPM!N59</f>
        <v>3512.39</v>
      </c>
      <c r="D84" s="81">
        <f>DEP!N58</f>
        <v>3628.9700000000003</v>
      </c>
      <c r="E84" s="81">
        <f>Lending!N10</f>
        <v>1091.81</v>
      </c>
      <c r="F84" s="81">
        <f>'BSC (Dome)'!N61</f>
        <v>1980.54</v>
      </c>
      <c r="G84" s="81">
        <v>0</v>
      </c>
      <c r="H84" s="81">
        <f>'722 Bedford St'!N16</f>
        <v>402.15</v>
      </c>
      <c r="I84" s="81">
        <f t="shared" si="12"/>
        <v>66320.64999999998</v>
      </c>
      <c r="J84" s="82">
        <f t="shared" si="13"/>
        <v>0.14046497432599916</v>
      </c>
      <c r="K84" s="82"/>
    </row>
    <row r="85" spans="1:11" s="19" customFormat="1" ht="54.95" customHeight="1" x14ac:dyDescent="0.85">
      <c r="A85" s="75" t="s">
        <v>363</v>
      </c>
      <c r="B85" s="81">
        <v>0</v>
      </c>
      <c r="C85" s="81">
        <v>0</v>
      </c>
      <c r="D85" s="81">
        <v>0</v>
      </c>
      <c r="E85" s="81">
        <v>0</v>
      </c>
      <c r="F85" s="81">
        <f>'BSC (Dome)'!N62</f>
        <v>2445.9100000000003</v>
      </c>
      <c r="G85" s="81">
        <v>0</v>
      </c>
      <c r="H85" s="81">
        <v>0</v>
      </c>
      <c r="I85" s="81">
        <f t="shared" si="12"/>
        <v>2445.9100000000003</v>
      </c>
      <c r="J85" s="82">
        <f t="shared" si="13"/>
        <v>5.1803576315024771E-3</v>
      </c>
      <c r="K85" s="82"/>
    </row>
    <row r="86" spans="1:11" s="19" customFormat="1" ht="54.95" customHeight="1" x14ac:dyDescent="0.85">
      <c r="A86" s="75" t="s">
        <v>253</v>
      </c>
      <c r="B86" s="81">
        <f>CNT!N245</f>
        <v>3578.83</v>
      </c>
      <c r="C86" s="81">
        <v>0</v>
      </c>
      <c r="D86" s="81">
        <f>DEP!N68</f>
        <v>0</v>
      </c>
      <c r="E86" s="81">
        <v>0</v>
      </c>
      <c r="F86" s="81">
        <f>'BSC (Dome)'!N66</f>
        <v>975.56000000000006</v>
      </c>
      <c r="G86" s="81">
        <v>0</v>
      </c>
      <c r="H86" s="81">
        <v>0</v>
      </c>
      <c r="I86" s="81">
        <f t="shared" si="12"/>
        <v>4554.3900000000003</v>
      </c>
      <c r="J86" s="82">
        <f t="shared" si="13"/>
        <v>9.6460495248551926E-3</v>
      </c>
      <c r="K86" s="82"/>
    </row>
    <row r="87" spans="1:11" s="19" customFormat="1" ht="54.95" customHeight="1" x14ac:dyDescent="0.85">
      <c r="A87" s="75" t="s">
        <v>360</v>
      </c>
      <c r="B87" s="81">
        <f>CNT!N263</f>
        <v>144000</v>
      </c>
      <c r="C87" s="81">
        <f>BPM!N64</f>
        <v>15000</v>
      </c>
      <c r="D87" s="81">
        <f>DEP!N62</f>
        <v>25000</v>
      </c>
      <c r="E87" s="81">
        <f>Lending!N13</f>
        <v>0</v>
      </c>
      <c r="F87" s="81">
        <f>'BSC (Dome)'!N67</f>
        <v>2750</v>
      </c>
      <c r="G87" s="81">
        <f>'Oliari Co.'!N15</f>
        <v>1325</v>
      </c>
      <c r="H87" s="81">
        <f>'722 Bedford St'!N15</f>
        <v>0</v>
      </c>
      <c r="I87" s="81">
        <f t="shared" si="12"/>
        <v>188075</v>
      </c>
      <c r="J87" s="82">
        <f t="shared" si="13"/>
        <v>0.39833671784523073</v>
      </c>
      <c r="K87" s="82"/>
    </row>
    <row r="88" spans="1:11" s="19" customFormat="1" ht="54.95" customHeight="1" x14ac:dyDescent="0.85">
      <c r="A88" s="75" t="s">
        <v>361</v>
      </c>
      <c r="B88" s="81">
        <f>CNT!N264</f>
        <v>38000</v>
      </c>
      <c r="C88" s="81">
        <f>BPM!N65</f>
        <v>18750</v>
      </c>
      <c r="D88" s="81">
        <f>DEP!N63</f>
        <v>11250</v>
      </c>
      <c r="E88" s="81">
        <v>0</v>
      </c>
      <c r="F88" s="81">
        <f>'BSC (Dome)'!N68</f>
        <v>7500</v>
      </c>
      <c r="G88" s="81">
        <v>0</v>
      </c>
      <c r="H88" s="81">
        <v>0</v>
      </c>
      <c r="I88" s="81">
        <f t="shared" si="12"/>
        <v>75500</v>
      </c>
      <c r="J88" s="82">
        <f t="shared" si="13"/>
        <v>0.15990653833478621</v>
      </c>
      <c r="K88" s="82"/>
    </row>
    <row r="89" spans="1:11" s="19" customFormat="1" ht="54.95" customHeight="1" x14ac:dyDescent="0.85">
      <c r="A89" s="75" t="s">
        <v>362</v>
      </c>
      <c r="B89" s="186">
        <f>CNT!N262-(1194.52)*5</f>
        <v>7204.7999999999993</v>
      </c>
      <c r="C89" s="186">
        <f>BPM!N63+(597.26)*5</f>
        <v>2986.3</v>
      </c>
      <c r="D89" s="186">
        <f>DEP!N61+(597.26)*5</f>
        <v>2986.3</v>
      </c>
      <c r="E89" s="81">
        <f>Lending!N12</f>
        <v>1250</v>
      </c>
      <c r="F89" s="81">
        <v>0</v>
      </c>
      <c r="G89" s="81">
        <v>0</v>
      </c>
      <c r="H89" s="81">
        <v>0</v>
      </c>
      <c r="I89" s="81">
        <f t="shared" si="12"/>
        <v>14427.399999999998</v>
      </c>
      <c r="J89" s="82">
        <f t="shared" si="13"/>
        <v>3.0556762796970786E-2</v>
      </c>
      <c r="K89" s="82"/>
    </row>
    <row r="90" spans="1:11" s="19" customFormat="1" ht="54.95" customHeight="1" x14ac:dyDescent="0.85">
      <c r="A90" s="75" t="s">
        <v>400</v>
      </c>
      <c r="B90" s="186">
        <f>CNT!N265-(1530.38)*5</f>
        <v>5803.0999999999995</v>
      </c>
      <c r="C90" s="186">
        <f>BPM!N66+(437.25)*5</f>
        <v>2186.25</v>
      </c>
      <c r="D90" s="186">
        <f>DEP!N65+(1093.13)*5</f>
        <v>5465.6500000000005</v>
      </c>
      <c r="E90" s="81">
        <v>0</v>
      </c>
      <c r="F90" s="81">
        <v>0</v>
      </c>
      <c r="G90" s="81">
        <v>0</v>
      </c>
      <c r="H90" s="81">
        <v>0</v>
      </c>
      <c r="I90" s="81">
        <f t="shared" si="12"/>
        <v>13455</v>
      </c>
      <c r="J90" s="82">
        <f t="shared" si="13"/>
        <v>2.849725130191455E-2</v>
      </c>
      <c r="K90" s="82"/>
    </row>
    <row r="91" spans="1:11" s="19" customFormat="1" ht="54.95" customHeight="1" x14ac:dyDescent="0.85">
      <c r="A91" s="75" t="s">
        <v>389</v>
      </c>
      <c r="B91" s="81">
        <v>0</v>
      </c>
      <c r="C91" s="81">
        <v>0</v>
      </c>
      <c r="D91" s="81">
        <f>DEP!N64</f>
        <v>3958.3399999999997</v>
      </c>
      <c r="E91" s="81">
        <v>0</v>
      </c>
      <c r="F91" s="81">
        <v>0</v>
      </c>
      <c r="G91" s="81">
        <v>0</v>
      </c>
      <c r="H91" s="81">
        <v>0</v>
      </c>
      <c r="I91" s="81">
        <f t="shared" si="12"/>
        <v>3958.3399999999997</v>
      </c>
      <c r="J91" s="82">
        <f t="shared" si="13"/>
        <v>8.3836350589684451E-3</v>
      </c>
      <c r="K91" s="82"/>
    </row>
    <row r="92" spans="1:11" s="19" customFormat="1" ht="54.95" customHeight="1" x14ac:dyDescent="0.85">
      <c r="A92" s="75" t="s">
        <v>255</v>
      </c>
      <c r="B92" s="186">
        <f>CNT!N249+CNT!N267-(2602.31)*5</f>
        <v>-4933.7899999999991</v>
      </c>
      <c r="C92" s="81">
        <v>0</v>
      </c>
      <c r="D92" s="186">
        <f>DEP!N60+(2602.31)*5</f>
        <v>14261.55</v>
      </c>
      <c r="E92" s="81">
        <v>0</v>
      </c>
      <c r="F92" s="81">
        <f>'BSC (Dome)'!N64:N64</f>
        <v>796.8599999999999</v>
      </c>
      <c r="G92" s="81">
        <v>0</v>
      </c>
      <c r="H92" s="81">
        <v>0</v>
      </c>
      <c r="I92" s="81">
        <f t="shared" si="12"/>
        <v>10124.620000000001</v>
      </c>
      <c r="J92" s="82">
        <f t="shared" si="13"/>
        <v>2.1443615048412495E-2</v>
      </c>
      <c r="K92" s="82"/>
    </row>
    <row r="93" spans="1:11" s="19" customFormat="1" ht="54.95" customHeight="1" x14ac:dyDescent="0.85">
      <c r="A93" s="75" t="s">
        <v>256</v>
      </c>
      <c r="B93" s="81">
        <f>CNT!N253</f>
        <v>18458.87</v>
      </c>
      <c r="C93" s="81">
        <f>BPM!N60</f>
        <v>587.5</v>
      </c>
      <c r="D93" s="81">
        <f>DEP!N70</f>
        <v>577.5</v>
      </c>
      <c r="E93" s="81">
        <v>0</v>
      </c>
      <c r="F93" s="81">
        <f>'BSC (Dome)'!N70</f>
        <v>0</v>
      </c>
      <c r="G93" s="81">
        <v>0</v>
      </c>
      <c r="H93" s="81">
        <v>0</v>
      </c>
      <c r="I93" s="81">
        <f t="shared" si="12"/>
        <v>19623.87</v>
      </c>
      <c r="J93" s="82">
        <f t="shared" si="13"/>
        <v>4.1562716826912066E-2</v>
      </c>
      <c r="K93" s="82"/>
    </row>
    <row r="94" spans="1:11" s="19" customFormat="1" ht="54.95" customHeight="1" x14ac:dyDescent="0.85">
      <c r="A94" s="75" t="s">
        <v>257</v>
      </c>
      <c r="B94" s="186">
        <f>CNT!N254-(721.82)*5</f>
        <v>9822.83</v>
      </c>
      <c r="C94" s="81">
        <f>0</f>
        <v>0</v>
      </c>
      <c r="D94" s="186">
        <f>DEP!N67+(721.82)*5</f>
        <v>3609.1000000000004</v>
      </c>
      <c r="E94" s="81">
        <v>0</v>
      </c>
      <c r="F94" s="81">
        <v>0</v>
      </c>
      <c r="G94" s="81">
        <v>0</v>
      </c>
      <c r="H94" s="81">
        <v>0</v>
      </c>
      <c r="I94" s="81">
        <f t="shared" si="12"/>
        <v>13431.93</v>
      </c>
      <c r="J94" s="82">
        <f t="shared" si="13"/>
        <v>2.8448389794108148E-2</v>
      </c>
      <c r="K94" s="82"/>
    </row>
    <row r="95" spans="1:11" s="19" customFormat="1" ht="54.95" customHeight="1" x14ac:dyDescent="0.85">
      <c r="A95" s="75" t="s">
        <v>294</v>
      </c>
      <c r="B95" s="81">
        <f>CNT!N244</f>
        <v>0</v>
      </c>
      <c r="C95" s="81">
        <f>0</f>
        <v>0</v>
      </c>
      <c r="D95" s="81">
        <f>DEP!N59</f>
        <v>300</v>
      </c>
      <c r="E95" s="81">
        <v>0</v>
      </c>
      <c r="F95" s="81">
        <f>'BSC (Dome)'!N63</f>
        <v>1600</v>
      </c>
      <c r="G95" s="81">
        <v>0</v>
      </c>
      <c r="H95" s="81">
        <v>0</v>
      </c>
      <c r="I95" s="81">
        <f t="shared" si="12"/>
        <v>1900</v>
      </c>
      <c r="J95" s="82">
        <f t="shared" si="13"/>
        <v>4.0241380508091893E-3</v>
      </c>
      <c r="K95" s="82"/>
    </row>
    <row r="96" spans="1:11" s="19" customFormat="1" ht="54.95" customHeight="1" x14ac:dyDescent="0.85">
      <c r="A96" s="75" t="s">
        <v>375</v>
      </c>
      <c r="B96" s="81">
        <f>CNT!N250</f>
        <v>0</v>
      </c>
      <c r="C96" s="81">
        <v>0</v>
      </c>
      <c r="D96" s="81">
        <v>0</v>
      </c>
      <c r="E96" s="81">
        <v>0</v>
      </c>
      <c r="F96" s="81">
        <f>'BSC (Dome)'!N65</f>
        <v>10329.9</v>
      </c>
      <c r="G96" s="81">
        <v>0</v>
      </c>
      <c r="H96" s="81">
        <v>0</v>
      </c>
      <c r="I96" s="81">
        <f t="shared" si="12"/>
        <v>10329.9</v>
      </c>
      <c r="J96" s="82">
        <f t="shared" si="13"/>
        <v>2.1878391395291498E-2</v>
      </c>
      <c r="K96" s="82"/>
    </row>
    <row r="97" spans="1:33" s="19" customFormat="1" ht="54.95" customHeight="1" x14ac:dyDescent="0.85">
      <c r="A97" s="75" t="s">
        <v>258</v>
      </c>
      <c r="B97" s="81">
        <f>CNT!N256</f>
        <v>13386.65</v>
      </c>
      <c r="C97" s="81">
        <f>BPM!N69</f>
        <v>0</v>
      </c>
      <c r="D97" s="81">
        <f>DEP!N66</f>
        <v>0</v>
      </c>
      <c r="E97" s="81">
        <v>0</v>
      </c>
      <c r="F97" s="81">
        <v>0</v>
      </c>
      <c r="G97" s="81">
        <v>0</v>
      </c>
      <c r="H97" s="81">
        <v>0</v>
      </c>
      <c r="I97" s="81">
        <f t="shared" si="12"/>
        <v>13386.65</v>
      </c>
      <c r="J97" s="82">
        <f t="shared" si="13"/>
        <v>2.8352488230455178E-2</v>
      </c>
      <c r="K97" s="82"/>
    </row>
    <row r="98" spans="1:33" s="19" customFormat="1" ht="54.95" customHeight="1" x14ac:dyDescent="0.85">
      <c r="A98" s="75" t="s">
        <v>259</v>
      </c>
      <c r="B98" s="186">
        <f>CNT!N257+CNT!N268-(743.4)*5-(793.32)*5</f>
        <v>7861.9500000000007</v>
      </c>
      <c r="C98" s="186">
        <f>5*793.34</f>
        <v>3966.7000000000003</v>
      </c>
      <c r="D98" s="186">
        <f>5*743.4</f>
        <v>3717</v>
      </c>
      <c r="E98" s="81">
        <v>0</v>
      </c>
      <c r="F98" s="81">
        <v>0</v>
      </c>
      <c r="G98" s="81">
        <v>0</v>
      </c>
      <c r="H98" s="81">
        <v>0</v>
      </c>
      <c r="I98" s="81">
        <f t="shared" si="12"/>
        <v>15545.650000000001</v>
      </c>
      <c r="J98" s="82">
        <f t="shared" si="13"/>
        <v>3.2925179836611522E-2</v>
      </c>
      <c r="K98" s="82"/>
    </row>
    <row r="99" spans="1:33" s="19" customFormat="1" ht="54.95" customHeight="1" x14ac:dyDescent="0.85">
      <c r="A99" s="75" t="s">
        <v>260</v>
      </c>
      <c r="B99" s="81">
        <f>CNT!N258</f>
        <v>3295.27</v>
      </c>
      <c r="C99" s="81">
        <v>0</v>
      </c>
      <c r="D99" s="81">
        <v>0</v>
      </c>
      <c r="E99" s="81">
        <v>0</v>
      </c>
      <c r="F99" s="81">
        <v>0</v>
      </c>
      <c r="G99" s="81">
        <v>0</v>
      </c>
      <c r="H99" s="81">
        <v>0</v>
      </c>
      <c r="I99" s="81">
        <f t="shared" si="12"/>
        <v>3295.27</v>
      </c>
      <c r="J99" s="82">
        <f t="shared" si="13"/>
        <v>6.9792744182578942E-3</v>
      </c>
      <c r="K99" s="82"/>
    </row>
    <row r="100" spans="1:33" s="19" customFormat="1" ht="54.95" customHeight="1" x14ac:dyDescent="0.85">
      <c r="A100" s="75" t="s">
        <v>261</v>
      </c>
      <c r="B100" s="81">
        <f>CNT!N259</f>
        <v>8245.32</v>
      </c>
      <c r="C100" s="81">
        <v>0</v>
      </c>
      <c r="D100" s="81">
        <v>0</v>
      </c>
      <c r="E100" s="81">
        <v>0</v>
      </c>
      <c r="F100" s="81">
        <v>0</v>
      </c>
      <c r="G100" s="81">
        <v>0</v>
      </c>
      <c r="H100" s="81">
        <v>0</v>
      </c>
      <c r="I100" s="81">
        <f t="shared" si="12"/>
        <v>8245.32</v>
      </c>
      <c r="J100" s="82">
        <f t="shared" si="13"/>
        <v>1.7463318922683171E-2</v>
      </c>
      <c r="K100" s="82"/>
      <c r="AG100" s="23"/>
    </row>
    <row r="101" spans="1:33" s="19" customFormat="1" ht="54.95" customHeight="1" x14ac:dyDescent="0.85">
      <c r="A101" s="80" t="s">
        <v>263</v>
      </c>
      <c r="B101" s="83">
        <f>SUM(B81:B100)</f>
        <v>315077.45000000007</v>
      </c>
      <c r="C101" s="83">
        <f t="shared" ref="C101:H101" si="14">SUM(C81:C100)</f>
        <v>46989.14</v>
      </c>
      <c r="D101" s="83">
        <f t="shared" si="14"/>
        <v>75602.760000000009</v>
      </c>
      <c r="E101" s="83">
        <f t="shared" si="14"/>
        <v>2341.81</v>
      </c>
      <c r="F101" s="83">
        <f>SUM(F81:F100)</f>
        <v>30412.489999999998</v>
      </c>
      <c r="G101" s="83">
        <f t="shared" si="14"/>
        <v>1325</v>
      </c>
      <c r="H101" s="83">
        <f t="shared" si="14"/>
        <v>402.15</v>
      </c>
      <c r="I101" s="83">
        <f t="shared" si="12"/>
        <v>472150.8000000001</v>
      </c>
      <c r="J101" s="84">
        <f>SUM(J81:J100)</f>
        <v>0.99999999999999956</v>
      </c>
      <c r="K101" s="85"/>
      <c r="AG101" s="23"/>
    </row>
    <row r="102" spans="1:33" s="19" customFormat="1" ht="54.95" customHeight="1" x14ac:dyDescent="0.85">
      <c r="A102" s="75"/>
      <c r="B102" s="81"/>
      <c r="C102" s="81"/>
      <c r="D102" s="81"/>
      <c r="E102" s="81"/>
      <c r="F102" s="81"/>
      <c r="G102" s="81"/>
      <c r="H102" s="81"/>
      <c r="I102" s="81">
        <f t="shared" si="12"/>
        <v>0</v>
      </c>
      <c r="J102" s="75"/>
      <c r="K102" s="75"/>
      <c r="AG102" s="23"/>
    </row>
    <row r="103" spans="1:33" s="19" customFormat="1" ht="54.95" customHeight="1" thickBot="1" x14ac:dyDescent="0.9">
      <c r="A103" s="80" t="s">
        <v>264</v>
      </c>
      <c r="B103" s="86">
        <f t="shared" ref="B103:H103" si="15">B47+B72+B101</f>
        <v>2603441.9700000002</v>
      </c>
      <c r="C103" s="86">
        <f t="shared" si="15"/>
        <v>403072.33000000007</v>
      </c>
      <c r="D103" s="86">
        <f t="shared" si="15"/>
        <v>936976.22999999986</v>
      </c>
      <c r="E103" s="86">
        <f t="shared" si="15"/>
        <v>2450.81</v>
      </c>
      <c r="F103" s="86">
        <f t="shared" si="15"/>
        <v>385956.18</v>
      </c>
      <c r="G103" s="86">
        <f t="shared" si="15"/>
        <v>48101.350000000006</v>
      </c>
      <c r="H103" s="86">
        <f t="shared" si="15"/>
        <v>74416.709999999992</v>
      </c>
      <c r="I103" s="86">
        <f t="shared" si="12"/>
        <v>4454415.58</v>
      </c>
      <c r="J103" s="81">
        <f>SUM(I37:I46)+SUM(I50:I71)+SUM(I81:I100)-I103</f>
        <v>0</v>
      </c>
      <c r="K103" s="75"/>
      <c r="AG103" s="23"/>
    </row>
    <row r="104" spans="1:33" s="19" customFormat="1" ht="54.95" customHeight="1" x14ac:dyDescent="0.85">
      <c r="A104" s="75"/>
      <c r="B104" s="81"/>
      <c r="C104" s="81"/>
      <c r="D104" s="81"/>
      <c r="E104" s="81"/>
      <c r="F104" s="81"/>
      <c r="G104" s="81"/>
      <c r="H104" s="81"/>
      <c r="I104" s="81"/>
      <c r="J104" s="75"/>
      <c r="K104" s="75"/>
      <c r="AG104" s="23"/>
    </row>
    <row r="105" spans="1:33" s="19" customFormat="1" ht="54.95" customHeight="1" x14ac:dyDescent="0.85">
      <c r="A105" s="80" t="s">
        <v>462</v>
      </c>
      <c r="B105" s="81"/>
      <c r="C105" s="81"/>
      <c r="D105" s="81"/>
      <c r="E105" s="81"/>
      <c r="F105" s="81"/>
      <c r="G105" s="81"/>
      <c r="H105" s="81"/>
      <c r="I105" s="81"/>
      <c r="J105" s="75"/>
      <c r="K105" s="75"/>
      <c r="AG105" s="23"/>
    </row>
    <row r="106" spans="1:33" s="19" customFormat="1" ht="54.95" customHeight="1" x14ac:dyDescent="0.85">
      <c r="A106" s="75" t="s">
        <v>267</v>
      </c>
      <c r="B106" s="81">
        <f>CNT!N273</f>
        <v>62500</v>
      </c>
      <c r="C106" s="81">
        <v>0</v>
      </c>
      <c r="D106" s="81">
        <f>DEP!N76</f>
        <v>62500</v>
      </c>
      <c r="E106" s="81">
        <v>0</v>
      </c>
      <c r="F106" s="81">
        <f>'BSC (Dome)'!N76+'BSC (Dome)'!N77</f>
        <v>29000</v>
      </c>
      <c r="G106" s="186">
        <f>'Oliari Co.'!N21+'Oliari Co.'!N22+'Oliari Co.'!N23+(5000)*5</f>
        <v>113500</v>
      </c>
      <c r="H106" s="81">
        <f>'722 Bedford St'!N22+'722 Bedford St'!N23</f>
        <v>0</v>
      </c>
      <c r="I106" s="81">
        <f t="shared" ref="I106:I122" si="16">SUM(B106:H106)</f>
        <v>267500</v>
      </c>
      <c r="J106" s="82"/>
      <c r="K106" s="82"/>
      <c r="AG106" s="23"/>
    </row>
    <row r="107" spans="1:33" s="19" customFormat="1" ht="54.95" customHeight="1" x14ac:dyDescent="0.85">
      <c r="A107" s="75" t="s">
        <v>268</v>
      </c>
      <c r="B107" s="186">
        <f>CNT!N274-(34568.19)*5</f>
        <v>-692.20000000001164</v>
      </c>
      <c r="C107" s="81">
        <v>0</v>
      </c>
      <c r="D107" s="81">
        <v>0</v>
      </c>
      <c r="E107" s="81">
        <v>0</v>
      </c>
      <c r="F107" s="81">
        <v>0</v>
      </c>
      <c r="G107" s="81">
        <v>0</v>
      </c>
      <c r="H107" s="81">
        <v>0</v>
      </c>
      <c r="I107" s="81">
        <f t="shared" si="16"/>
        <v>-692.20000000001164</v>
      </c>
      <c r="J107" s="82"/>
      <c r="K107" s="82"/>
      <c r="AG107" s="23"/>
    </row>
    <row r="108" spans="1:33" s="19" customFormat="1" ht="54.95" customHeight="1" x14ac:dyDescent="0.85">
      <c r="A108" s="75" t="s">
        <v>326</v>
      </c>
      <c r="B108" s="81">
        <v>0</v>
      </c>
      <c r="C108" s="186">
        <f>-BPM!N73+(34568.19)*5</f>
        <v>692.20000000001164</v>
      </c>
      <c r="D108" s="81">
        <v>0</v>
      </c>
      <c r="E108" s="81">
        <v>0</v>
      </c>
      <c r="F108" s="81">
        <v>0</v>
      </c>
      <c r="G108" s="81">
        <v>0</v>
      </c>
      <c r="H108" s="81">
        <v>0</v>
      </c>
      <c r="I108" s="81">
        <f t="shared" si="16"/>
        <v>692.20000000001164</v>
      </c>
      <c r="J108" s="82"/>
      <c r="K108" s="82"/>
      <c r="AG108" s="23"/>
    </row>
    <row r="109" spans="1:33" s="19" customFormat="1" ht="54.95" customHeight="1" x14ac:dyDescent="0.85">
      <c r="A109" s="75" t="s">
        <v>386</v>
      </c>
      <c r="B109" s="81">
        <f>CNT!N275</f>
        <v>31752.38</v>
      </c>
      <c r="C109" s="81">
        <f>-BPM!N74</f>
        <v>-31752.38</v>
      </c>
      <c r="D109" s="81">
        <v>0</v>
      </c>
      <c r="E109" s="81">
        <v>0</v>
      </c>
      <c r="F109" s="81">
        <v>0</v>
      </c>
      <c r="G109" s="81">
        <v>0</v>
      </c>
      <c r="H109" s="81">
        <v>0</v>
      </c>
      <c r="I109" s="81">
        <f t="shared" si="16"/>
        <v>0</v>
      </c>
      <c r="J109" s="82"/>
      <c r="K109" s="82"/>
      <c r="AG109" s="23"/>
    </row>
    <row r="110" spans="1:33" s="19" customFormat="1" ht="54.95" customHeight="1" x14ac:dyDescent="0.85">
      <c r="A110" s="75" t="s">
        <v>269</v>
      </c>
      <c r="B110" s="81">
        <f>CNT!N276</f>
        <v>65930</v>
      </c>
      <c r="C110" s="81">
        <v>0</v>
      </c>
      <c r="D110" s="81">
        <v>0</v>
      </c>
      <c r="E110" s="81">
        <v>0</v>
      </c>
      <c r="F110" s="81">
        <v>0</v>
      </c>
      <c r="G110" s="81">
        <v>0</v>
      </c>
      <c r="H110" s="81">
        <v>0</v>
      </c>
      <c r="I110" s="81">
        <f t="shared" si="16"/>
        <v>65930</v>
      </c>
      <c r="J110" s="82"/>
      <c r="K110" s="82"/>
      <c r="AG110" s="23"/>
    </row>
    <row r="111" spans="1:33" s="19" customFormat="1" ht="54.95" customHeight="1" x14ac:dyDescent="0.85">
      <c r="A111" s="75" t="s">
        <v>270</v>
      </c>
      <c r="B111" s="81">
        <f>CNT!N277</f>
        <v>118539.97</v>
      </c>
      <c r="C111" s="81">
        <f>-BPM!N75</f>
        <v>5253.0599999999995</v>
      </c>
      <c r="D111" s="81">
        <f>DEP!N77</f>
        <v>12791.05</v>
      </c>
      <c r="E111" s="81">
        <f>Lending!N17</f>
        <v>15650.05</v>
      </c>
      <c r="F111" s="81">
        <v>0</v>
      </c>
      <c r="G111" s="81">
        <f>'Oliari Co.'!N25</f>
        <v>18277.920000000002</v>
      </c>
      <c r="H111" s="81">
        <v>0</v>
      </c>
      <c r="I111" s="81">
        <f t="shared" si="16"/>
        <v>170512.05</v>
      </c>
      <c r="J111" s="82"/>
      <c r="K111" s="82"/>
      <c r="AG111" s="23"/>
    </row>
    <row r="112" spans="1:33" s="19" customFormat="1" ht="54.95" customHeight="1" x14ac:dyDescent="0.85">
      <c r="A112" s="75" t="s">
        <v>271</v>
      </c>
      <c r="B112" s="81">
        <f>CNT!N278</f>
        <v>-76457.739999999991</v>
      </c>
      <c r="C112" s="81">
        <v>0</v>
      </c>
      <c r="D112" s="81">
        <v>0</v>
      </c>
      <c r="E112" s="81">
        <f>Lending!N18</f>
        <v>-2772.08</v>
      </c>
      <c r="F112" s="81">
        <f>'BSC (Dome)'!N79+'BSC (Dome)'!N80</f>
        <v>-48571.47</v>
      </c>
      <c r="G112" s="81">
        <f>'Oliari Co.'!N26</f>
        <v>-4304.6499999999996</v>
      </c>
      <c r="H112" s="81">
        <f>'722 Bedford St'!N26</f>
        <v>0</v>
      </c>
      <c r="I112" s="81">
        <f t="shared" si="16"/>
        <v>-132105.94</v>
      </c>
      <c r="J112" s="82"/>
      <c r="K112" s="82"/>
      <c r="AG112" s="23"/>
    </row>
    <row r="113" spans="1:33" s="19" customFormat="1" ht="54.95" customHeight="1" x14ac:dyDescent="0.85">
      <c r="A113" s="75" t="s">
        <v>272</v>
      </c>
      <c r="B113" s="81">
        <f>CNT!N279</f>
        <v>0.1</v>
      </c>
      <c r="C113" s="81">
        <v>0</v>
      </c>
      <c r="D113" s="81">
        <v>0</v>
      </c>
      <c r="E113" s="81">
        <v>0</v>
      </c>
      <c r="F113" s="81">
        <f>'BSC (Dome)'!N78</f>
        <v>1833.08</v>
      </c>
      <c r="G113" s="81">
        <f>'Oliari Co.'!N24</f>
        <v>1.01</v>
      </c>
      <c r="H113" s="81">
        <v>0</v>
      </c>
      <c r="I113" s="81">
        <f t="shared" si="16"/>
        <v>1834.1899999999998</v>
      </c>
      <c r="J113" s="82"/>
      <c r="K113" s="82"/>
      <c r="AG113" s="23"/>
    </row>
    <row r="114" spans="1:33" s="19" customFormat="1" ht="54.95" customHeight="1" x14ac:dyDescent="0.85">
      <c r="A114" s="75" t="s">
        <v>401</v>
      </c>
      <c r="B114" s="81">
        <f>CNT!N280</f>
        <v>2087.77</v>
      </c>
      <c r="C114" s="81">
        <v>0</v>
      </c>
      <c r="D114" s="81">
        <v>0</v>
      </c>
      <c r="E114" s="81">
        <v>0</v>
      </c>
      <c r="F114" s="81">
        <v>0</v>
      </c>
      <c r="G114" s="81">
        <v>0</v>
      </c>
      <c r="H114" s="81">
        <v>0</v>
      </c>
      <c r="I114" s="81">
        <f t="shared" si="16"/>
        <v>2087.77</v>
      </c>
      <c r="J114" s="82"/>
      <c r="K114" s="82"/>
      <c r="AG114" s="23"/>
    </row>
    <row r="115" spans="1:33" s="19" customFormat="1" ht="54.95" customHeight="1" x14ac:dyDescent="0.85">
      <c r="A115" s="75" t="s">
        <v>438</v>
      </c>
      <c r="B115" s="81">
        <f>CNT!N281</f>
        <v>0</v>
      </c>
      <c r="C115" s="81">
        <v>0</v>
      </c>
      <c r="D115" s="81">
        <v>0</v>
      </c>
      <c r="E115" s="81">
        <v>0</v>
      </c>
      <c r="F115" s="81">
        <v>0</v>
      </c>
      <c r="G115" s="81">
        <v>0</v>
      </c>
      <c r="H115" s="81">
        <v>0</v>
      </c>
      <c r="I115" s="81">
        <f t="shared" si="16"/>
        <v>0</v>
      </c>
      <c r="J115" s="82"/>
      <c r="K115" s="82"/>
      <c r="AG115" s="23"/>
    </row>
    <row r="116" spans="1:33" s="19" customFormat="1" ht="54.95" customHeight="1" x14ac:dyDescent="0.85">
      <c r="A116" s="75" t="s">
        <v>439</v>
      </c>
      <c r="B116" s="81">
        <f>CNT!N283</f>
        <v>0</v>
      </c>
      <c r="C116" s="81">
        <v>0</v>
      </c>
      <c r="D116" s="81">
        <v>0</v>
      </c>
      <c r="E116" s="81">
        <v>0</v>
      </c>
      <c r="F116" s="81">
        <v>0</v>
      </c>
      <c r="G116" s="81">
        <v>0</v>
      </c>
      <c r="H116" s="81">
        <v>0</v>
      </c>
      <c r="I116" s="81">
        <f t="shared" si="16"/>
        <v>0</v>
      </c>
      <c r="J116" s="82"/>
      <c r="K116" s="82"/>
      <c r="AG116" s="23"/>
    </row>
    <row r="117" spans="1:33" s="88" customFormat="1" ht="69.95" customHeight="1" x14ac:dyDescent="1.05">
      <c r="A117" s="75" t="s">
        <v>403</v>
      </c>
      <c r="B117" s="81">
        <f>CNT!N282</f>
        <v>7848.21</v>
      </c>
      <c r="C117" s="81">
        <v>0</v>
      </c>
      <c r="D117" s="81">
        <v>0</v>
      </c>
      <c r="E117" s="81">
        <v>0</v>
      </c>
      <c r="F117" s="81">
        <v>0</v>
      </c>
      <c r="G117" s="81">
        <v>0</v>
      </c>
      <c r="H117" s="81">
        <v>0</v>
      </c>
      <c r="I117" s="81">
        <f t="shared" si="16"/>
        <v>7848.21</v>
      </c>
      <c r="J117" s="82"/>
      <c r="K117" s="82"/>
      <c r="L117" s="19"/>
      <c r="AG117" s="89"/>
    </row>
    <row r="118" spans="1:33" x14ac:dyDescent="0.85">
      <c r="A118" s="75" t="s">
        <v>539</v>
      </c>
      <c r="B118" s="81">
        <v>0</v>
      </c>
      <c r="C118" s="81">
        <v>0</v>
      </c>
      <c r="D118" s="81">
        <v>0</v>
      </c>
      <c r="E118" s="81">
        <v>0</v>
      </c>
      <c r="F118" s="81">
        <v>0</v>
      </c>
      <c r="G118" s="81">
        <v>0</v>
      </c>
      <c r="H118" s="81">
        <v>0</v>
      </c>
      <c r="I118" s="81">
        <f t="shared" si="16"/>
        <v>0</v>
      </c>
      <c r="J118" s="82"/>
      <c r="K118" s="82"/>
      <c r="L118" s="19"/>
    </row>
    <row r="119" spans="1:33" s="93" customFormat="1" x14ac:dyDescent="0.85">
      <c r="A119" s="75" t="s">
        <v>449</v>
      </c>
      <c r="B119" s="81">
        <f>CNT!N284</f>
        <v>0</v>
      </c>
      <c r="C119" s="81">
        <v>0</v>
      </c>
      <c r="D119" s="81">
        <v>0</v>
      </c>
      <c r="E119" s="81">
        <v>0</v>
      </c>
      <c r="F119" s="81">
        <v>0</v>
      </c>
      <c r="G119" s="81">
        <v>0</v>
      </c>
      <c r="H119" s="81">
        <v>0</v>
      </c>
      <c r="I119" s="81">
        <f t="shared" si="16"/>
        <v>0</v>
      </c>
      <c r="J119" s="82"/>
      <c r="K119" s="82"/>
      <c r="L119" s="19"/>
    </row>
    <row r="120" spans="1:33" s="93" customFormat="1" x14ac:dyDescent="0.85">
      <c r="A120" s="80" t="s">
        <v>463</v>
      </c>
      <c r="B120" s="83">
        <f t="shared" ref="B120:I120" si="17">SUM(B106:B119)</f>
        <v>211508.49000000002</v>
      </c>
      <c r="C120" s="83">
        <f t="shared" si="17"/>
        <v>-25807.119999999988</v>
      </c>
      <c r="D120" s="83">
        <f t="shared" si="17"/>
        <v>75291.05</v>
      </c>
      <c r="E120" s="83">
        <f t="shared" si="17"/>
        <v>12877.97</v>
      </c>
      <c r="F120" s="83">
        <f t="shared" si="17"/>
        <v>-17738.39</v>
      </c>
      <c r="G120" s="83">
        <f t="shared" si="17"/>
        <v>127474.28000000001</v>
      </c>
      <c r="H120" s="83">
        <f t="shared" si="17"/>
        <v>0</v>
      </c>
      <c r="I120" s="83">
        <f t="shared" si="17"/>
        <v>383606.28</v>
      </c>
      <c r="J120" s="87">
        <f>SUM(I106:I119)-I120</f>
        <v>0</v>
      </c>
      <c r="K120" s="82"/>
      <c r="L120" s="19"/>
    </row>
    <row r="121" spans="1:33" s="19" customFormat="1" ht="54.95" hidden="1" customHeight="1" x14ac:dyDescent="0.85">
      <c r="A121" s="80"/>
      <c r="B121" s="81"/>
      <c r="C121" s="81"/>
      <c r="D121" s="81"/>
      <c r="E121" s="81"/>
      <c r="F121" s="81"/>
      <c r="G121" s="81"/>
      <c r="H121" s="81"/>
      <c r="I121" s="81">
        <f t="shared" si="16"/>
        <v>0</v>
      </c>
      <c r="J121" s="82"/>
      <c r="K121" s="82"/>
      <c r="M121" s="113"/>
      <c r="N121" s="113"/>
      <c r="O121" s="113"/>
      <c r="P121" s="113"/>
      <c r="Q121" s="113"/>
      <c r="R121" s="113" t="s">
        <v>509</v>
      </c>
      <c r="S121" s="113"/>
      <c r="T121" s="81"/>
      <c r="U121" s="82"/>
      <c r="V121" s="75"/>
      <c r="W121" s="82"/>
      <c r="X121" s="81"/>
      <c r="Y121" s="82"/>
      <c r="Z121" s="81"/>
      <c r="AA121" s="82"/>
      <c r="AB121" s="81"/>
      <c r="AC121" s="81"/>
      <c r="AD121" s="100"/>
      <c r="AE121" s="100"/>
      <c r="AF121" s="100"/>
      <c r="AG121" s="23"/>
    </row>
    <row r="122" spans="1:33" s="19" customFormat="1" ht="54.95" hidden="1" customHeight="1" x14ac:dyDescent="1.05">
      <c r="A122" s="92" t="s">
        <v>266</v>
      </c>
      <c r="B122" s="91">
        <f t="shared" ref="B122:H122" si="18">B32-B103+B120</f>
        <v>564230.0599994848</v>
      </c>
      <c r="C122" s="91">
        <f t="shared" si="18"/>
        <v>-17261.270000004086</v>
      </c>
      <c r="D122" s="91">
        <f t="shared" si="18"/>
        <v>-57043.789999999848</v>
      </c>
      <c r="E122" s="91">
        <f t="shared" si="18"/>
        <v>10427.16</v>
      </c>
      <c r="F122" s="91">
        <f t="shared" si="18"/>
        <v>100914.39000000003</v>
      </c>
      <c r="G122" s="91">
        <f t="shared" si="18"/>
        <v>79372.930000000008</v>
      </c>
      <c r="H122" s="91">
        <f t="shared" si="18"/>
        <v>-74416.709999999992</v>
      </c>
      <c r="I122" s="91">
        <f t="shared" si="16"/>
        <v>606222.76999948092</v>
      </c>
      <c r="J122" s="90"/>
      <c r="K122" s="90"/>
      <c r="L122" s="88"/>
      <c r="M122" s="113"/>
      <c r="N122" s="113"/>
      <c r="O122" s="113"/>
      <c r="P122" s="113"/>
      <c r="Q122" s="113"/>
      <c r="R122" s="113" t="s">
        <v>511</v>
      </c>
      <c r="S122" s="113"/>
      <c r="T122" s="81"/>
      <c r="U122" s="82"/>
      <c r="V122" s="75"/>
      <c r="W122" s="82"/>
      <c r="X122" s="81"/>
      <c r="Y122" s="82"/>
      <c r="Z122" s="81"/>
      <c r="AA122" s="82"/>
      <c r="AB122" s="81"/>
      <c r="AC122" s="81"/>
      <c r="AD122" s="100"/>
      <c r="AE122" s="100"/>
      <c r="AF122" s="100"/>
      <c r="AG122" s="23"/>
    </row>
    <row r="123" spans="1:33" s="19" customFormat="1" ht="54.95" hidden="1" customHeight="1" x14ac:dyDescent="1.05">
      <c r="A123" s="80" t="s">
        <v>541</v>
      </c>
      <c r="B123" s="117">
        <f>B29</f>
        <v>0</v>
      </c>
      <c r="C123" s="117">
        <v>0</v>
      </c>
      <c r="D123" s="117">
        <v>0</v>
      </c>
      <c r="E123" s="117">
        <v>0</v>
      </c>
      <c r="F123" s="117">
        <v>0</v>
      </c>
      <c r="G123" s="117">
        <v>0</v>
      </c>
      <c r="H123" s="117">
        <v>0</v>
      </c>
      <c r="I123" s="91">
        <f>SUM(B123:H123)</f>
        <v>0</v>
      </c>
      <c r="J123" s="75"/>
      <c r="K123" s="75"/>
      <c r="L123" s="75"/>
      <c r="M123" s="113"/>
      <c r="N123" s="113"/>
      <c r="O123" s="113"/>
      <c r="P123" s="113"/>
      <c r="Q123" s="113"/>
      <c r="R123" s="113">
        <v>11000</v>
      </c>
      <c r="S123" s="113"/>
      <c r="T123" s="81"/>
      <c r="U123" s="82"/>
      <c r="V123" s="75"/>
      <c r="W123" s="82"/>
      <c r="X123" s="81"/>
      <c r="Y123" s="82"/>
      <c r="Z123" s="81"/>
      <c r="AA123" s="82"/>
      <c r="AB123" s="81"/>
      <c r="AC123" s="81"/>
      <c r="AD123" s="100"/>
      <c r="AE123" s="100"/>
      <c r="AF123" s="100"/>
      <c r="AG123" s="23"/>
    </row>
    <row r="124" spans="1:33" s="19" customFormat="1" ht="54.95" hidden="1" customHeight="1" x14ac:dyDescent="0.85">
      <c r="A124" s="80" t="s">
        <v>542</v>
      </c>
      <c r="B124" s="119">
        <f>B122+B123</f>
        <v>564230.0599994848</v>
      </c>
      <c r="C124" s="119">
        <f t="shared" ref="C124" si="19">C122+C123</f>
        <v>-17261.270000004086</v>
      </c>
      <c r="D124" s="119">
        <f t="shared" ref="D124" si="20">D122+D123</f>
        <v>-57043.789999999848</v>
      </c>
      <c r="E124" s="119">
        <f t="shared" ref="E124" si="21">E122+E123</f>
        <v>10427.16</v>
      </c>
      <c r="F124" s="119">
        <f t="shared" ref="F124" si="22">F122+F123</f>
        <v>100914.39000000003</v>
      </c>
      <c r="G124" s="119">
        <f t="shared" ref="G124" si="23">G122+G123</f>
        <v>79372.930000000008</v>
      </c>
      <c r="H124" s="119">
        <f t="shared" ref="H124" si="24">H122+H123</f>
        <v>-74416.709999999992</v>
      </c>
      <c r="I124" s="119">
        <f>I122+I123</f>
        <v>606222.76999948092</v>
      </c>
      <c r="J124" s="98"/>
      <c r="K124" s="98"/>
      <c r="L124" s="93"/>
      <c r="M124" s="113"/>
      <c r="N124" s="113"/>
      <c r="O124" s="113"/>
      <c r="P124" s="113"/>
      <c r="Q124" s="113"/>
      <c r="R124" s="113" t="s">
        <v>514</v>
      </c>
      <c r="S124" s="113"/>
      <c r="T124" s="81"/>
      <c r="U124" s="82"/>
      <c r="V124" s="75"/>
      <c r="W124" s="82"/>
      <c r="X124" s="81"/>
      <c r="Y124" s="82"/>
      <c r="Z124" s="81"/>
      <c r="AA124" s="82"/>
      <c r="AB124" s="81"/>
      <c r="AC124" s="81"/>
      <c r="AD124" s="100"/>
      <c r="AE124" s="100"/>
      <c r="AF124" s="100"/>
      <c r="AG124" s="23"/>
    </row>
    <row r="125" spans="1:33" s="19" customFormat="1" ht="54.95" hidden="1" customHeight="1" x14ac:dyDescent="0.85">
      <c r="A125" s="98"/>
      <c r="B125" s="117"/>
      <c r="C125" s="118"/>
      <c r="D125" s="118"/>
      <c r="E125" s="118"/>
      <c r="F125" s="118"/>
      <c r="G125" s="118"/>
      <c r="H125" s="118"/>
      <c r="I125" s="98"/>
      <c r="J125" s="98"/>
      <c r="K125" s="98"/>
      <c r="L125" s="93"/>
      <c r="M125" s="113"/>
      <c r="N125" s="113"/>
      <c r="O125" s="113"/>
      <c r="P125" s="113"/>
      <c r="Q125" s="113"/>
      <c r="R125" s="113" t="s">
        <v>514</v>
      </c>
      <c r="S125" s="113"/>
      <c r="T125" s="81"/>
      <c r="U125" s="82"/>
      <c r="V125" s="75"/>
      <c r="W125" s="82"/>
      <c r="X125" s="81"/>
      <c r="Y125" s="82"/>
      <c r="Z125" s="81"/>
      <c r="AA125" s="82"/>
      <c r="AB125" s="81"/>
      <c r="AC125" s="81"/>
      <c r="AD125" s="100"/>
      <c r="AE125" s="100"/>
      <c r="AF125" s="100"/>
      <c r="AG125" s="23"/>
    </row>
    <row r="126" spans="1:33" s="19" customFormat="1" ht="54.95" hidden="1" customHeight="1" x14ac:dyDescent="0.85">
      <c r="A126" s="80" t="s">
        <v>508</v>
      </c>
      <c r="B126" s="81"/>
      <c r="C126" s="81"/>
      <c r="D126" s="81"/>
      <c r="E126" s="81"/>
      <c r="F126" s="81"/>
      <c r="G126" s="81"/>
      <c r="H126" s="81"/>
      <c r="I126" s="81"/>
      <c r="J126" s="82"/>
      <c r="K126" s="82"/>
      <c r="L126" s="75"/>
      <c r="M126" s="113"/>
      <c r="N126" s="113"/>
      <c r="O126" s="113"/>
      <c r="P126" s="113"/>
      <c r="Q126" s="113"/>
      <c r="R126" s="113"/>
      <c r="S126" s="113"/>
      <c r="T126" s="81"/>
      <c r="U126" s="82"/>
      <c r="V126" s="75"/>
      <c r="W126" s="82"/>
      <c r="X126" s="81"/>
      <c r="Y126" s="82"/>
      <c r="Z126" s="81"/>
      <c r="AA126" s="82"/>
      <c r="AB126" s="81"/>
      <c r="AC126" s="81"/>
      <c r="AD126" s="100"/>
      <c r="AE126" s="100"/>
      <c r="AF126" s="100"/>
      <c r="AG126" s="23"/>
    </row>
    <row r="127" spans="1:33" s="19" customFormat="1" ht="54.95" hidden="1" customHeight="1" x14ac:dyDescent="0.85">
      <c r="A127" s="75" t="s">
        <v>510</v>
      </c>
      <c r="B127" s="81">
        <f>-54614.42-50474.14</f>
        <v>-105088.56</v>
      </c>
      <c r="C127" s="81">
        <v>50474.14</v>
      </c>
      <c r="D127" s="81">
        <v>54614.42</v>
      </c>
      <c r="E127" s="81">
        <v>0</v>
      </c>
      <c r="F127" s="81">
        <v>0</v>
      </c>
      <c r="G127" s="81">
        <v>0</v>
      </c>
      <c r="H127" s="81">
        <v>0</v>
      </c>
      <c r="I127" s="81">
        <f t="shared" ref="I127:I138" si="25">SUM(B127:H127)</f>
        <v>0</v>
      </c>
      <c r="J127" s="82"/>
      <c r="K127" s="82"/>
      <c r="L127" s="75"/>
      <c r="M127" s="113"/>
      <c r="N127" s="113"/>
      <c r="O127" s="113"/>
      <c r="P127" s="113"/>
      <c r="Q127" s="113"/>
      <c r="R127" s="113"/>
      <c r="S127" s="113"/>
      <c r="T127" s="81"/>
      <c r="U127" s="82"/>
      <c r="V127" s="75"/>
      <c r="W127" s="82"/>
      <c r="X127" s="81"/>
      <c r="Y127" s="82"/>
      <c r="Z127" s="81"/>
      <c r="AA127" s="82"/>
      <c r="AB127" s="81"/>
      <c r="AC127" s="81"/>
      <c r="AD127" s="100"/>
      <c r="AE127" s="100"/>
      <c r="AF127" s="100"/>
      <c r="AG127" s="23"/>
    </row>
    <row r="128" spans="1:33" s="19" customFormat="1" ht="54.95" hidden="1" customHeight="1" x14ac:dyDescent="0.85">
      <c r="A128" s="75" t="s">
        <v>512</v>
      </c>
      <c r="B128" s="81">
        <f>-2995.24-3272.2</f>
        <v>-6267.44</v>
      </c>
      <c r="C128" s="81">
        <v>3272.2</v>
      </c>
      <c r="D128" s="81">
        <v>2995.24</v>
      </c>
      <c r="E128" s="81">
        <v>0</v>
      </c>
      <c r="F128" s="81">
        <v>0</v>
      </c>
      <c r="G128" s="81">
        <v>0</v>
      </c>
      <c r="H128" s="81">
        <v>0</v>
      </c>
      <c r="I128" s="81">
        <f t="shared" si="25"/>
        <v>0</v>
      </c>
      <c r="J128" s="82"/>
      <c r="K128" s="82"/>
      <c r="L128" s="75"/>
      <c r="M128" s="113"/>
      <c r="N128" s="113"/>
      <c r="O128" s="113"/>
      <c r="P128" s="113"/>
      <c r="Q128" s="113"/>
      <c r="R128" s="113"/>
      <c r="S128" s="113"/>
      <c r="T128" s="81"/>
      <c r="U128" s="82"/>
      <c r="V128" s="75"/>
      <c r="W128" s="82"/>
      <c r="X128" s="81"/>
      <c r="Y128" s="82"/>
      <c r="Z128" s="81"/>
      <c r="AA128" s="82"/>
      <c r="AB128" s="81"/>
      <c r="AC128" s="81"/>
      <c r="AD128" s="100"/>
      <c r="AE128" s="100"/>
      <c r="AF128" s="100"/>
      <c r="AG128" s="23"/>
    </row>
    <row r="129" spans="1:33" s="19" customFormat="1" ht="54.95" hidden="1" customHeight="1" x14ac:dyDescent="0.85">
      <c r="A129" s="75" t="s">
        <v>513</v>
      </c>
      <c r="B129" s="81">
        <f>-5532.16-3179.07</f>
        <v>-8711.23</v>
      </c>
      <c r="C129" s="81">
        <v>3179.07</v>
      </c>
      <c r="D129" s="81">
        <v>5532.16</v>
      </c>
      <c r="E129" s="81">
        <v>0</v>
      </c>
      <c r="F129" s="81">
        <v>0</v>
      </c>
      <c r="G129" s="81">
        <v>0</v>
      </c>
      <c r="H129" s="81">
        <v>0</v>
      </c>
      <c r="I129" s="81">
        <f t="shared" si="25"/>
        <v>0</v>
      </c>
      <c r="J129" s="82"/>
      <c r="K129" s="82"/>
      <c r="L129" s="75"/>
      <c r="M129" s="113"/>
      <c r="N129" s="113"/>
      <c r="O129" s="113"/>
      <c r="P129" s="113"/>
      <c r="Q129" s="113"/>
      <c r="R129" s="113"/>
      <c r="S129" s="113"/>
      <c r="T129" s="81"/>
      <c r="U129" s="82"/>
      <c r="V129" s="75"/>
      <c r="W129" s="82"/>
      <c r="X129" s="81"/>
      <c r="Y129" s="82"/>
      <c r="Z129" s="81"/>
      <c r="AA129" s="82"/>
      <c r="AB129" s="81"/>
      <c r="AC129" s="81"/>
      <c r="AD129" s="100"/>
      <c r="AE129" s="100"/>
      <c r="AF129" s="100"/>
      <c r="AG129" s="23"/>
    </row>
    <row r="130" spans="1:33" s="19" customFormat="1" ht="54.95" hidden="1" customHeight="1" x14ac:dyDescent="0.85">
      <c r="A130" s="75" t="s">
        <v>515</v>
      </c>
      <c r="B130" s="81">
        <f>-776.68-776.63</f>
        <v>-1553.31</v>
      </c>
      <c r="C130" s="81">
        <v>776.63</v>
      </c>
      <c r="D130" s="81">
        <v>776.68</v>
      </c>
      <c r="E130" s="81">
        <v>0</v>
      </c>
      <c r="F130" s="81">
        <v>0</v>
      </c>
      <c r="G130" s="81">
        <v>0</v>
      </c>
      <c r="H130" s="81">
        <v>0</v>
      </c>
      <c r="I130" s="81">
        <f t="shared" ref="I130" si="26">SUM(B130:H130)</f>
        <v>0</v>
      </c>
      <c r="J130" s="82"/>
      <c r="K130" s="82"/>
      <c r="L130" s="75"/>
      <c r="M130" s="113"/>
      <c r="N130" s="113"/>
      <c r="O130" s="113"/>
      <c r="P130" s="113"/>
      <c r="Q130" s="113"/>
      <c r="R130" s="113"/>
      <c r="S130" s="113"/>
      <c r="T130" s="81"/>
      <c r="U130" s="82"/>
      <c r="V130" s="75"/>
      <c r="W130" s="82"/>
      <c r="X130" s="81"/>
      <c r="Y130" s="82"/>
      <c r="Z130" s="81"/>
      <c r="AA130" s="82"/>
      <c r="AB130" s="81"/>
      <c r="AC130" s="81"/>
      <c r="AD130" s="100"/>
      <c r="AE130" s="100"/>
      <c r="AF130" s="100"/>
      <c r="AG130" s="23"/>
    </row>
    <row r="131" spans="1:33" s="19" customFormat="1" ht="54.95" hidden="1" customHeight="1" x14ac:dyDescent="0.85">
      <c r="A131" s="75" t="s">
        <v>516</v>
      </c>
      <c r="B131" s="81">
        <f>-1631.57-1469.63</f>
        <v>-3101.2</v>
      </c>
      <c r="C131" s="81">
        <v>1469.63</v>
      </c>
      <c r="D131" s="81">
        <v>1631.57</v>
      </c>
      <c r="E131" s="81">
        <v>0</v>
      </c>
      <c r="F131" s="81">
        <v>0</v>
      </c>
      <c r="G131" s="81">
        <v>0</v>
      </c>
      <c r="H131" s="81">
        <v>0</v>
      </c>
      <c r="I131" s="81">
        <f t="shared" si="25"/>
        <v>2.2737367544323206E-13</v>
      </c>
      <c r="J131" s="82"/>
      <c r="K131" s="82"/>
      <c r="L131" s="75"/>
      <c r="M131" s="113"/>
      <c r="N131" s="113"/>
      <c r="O131" s="113"/>
      <c r="P131" s="113"/>
      <c r="Q131" s="113"/>
      <c r="R131" s="113"/>
      <c r="S131" s="113"/>
      <c r="T131" s="81"/>
      <c r="U131" s="82"/>
      <c r="V131" s="75"/>
      <c r="W131" s="82"/>
      <c r="X131" s="81"/>
      <c r="Y131" s="82"/>
      <c r="Z131" s="81"/>
      <c r="AA131" s="82"/>
      <c r="AB131" s="81"/>
      <c r="AC131" s="81"/>
      <c r="AD131" s="100"/>
      <c r="AE131" s="100"/>
      <c r="AF131" s="100"/>
      <c r="AG131" s="23"/>
    </row>
    <row r="132" spans="1:33" s="19" customFormat="1" ht="54.95" hidden="1" customHeight="1" x14ac:dyDescent="0.85">
      <c r="A132" s="75" t="s">
        <v>517</v>
      </c>
      <c r="B132" s="81">
        <f>-500+-1250</f>
        <v>-1750</v>
      </c>
      <c r="C132" s="81">
        <v>500</v>
      </c>
      <c r="D132" s="81">
        <v>1250</v>
      </c>
      <c r="E132" s="81">
        <v>0</v>
      </c>
      <c r="F132" s="81">
        <v>0</v>
      </c>
      <c r="G132" s="81">
        <v>0</v>
      </c>
      <c r="H132" s="81">
        <v>0</v>
      </c>
      <c r="I132" s="81">
        <f t="shared" si="25"/>
        <v>0</v>
      </c>
      <c r="J132" s="95"/>
      <c r="K132" s="82"/>
      <c r="L132" s="75"/>
      <c r="M132" s="113"/>
      <c r="N132" s="113"/>
      <c r="O132" s="113"/>
      <c r="P132" s="113"/>
      <c r="Q132" s="113"/>
      <c r="R132" s="113"/>
      <c r="S132" s="113"/>
      <c r="T132" s="81"/>
      <c r="U132" s="82"/>
      <c r="V132" s="75"/>
      <c r="W132" s="82"/>
      <c r="X132" s="81"/>
      <c r="Y132" s="82"/>
      <c r="Z132" s="81"/>
      <c r="AA132" s="82"/>
      <c r="AB132" s="81"/>
      <c r="AC132" s="81"/>
      <c r="AD132" s="100"/>
      <c r="AE132" s="100"/>
      <c r="AF132" s="100"/>
      <c r="AG132" s="23"/>
    </row>
    <row r="133" spans="1:33" s="19" customFormat="1" ht="54.95" hidden="1" customHeight="1" x14ac:dyDescent="0.85">
      <c r="A133" s="75" t="s">
        <v>518</v>
      </c>
      <c r="B133" s="81">
        <f>-10402.9*0.15</f>
        <v>-1560.4349999999999</v>
      </c>
      <c r="C133" s="81">
        <f>10402.9*0.15</f>
        <v>1560.4349999999999</v>
      </c>
      <c r="D133" s="81">
        <v>0</v>
      </c>
      <c r="E133" s="81">
        <v>0</v>
      </c>
      <c r="F133" s="81">
        <v>0</v>
      </c>
      <c r="G133" s="81">
        <v>0</v>
      </c>
      <c r="H133" s="81">
        <v>0</v>
      </c>
      <c r="I133" s="81">
        <f t="shared" si="25"/>
        <v>0</v>
      </c>
      <c r="J133" s="96">
        <f>[2]CNT!K250</f>
        <v>1991.67</v>
      </c>
      <c r="K133" s="82"/>
      <c r="L133" s="75"/>
      <c r="M133" s="113"/>
      <c r="N133" s="113"/>
      <c r="O133" s="113"/>
      <c r="P133" s="113"/>
      <c r="Q133" s="113"/>
      <c r="R133" s="113"/>
      <c r="S133" s="113"/>
      <c r="T133" s="81"/>
      <c r="U133" s="82"/>
      <c r="V133" s="75"/>
      <c r="W133" s="82"/>
      <c r="X133" s="81"/>
      <c r="Y133" s="82"/>
      <c r="Z133" s="81"/>
      <c r="AA133" s="82"/>
      <c r="AB133" s="81"/>
      <c r="AC133" s="81"/>
      <c r="AD133" s="100"/>
      <c r="AE133" s="100"/>
      <c r="AF133" s="100"/>
      <c r="AG133" s="23"/>
    </row>
    <row r="134" spans="1:33" s="19" customFormat="1" ht="54.95" hidden="1" customHeight="1" x14ac:dyDescent="0.85">
      <c r="A134" s="75" t="s">
        <v>519</v>
      </c>
      <c r="B134" s="81">
        <f>-4404.67*0.1</f>
        <v>-440.46700000000004</v>
      </c>
      <c r="C134" s="81">
        <f>4404.67*0.1</f>
        <v>440.46700000000004</v>
      </c>
      <c r="D134" s="81">
        <v>0</v>
      </c>
      <c r="E134" s="81">
        <v>0</v>
      </c>
      <c r="F134" s="81">
        <v>0</v>
      </c>
      <c r="G134" s="81">
        <v>0</v>
      </c>
      <c r="H134" s="81">
        <v>0</v>
      </c>
      <c r="I134" s="81">
        <f t="shared" si="25"/>
        <v>0</v>
      </c>
      <c r="J134" s="96">
        <f>[2]CNT!K224</f>
        <v>1547.72</v>
      </c>
      <c r="K134" s="82"/>
      <c r="L134" s="75"/>
      <c r="M134" s="113"/>
      <c r="N134" s="113"/>
      <c r="O134" s="113"/>
      <c r="P134" s="113"/>
      <c r="Q134" s="113"/>
      <c r="R134" s="113"/>
      <c r="S134" s="113"/>
      <c r="T134" s="81"/>
      <c r="U134" s="82"/>
      <c r="V134" s="75"/>
      <c r="W134" s="82"/>
      <c r="X134" s="81"/>
      <c r="Y134" s="82"/>
      <c r="Z134" s="81"/>
      <c r="AA134" s="82"/>
      <c r="AB134" s="81"/>
      <c r="AC134" s="81"/>
      <c r="AD134" s="100"/>
      <c r="AE134" s="100"/>
      <c r="AF134" s="100"/>
      <c r="AG134" s="23"/>
    </row>
    <row r="135" spans="1:33" s="19" customFormat="1" ht="54.95" hidden="1" customHeight="1" x14ac:dyDescent="0.85">
      <c r="A135" s="75" t="s">
        <v>520</v>
      </c>
      <c r="B135" s="81">
        <f>-1351.56*0.15</f>
        <v>-202.73399999999998</v>
      </c>
      <c r="C135" s="81">
        <f>1351.56*0.15</f>
        <v>202.73399999999998</v>
      </c>
      <c r="D135" s="81">
        <v>0</v>
      </c>
      <c r="E135" s="81">
        <v>0</v>
      </c>
      <c r="F135" s="81">
        <v>0</v>
      </c>
      <c r="G135" s="81">
        <v>0</v>
      </c>
      <c r="H135" s="81">
        <v>0</v>
      </c>
      <c r="I135" s="81">
        <f t="shared" si="25"/>
        <v>0</v>
      </c>
      <c r="J135" s="96">
        <f>[2]CNT!K246</f>
        <v>1749.68</v>
      </c>
      <c r="K135" s="82"/>
      <c r="L135" s="75"/>
      <c r="M135" s="113"/>
      <c r="N135" s="113"/>
      <c r="O135" s="113"/>
      <c r="P135" s="113"/>
      <c r="Q135" s="113"/>
      <c r="R135" s="113"/>
      <c r="S135" s="113"/>
      <c r="T135" s="81"/>
      <c r="U135" s="82"/>
      <c r="V135" s="75"/>
      <c r="W135" s="82"/>
      <c r="X135" s="81"/>
      <c r="Y135" s="82"/>
      <c r="Z135" s="81"/>
      <c r="AA135" s="82"/>
      <c r="AB135" s="81"/>
      <c r="AC135" s="81"/>
      <c r="AD135" s="100"/>
      <c r="AE135" s="100"/>
      <c r="AF135" s="100"/>
      <c r="AG135" s="23"/>
    </row>
    <row r="136" spans="1:33" s="19" customFormat="1" ht="54.95" hidden="1" customHeight="1" x14ac:dyDescent="0.85">
      <c r="A136" s="75" t="s">
        <v>521</v>
      </c>
      <c r="B136" s="81">
        <f>-11873.59*0.2</f>
        <v>-2374.7180000000003</v>
      </c>
      <c r="C136" s="81">
        <f>11873.59*0.1</f>
        <v>1187.3590000000002</v>
      </c>
      <c r="D136" s="81">
        <f>11873.59*0.1</f>
        <v>1187.3590000000002</v>
      </c>
      <c r="E136" s="81">
        <v>0</v>
      </c>
      <c r="F136" s="81">
        <v>0</v>
      </c>
      <c r="G136" s="81">
        <v>0</v>
      </c>
      <c r="H136" s="81">
        <v>0</v>
      </c>
      <c r="I136" s="81">
        <f t="shared" si="25"/>
        <v>0</v>
      </c>
      <c r="J136" s="96">
        <f>[2]CNT!K257</f>
        <v>7500</v>
      </c>
      <c r="K136" s="82"/>
      <c r="L136" s="75"/>
      <c r="M136" s="113"/>
      <c r="N136" s="113"/>
      <c r="O136" s="113"/>
      <c r="P136" s="113"/>
      <c r="Q136" s="113"/>
      <c r="R136" s="113"/>
      <c r="S136" s="113"/>
      <c r="T136" s="81"/>
      <c r="U136" s="82"/>
      <c r="V136" s="75"/>
      <c r="W136" s="82"/>
      <c r="X136" s="81"/>
      <c r="Y136" s="82"/>
      <c r="Z136" s="81"/>
      <c r="AA136" s="82"/>
      <c r="AB136" s="81"/>
      <c r="AC136" s="81"/>
      <c r="AD136" s="100"/>
      <c r="AE136" s="100"/>
      <c r="AF136" s="100"/>
      <c r="AG136" s="23"/>
    </row>
    <row r="137" spans="1:33" s="19" customFormat="1" ht="54.95" hidden="1" customHeight="1" x14ac:dyDescent="0.85">
      <c r="A137" s="75" t="s">
        <v>522</v>
      </c>
      <c r="B137" s="81">
        <f>-652.5*0.35</f>
        <v>-228.37499999999997</v>
      </c>
      <c r="C137" s="81">
        <f>652.5*0.1</f>
        <v>65.25</v>
      </c>
      <c r="D137" s="81">
        <f>652.5*0.25</f>
        <v>163.125</v>
      </c>
      <c r="E137" s="81">
        <v>0</v>
      </c>
      <c r="F137" s="81">
        <v>0</v>
      </c>
      <c r="G137" s="81">
        <v>0</v>
      </c>
      <c r="H137" s="81">
        <v>0</v>
      </c>
      <c r="I137" s="81">
        <f t="shared" si="25"/>
        <v>2.8421709430404007E-14</v>
      </c>
      <c r="J137" s="96">
        <f>[2]CNT!K260</f>
        <v>0</v>
      </c>
      <c r="K137" s="82"/>
      <c r="L137" s="75"/>
      <c r="M137" s="113"/>
      <c r="N137" s="113"/>
      <c r="O137" s="113"/>
      <c r="P137" s="113"/>
      <c r="Q137" s="113"/>
      <c r="R137" s="113"/>
      <c r="S137" s="113"/>
      <c r="T137" s="81"/>
      <c r="U137" s="82"/>
      <c r="V137" s="75"/>
      <c r="W137" s="82"/>
      <c r="X137" s="81"/>
      <c r="Y137" s="82"/>
      <c r="Z137" s="81"/>
      <c r="AA137" s="82"/>
      <c r="AB137" s="81"/>
      <c r="AC137" s="81"/>
      <c r="AD137" s="100"/>
      <c r="AE137" s="100"/>
      <c r="AF137" s="100"/>
      <c r="AG137" s="23"/>
    </row>
    <row r="138" spans="1:33" s="19" customFormat="1" ht="54.95" hidden="1" customHeight="1" x14ac:dyDescent="0.85">
      <c r="A138" s="75" t="s">
        <v>523</v>
      </c>
      <c r="B138" s="81">
        <v>-11370.73</v>
      </c>
      <c r="C138" s="81">
        <v>0</v>
      </c>
      <c r="D138" s="81">
        <v>11370.73</v>
      </c>
      <c r="E138" s="81">
        <v>0</v>
      </c>
      <c r="F138" s="81">
        <v>0</v>
      </c>
      <c r="G138" s="81">
        <v>0</v>
      </c>
      <c r="H138" s="81">
        <v>0</v>
      </c>
      <c r="I138" s="81">
        <f t="shared" si="25"/>
        <v>0</v>
      </c>
      <c r="J138" s="96" t="s">
        <v>524</v>
      </c>
      <c r="K138" s="82"/>
      <c r="L138" s="75"/>
      <c r="M138" s="113"/>
      <c r="N138" s="113"/>
      <c r="O138" s="113"/>
      <c r="P138" s="113"/>
      <c r="Q138" s="113"/>
      <c r="R138" s="113"/>
      <c r="S138" s="113"/>
      <c r="T138" s="81"/>
      <c r="U138" s="82"/>
      <c r="V138" s="75"/>
      <c r="W138" s="82"/>
      <c r="X138" s="81"/>
      <c r="Y138" s="82"/>
      <c r="Z138" s="81"/>
      <c r="AA138" s="82"/>
      <c r="AB138" s="81"/>
      <c r="AC138" s="81"/>
      <c r="AD138" s="100"/>
      <c r="AE138" s="100"/>
      <c r="AF138" s="100"/>
      <c r="AG138" s="23"/>
    </row>
    <row r="139" spans="1:33" s="19" customFormat="1" ht="54.95" hidden="1" customHeight="1" x14ac:dyDescent="0.85">
      <c r="A139" s="80" t="s">
        <v>525</v>
      </c>
      <c r="B139" s="83">
        <f t="shared" ref="B139:I139" si="27">SUM(B127:B138)</f>
        <v>-142649.19899999999</v>
      </c>
      <c r="C139" s="83">
        <f t="shared" si="27"/>
        <v>63127.914999999979</v>
      </c>
      <c r="D139" s="83">
        <f t="shared" si="27"/>
        <v>79521.283999999985</v>
      </c>
      <c r="E139" s="81">
        <f t="shared" si="27"/>
        <v>0</v>
      </c>
      <c r="F139" s="81">
        <f t="shared" si="27"/>
        <v>0</v>
      </c>
      <c r="G139" s="81">
        <f t="shared" si="27"/>
        <v>0</v>
      </c>
      <c r="H139" s="81">
        <f t="shared" si="27"/>
        <v>0</v>
      </c>
      <c r="I139" s="81">
        <f t="shared" si="27"/>
        <v>2.5579538487363607E-13</v>
      </c>
      <c r="J139" s="82"/>
      <c r="K139" s="82"/>
      <c r="L139" s="75"/>
      <c r="M139" s="113"/>
      <c r="N139" s="113"/>
      <c r="O139" s="113"/>
      <c r="P139" s="113"/>
      <c r="Q139" s="113"/>
      <c r="R139" s="113"/>
      <c r="S139" s="113"/>
      <c r="T139" s="81"/>
      <c r="U139" s="82"/>
      <c r="V139" s="75"/>
      <c r="W139" s="82"/>
      <c r="X139" s="81"/>
      <c r="Y139" s="82"/>
      <c r="Z139" s="81"/>
      <c r="AA139" s="82"/>
      <c r="AB139" s="81"/>
      <c r="AC139" s="81"/>
      <c r="AD139" s="100"/>
      <c r="AE139" s="100"/>
      <c r="AF139" s="100"/>
      <c r="AG139" s="23"/>
    </row>
    <row r="140" spans="1:33" s="19" customFormat="1" ht="54.95" hidden="1" customHeight="1" x14ac:dyDescent="0.85">
      <c r="A140" s="75"/>
      <c r="B140" s="81"/>
      <c r="C140" s="81"/>
      <c r="D140" s="81"/>
      <c r="E140" s="81"/>
      <c r="F140" s="81"/>
      <c r="G140" s="81"/>
      <c r="H140" s="81"/>
      <c r="I140" s="81"/>
      <c r="J140" s="82"/>
      <c r="K140" s="82"/>
      <c r="L140" s="75"/>
      <c r="M140" s="113"/>
      <c r="N140" s="113"/>
      <c r="O140" s="113"/>
      <c r="P140" s="113"/>
      <c r="Q140" s="113"/>
      <c r="R140" s="113"/>
      <c r="S140" s="113"/>
      <c r="T140" s="81"/>
      <c r="U140" s="82"/>
      <c r="V140" s="75"/>
      <c r="W140" s="82"/>
      <c r="X140" s="81"/>
      <c r="Y140" s="82"/>
      <c r="Z140" s="81"/>
      <c r="AA140" s="82"/>
      <c r="AB140" s="81"/>
      <c r="AC140" s="81"/>
      <c r="AD140" s="100"/>
      <c r="AE140" s="100"/>
      <c r="AF140" s="100"/>
      <c r="AG140" s="23"/>
    </row>
    <row r="141" spans="1:33" s="19" customFormat="1" ht="54.95" hidden="1" customHeight="1" x14ac:dyDescent="0.85">
      <c r="A141" s="80" t="s">
        <v>526</v>
      </c>
      <c r="B141" s="81"/>
      <c r="C141" s="81"/>
      <c r="D141" s="81"/>
      <c r="E141" s="81"/>
      <c r="F141" s="81"/>
      <c r="G141" s="81"/>
      <c r="H141" s="81"/>
      <c r="I141" s="81"/>
      <c r="J141" s="82"/>
      <c r="K141" s="82"/>
      <c r="L141" s="75"/>
      <c r="M141" s="113"/>
      <c r="N141" s="113"/>
      <c r="O141" s="113"/>
      <c r="P141" s="113"/>
      <c r="Q141" s="113"/>
      <c r="R141" s="113"/>
      <c r="S141" s="113"/>
      <c r="T141" s="81"/>
      <c r="U141" s="82"/>
      <c r="V141" s="75"/>
      <c r="W141" s="82"/>
      <c r="X141" s="81"/>
      <c r="Y141" s="82"/>
      <c r="Z141" s="81"/>
      <c r="AA141" s="82"/>
      <c r="AB141" s="81"/>
      <c r="AC141" s="81"/>
      <c r="AD141" s="100"/>
      <c r="AE141" s="100"/>
      <c r="AF141" s="100"/>
      <c r="AG141" s="23"/>
    </row>
    <row r="142" spans="1:33" hidden="1" x14ac:dyDescent="0.85">
      <c r="A142" s="75" t="s">
        <v>527</v>
      </c>
      <c r="B142" s="81">
        <f>-25495.05-26333.26</f>
        <v>-51828.31</v>
      </c>
      <c r="C142" s="81">
        <v>26333.26</v>
      </c>
      <c r="D142" s="81">
        <v>25495.05</v>
      </c>
      <c r="E142" s="81"/>
      <c r="F142" s="81"/>
      <c r="G142" s="81"/>
      <c r="H142" s="81"/>
      <c r="I142" s="81"/>
      <c r="J142" s="82"/>
      <c r="K142" s="82"/>
    </row>
    <row r="143" spans="1:33" hidden="1" x14ac:dyDescent="0.85">
      <c r="A143" s="75" t="s">
        <v>528</v>
      </c>
      <c r="B143" s="81">
        <f>-1490.06-1702.61</f>
        <v>-3192.67</v>
      </c>
      <c r="C143" s="81">
        <v>1702.61</v>
      </c>
      <c r="D143" s="81">
        <v>1490.06</v>
      </c>
      <c r="E143" s="81"/>
      <c r="F143" s="81"/>
      <c r="G143" s="81"/>
      <c r="H143" s="81"/>
      <c r="I143" s="81"/>
      <c r="J143" s="82"/>
      <c r="K143" s="82"/>
    </row>
    <row r="144" spans="1:33" hidden="1" x14ac:dyDescent="0.85">
      <c r="A144" s="80" t="s">
        <v>529</v>
      </c>
      <c r="B144" s="83">
        <f>SUM(B142:B143)</f>
        <v>-55020.979999999996</v>
      </c>
      <c r="C144" s="83">
        <f t="shared" ref="C144:D144" si="28">SUM(C142:C143)</f>
        <v>28035.87</v>
      </c>
      <c r="D144" s="83">
        <f t="shared" si="28"/>
        <v>26985.11</v>
      </c>
      <c r="E144" s="81"/>
      <c r="F144" s="81"/>
      <c r="G144" s="81"/>
      <c r="H144" s="81"/>
      <c r="I144" s="81"/>
      <c r="J144" s="82"/>
      <c r="K144" s="82"/>
    </row>
    <row r="145" spans="1:11" ht="69.75" hidden="1" customHeight="1" x14ac:dyDescent="0.85">
      <c r="B145" s="81"/>
      <c r="C145" s="81"/>
      <c r="D145" s="81"/>
      <c r="E145" s="81"/>
      <c r="F145" s="81"/>
      <c r="G145" s="81"/>
      <c r="H145" s="81"/>
      <c r="I145" s="81">
        <f>SUM(B145:H145)</f>
        <v>0</v>
      </c>
      <c r="J145" s="82"/>
      <c r="K145" s="82"/>
    </row>
    <row r="146" spans="1:11" ht="69.75" hidden="1" customHeight="1" x14ac:dyDescent="0.85">
      <c r="B146" s="81"/>
      <c r="C146" s="81"/>
      <c r="D146" s="81"/>
      <c r="E146" s="81"/>
      <c r="F146" s="81"/>
      <c r="G146" s="81"/>
      <c r="H146" s="81"/>
      <c r="I146" s="81"/>
      <c r="J146" s="82"/>
      <c r="K146" s="82"/>
    </row>
    <row r="147" spans="1:11" ht="69.75" hidden="1" customHeight="1" x14ac:dyDescent="0.85"/>
    <row r="148" spans="1:11" ht="69.75" hidden="1" customHeight="1" x14ac:dyDescent="0.85"/>
    <row r="149" spans="1:11" ht="69.75" hidden="1" customHeight="1" x14ac:dyDescent="0.85">
      <c r="A149" s="97" t="s">
        <v>531</v>
      </c>
    </row>
    <row r="150" spans="1:11" ht="69.75" hidden="1" customHeight="1" x14ac:dyDescent="0.85">
      <c r="A150" s="75" t="s">
        <v>490</v>
      </c>
      <c r="B150" s="98">
        <f t="shared" ref="B150:D161" si="29">B127</f>
        <v>-105088.56</v>
      </c>
      <c r="C150" s="98">
        <f t="shared" si="29"/>
        <v>50474.14</v>
      </c>
      <c r="D150" s="98">
        <f t="shared" si="29"/>
        <v>54614.42</v>
      </c>
      <c r="E150" s="98">
        <v>0</v>
      </c>
      <c r="F150" s="98">
        <v>0</v>
      </c>
      <c r="G150" s="98">
        <v>0</v>
      </c>
      <c r="H150" s="98">
        <v>0</v>
      </c>
      <c r="I150" s="81">
        <f>SUM(B150:H150)</f>
        <v>0</v>
      </c>
    </row>
    <row r="151" spans="1:11" ht="69.75" hidden="1" customHeight="1" x14ac:dyDescent="0.85">
      <c r="A151" s="75" t="s">
        <v>491</v>
      </c>
      <c r="B151" s="98">
        <f t="shared" si="29"/>
        <v>-6267.44</v>
      </c>
      <c r="C151" s="98">
        <f t="shared" si="29"/>
        <v>3272.2</v>
      </c>
      <c r="D151" s="98">
        <f t="shared" si="29"/>
        <v>2995.24</v>
      </c>
      <c r="E151" s="98">
        <v>0</v>
      </c>
      <c r="F151" s="98">
        <v>0</v>
      </c>
      <c r="G151" s="98">
        <v>0</v>
      </c>
      <c r="H151" s="98">
        <v>0</v>
      </c>
      <c r="I151" s="81">
        <f t="shared" ref="I151:I162" si="30">SUM(B151:H151)</f>
        <v>0</v>
      </c>
    </row>
    <row r="152" spans="1:11" ht="69.75" hidden="1" customHeight="1" x14ac:dyDescent="0.85">
      <c r="A152" s="75" t="s">
        <v>492</v>
      </c>
      <c r="B152" s="98">
        <f t="shared" si="29"/>
        <v>-8711.23</v>
      </c>
      <c r="C152" s="98">
        <f t="shared" si="29"/>
        <v>3179.07</v>
      </c>
      <c r="D152" s="98">
        <f t="shared" si="29"/>
        <v>5532.16</v>
      </c>
      <c r="E152" s="98">
        <v>0</v>
      </c>
      <c r="F152" s="98">
        <v>0</v>
      </c>
      <c r="G152" s="98">
        <v>0</v>
      </c>
      <c r="H152" s="98">
        <v>0</v>
      </c>
      <c r="I152" s="81">
        <f t="shared" si="30"/>
        <v>0</v>
      </c>
    </row>
    <row r="153" spans="1:11" ht="69.75" hidden="1" customHeight="1" x14ac:dyDescent="0.85">
      <c r="A153" s="75" t="s">
        <v>493</v>
      </c>
      <c r="B153" s="98">
        <f t="shared" si="29"/>
        <v>-1553.31</v>
      </c>
      <c r="C153" s="98">
        <f t="shared" si="29"/>
        <v>776.63</v>
      </c>
      <c r="D153" s="98">
        <f t="shared" si="29"/>
        <v>776.68</v>
      </c>
      <c r="E153" s="98">
        <v>0</v>
      </c>
      <c r="F153" s="98">
        <v>0</v>
      </c>
      <c r="G153" s="98">
        <v>0</v>
      </c>
      <c r="H153" s="98">
        <v>0</v>
      </c>
      <c r="I153" s="81">
        <f t="shared" si="30"/>
        <v>0</v>
      </c>
    </row>
    <row r="154" spans="1:11" ht="69.75" hidden="1" customHeight="1" x14ac:dyDescent="0.85">
      <c r="A154" s="75" t="s">
        <v>494</v>
      </c>
      <c r="B154" s="98">
        <f t="shared" si="29"/>
        <v>-3101.2</v>
      </c>
      <c r="C154" s="98">
        <f t="shared" si="29"/>
        <v>1469.63</v>
      </c>
      <c r="D154" s="98">
        <f t="shared" si="29"/>
        <v>1631.57</v>
      </c>
      <c r="E154" s="98">
        <v>0</v>
      </c>
      <c r="F154" s="98">
        <v>0</v>
      </c>
      <c r="G154" s="98">
        <v>0</v>
      </c>
      <c r="H154" s="98">
        <v>0</v>
      </c>
      <c r="I154" s="81">
        <f t="shared" si="30"/>
        <v>2.2737367544323206E-13</v>
      </c>
    </row>
    <row r="155" spans="1:11" ht="69.75" hidden="1" customHeight="1" x14ac:dyDescent="0.85">
      <c r="A155" s="75" t="s">
        <v>495</v>
      </c>
      <c r="B155" s="98">
        <f t="shared" si="29"/>
        <v>-1750</v>
      </c>
      <c r="C155" s="98">
        <f t="shared" si="29"/>
        <v>500</v>
      </c>
      <c r="D155" s="98">
        <f t="shared" si="29"/>
        <v>1250</v>
      </c>
      <c r="E155" s="98">
        <v>0</v>
      </c>
      <c r="F155" s="98">
        <v>0</v>
      </c>
      <c r="G155" s="98">
        <v>0</v>
      </c>
      <c r="H155" s="98">
        <v>0</v>
      </c>
      <c r="I155" s="81">
        <f t="shared" si="30"/>
        <v>0</v>
      </c>
    </row>
    <row r="156" spans="1:11" ht="69.75" hidden="1" customHeight="1" x14ac:dyDescent="0.85">
      <c r="A156" s="75" t="s">
        <v>496</v>
      </c>
      <c r="B156" s="98">
        <f t="shared" si="29"/>
        <v>-1560.4349999999999</v>
      </c>
      <c r="C156" s="98">
        <f t="shared" si="29"/>
        <v>1560.4349999999999</v>
      </c>
      <c r="D156" s="98">
        <f t="shared" si="29"/>
        <v>0</v>
      </c>
      <c r="E156" s="98">
        <v>0</v>
      </c>
      <c r="F156" s="98">
        <v>0</v>
      </c>
      <c r="G156" s="98">
        <v>0</v>
      </c>
      <c r="H156" s="98">
        <v>0</v>
      </c>
      <c r="I156" s="81">
        <f t="shared" si="30"/>
        <v>0</v>
      </c>
    </row>
    <row r="157" spans="1:11" ht="69.75" hidden="1" customHeight="1" thickBot="1" x14ac:dyDescent="0.9">
      <c r="A157" s="75" t="s">
        <v>497</v>
      </c>
      <c r="B157" s="98">
        <f t="shared" si="29"/>
        <v>-440.46700000000004</v>
      </c>
      <c r="C157" s="98">
        <f t="shared" si="29"/>
        <v>440.46700000000004</v>
      </c>
      <c r="D157" s="98">
        <f t="shared" si="29"/>
        <v>0</v>
      </c>
      <c r="E157" s="98">
        <v>0</v>
      </c>
      <c r="F157" s="98">
        <v>0</v>
      </c>
      <c r="G157" s="98">
        <v>0</v>
      </c>
      <c r="H157" s="98">
        <v>0</v>
      </c>
      <c r="I157" s="81">
        <f t="shared" si="30"/>
        <v>0</v>
      </c>
    </row>
    <row r="158" spans="1:11" ht="69.75" hidden="1" customHeight="1" thickTop="1" x14ac:dyDescent="0.85">
      <c r="A158" s="75" t="s">
        <v>498</v>
      </c>
      <c r="B158" s="98">
        <f t="shared" si="29"/>
        <v>-202.73399999999998</v>
      </c>
      <c r="C158" s="98">
        <f t="shared" si="29"/>
        <v>202.73399999999998</v>
      </c>
      <c r="D158" s="98">
        <f t="shared" si="29"/>
        <v>0</v>
      </c>
      <c r="E158" s="98">
        <v>0</v>
      </c>
      <c r="F158" s="98">
        <v>0</v>
      </c>
      <c r="G158" s="98">
        <v>0</v>
      </c>
      <c r="H158" s="98">
        <v>0</v>
      </c>
      <c r="I158" s="81">
        <f t="shared" si="30"/>
        <v>0</v>
      </c>
    </row>
    <row r="159" spans="1:11" ht="69.75" hidden="1" customHeight="1" x14ac:dyDescent="0.85">
      <c r="A159" s="75" t="s">
        <v>499</v>
      </c>
      <c r="B159" s="98">
        <f t="shared" si="29"/>
        <v>-2374.7180000000003</v>
      </c>
      <c r="C159" s="98">
        <f t="shared" si="29"/>
        <v>1187.3590000000002</v>
      </c>
      <c r="D159" s="98">
        <f t="shared" si="29"/>
        <v>1187.3590000000002</v>
      </c>
      <c r="E159" s="98">
        <f>E136</f>
        <v>0</v>
      </c>
      <c r="F159" s="98">
        <v>0</v>
      </c>
      <c r="G159" s="98">
        <v>0</v>
      </c>
      <c r="H159" s="98">
        <v>0</v>
      </c>
      <c r="I159" s="81">
        <f t="shared" si="30"/>
        <v>0</v>
      </c>
    </row>
    <row r="160" spans="1:11" ht="69.75" hidden="1" customHeight="1" thickBot="1" x14ac:dyDescent="0.9">
      <c r="A160" s="75" t="s">
        <v>500</v>
      </c>
      <c r="B160" s="98">
        <f t="shared" si="29"/>
        <v>-228.37499999999997</v>
      </c>
      <c r="C160" s="98">
        <f t="shared" si="29"/>
        <v>65.25</v>
      </c>
      <c r="D160" s="98">
        <f t="shared" si="29"/>
        <v>163.125</v>
      </c>
      <c r="E160" s="98">
        <v>0</v>
      </c>
      <c r="F160" s="98">
        <v>0</v>
      </c>
      <c r="G160" s="98">
        <v>0</v>
      </c>
      <c r="H160" s="98">
        <v>0</v>
      </c>
      <c r="I160" s="81">
        <f t="shared" si="30"/>
        <v>2.8421709430404007E-14</v>
      </c>
    </row>
    <row r="161" spans="1:32" ht="69.75" hidden="1" customHeight="1" thickTop="1" x14ac:dyDescent="0.85">
      <c r="A161" s="75" t="s">
        <v>501</v>
      </c>
      <c r="B161" s="98">
        <f t="shared" si="29"/>
        <v>-11370.73</v>
      </c>
      <c r="C161" s="98">
        <f t="shared" si="29"/>
        <v>0</v>
      </c>
      <c r="D161" s="98">
        <f t="shared" si="29"/>
        <v>11370.73</v>
      </c>
      <c r="E161" s="98">
        <v>0</v>
      </c>
      <c r="F161" s="98">
        <v>0</v>
      </c>
      <c r="G161" s="98">
        <v>0</v>
      </c>
      <c r="H161" s="98">
        <v>0</v>
      </c>
      <c r="I161" s="81">
        <f t="shared" si="30"/>
        <v>0</v>
      </c>
    </row>
    <row r="162" spans="1:32" ht="69.75" hidden="1" customHeight="1" x14ac:dyDescent="0.85">
      <c r="B162" s="99">
        <f>SUM(B150:B161)</f>
        <v>-142649.19899999999</v>
      </c>
      <c r="C162" s="99">
        <f t="shared" ref="C162:D162" si="31">SUM(C150:C161)</f>
        <v>63127.914999999979</v>
      </c>
      <c r="D162" s="99">
        <f t="shared" si="31"/>
        <v>79521.283999999985</v>
      </c>
      <c r="E162" s="98">
        <v>0</v>
      </c>
      <c r="F162" s="98">
        <v>0</v>
      </c>
      <c r="G162" s="98">
        <v>0</v>
      </c>
      <c r="H162" s="98">
        <v>0</v>
      </c>
      <c r="I162" s="81">
        <f t="shared" si="30"/>
        <v>-2.9103830456733704E-11</v>
      </c>
    </row>
    <row r="163" spans="1:32" ht="69.75" hidden="1" customHeight="1" x14ac:dyDescent="0.85">
      <c r="A163" s="75" t="s">
        <v>502</v>
      </c>
      <c r="B163" s="98">
        <f>D162</f>
        <v>79521.283999999985</v>
      </c>
      <c r="C163" s="98"/>
      <c r="D163" s="98"/>
      <c r="E163" s="98">
        <v>0</v>
      </c>
      <c r="F163" s="98">
        <v>0</v>
      </c>
      <c r="G163" s="98">
        <v>0</v>
      </c>
      <c r="H163" s="98">
        <v>0</v>
      </c>
      <c r="I163" s="81"/>
    </row>
    <row r="164" spans="1:32" ht="69.75" hidden="1" customHeight="1" x14ac:dyDescent="0.85">
      <c r="A164" s="75" t="s">
        <v>503</v>
      </c>
      <c r="B164" s="98">
        <f>C162</f>
        <v>63127.914999999979</v>
      </c>
      <c r="C164" s="98"/>
      <c r="D164" s="98"/>
      <c r="E164" s="98">
        <v>0</v>
      </c>
      <c r="F164" s="98">
        <v>0</v>
      </c>
      <c r="G164" s="98">
        <v>0</v>
      </c>
      <c r="H164" s="98">
        <v>0</v>
      </c>
      <c r="I164" s="81"/>
    </row>
    <row r="165" spans="1:32" ht="69.75" hidden="1" customHeight="1" x14ac:dyDescent="0.85">
      <c r="B165" s="99">
        <f>SUM(B163:B164)</f>
        <v>142649.19899999996</v>
      </c>
      <c r="C165" s="98"/>
      <c r="D165" s="98"/>
      <c r="E165" s="98">
        <v>0</v>
      </c>
      <c r="F165" s="98">
        <v>0</v>
      </c>
      <c r="G165" s="98">
        <v>0</v>
      </c>
      <c r="H165" s="98">
        <v>0</v>
      </c>
      <c r="I165" s="81"/>
    </row>
    <row r="166" spans="1:32" ht="69.75" hidden="1" customHeight="1" x14ac:dyDescent="0.85">
      <c r="A166" s="75" t="s">
        <v>504</v>
      </c>
      <c r="B166" s="98"/>
      <c r="C166" s="98">
        <f>-C162</f>
        <v>-63127.914999999979</v>
      </c>
      <c r="D166" s="98"/>
      <c r="E166" s="98">
        <v>0</v>
      </c>
      <c r="F166" s="98">
        <v>0</v>
      </c>
      <c r="G166" s="98">
        <v>0</v>
      </c>
      <c r="H166" s="98">
        <v>0</v>
      </c>
      <c r="I166" s="81"/>
    </row>
    <row r="167" spans="1:32" ht="69.75" hidden="1" customHeight="1" thickBot="1" x14ac:dyDescent="0.9">
      <c r="A167" s="75" t="s">
        <v>505</v>
      </c>
      <c r="B167" s="98"/>
      <c r="C167" s="98"/>
      <c r="D167" s="98">
        <f>-D162</f>
        <v>-79521.283999999985</v>
      </c>
      <c r="E167" s="98">
        <v>0</v>
      </c>
      <c r="F167" s="98">
        <v>0</v>
      </c>
      <c r="G167" s="98">
        <v>0</v>
      </c>
      <c r="H167" s="98">
        <v>0</v>
      </c>
      <c r="I167" s="81"/>
    </row>
    <row r="168" spans="1:32" ht="69.75" hidden="1" customHeight="1" thickTop="1" x14ac:dyDescent="0.85">
      <c r="B168" s="98"/>
      <c r="C168" s="98"/>
      <c r="D168" s="98"/>
      <c r="E168" s="98"/>
      <c r="F168" s="98"/>
      <c r="G168" s="98"/>
      <c r="H168" s="98"/>
      <c r="I168" s="81"/>
    </row>
    <row r="169" spans="1:32" hidden="1" x14ac:dyDescent="0.85">
      <c r="A169" s="97" t="s">
        <v>530</v>
      </c>
      <c r="B169" s="98"/>
      <c r="C169" s="98"/>
      <c r="D169" s="98"/>
      <c r="E169" s="98">
        <v>0</v>
      </c>
      <c r="F169" s="98">
        <v>0</v>
      </c>
      <c r="G169" s="98">
        <v>0</v>
      </c>
      <c r="H169" s="98">
        <v>0</v>
      </c>
      <c r="I169" s="81"/>
    </row>
    <row r="170" spans="1:32" hidden="1" x14ac:dyDescent="0.85">
      <c r="A170" s="75" t="s">
        <v>506</v>
      </c>
      <c r="B170" s="98">
        <v>-51828.31</v>
      </c>
      <c r="C170" s="98">
        <v>26333.26</v>
      </c>
      <c r="D170" s="98">
        <v>25495.05</v>
      </c>
      <c r="E170" s="98">
        <v>0</v>
      </c>
      <c r="F170" s="98">
        <v>0</v>
      </c>
      <c r="G170" s="98">
        <v>0</v>
      </c>
      <c r="H170" s="98">
        <v>0</v>
      </c>
      <c r="I170" s="81"/>
    </row>
    <row r="171" spans="1:32" hidden="1" x14ac:dyDescent="0.85">
      <c r="A171" s="75" t="s">
        <v>507</v>
      </c>
      <c r="B171" s="98">
        <v>-3192.67</v>
      </c>
      <c r="C171" s="98">
        <v>1702.61</v>
      </c>
      <c r="D171" s="98">
        <v>1490.06</v>
      </c>
      <c r="E171" s="98">
        <v>0</v>
      </c>
      <c r="F171" s="98">
        <v>0</v>
      </c>
      <c r="G171" s="98">
        <v>0</v>
      </c>
      <c r="H171" s="98">
        <v>0</v>
      </c>
      <c r="I171" s="81"/>
    </row>
    <row r="172" spans="1:32" s="126" customFormat="1" x14ac:dyDescent="0.85">
      <c r="A172" s="80"/>
      <c r="B172" s="81"/>
      <c r="C172" s="81"/>
      <c r="D172" s="81"/>
      <c r="E172" s="81"/>
      <c r="F172" s="81"/>
      <c r="G172" s="81"/>
      <c r="H172" s="81"/>
      <c r="I172" s="81">
        <f t="shared" ref="I172:I173" si="32">SUM(B172:H172)</f>
        <v>0</v>
      </c>
      <c r="J172" s="82"/>
      <c r="K172" s="82"/>
      <c r="L172" s="75"/>
      <c r="M172" s="123"/>
      <c r="N172" s="123"/>
      <c r="O172" s="123"/>
      <c r="P172" s="123"/>
      <c r="Q172" s="123"/>
      <c r="R172" s="123"/>
      <c r="S172" s="123"/>
      <c r="T172" s="123"/>
      <c r="U172" s="123"/>
      <c r="V172" s="123"/>
      <c r="W172" s="123"/>
      <c r="X172" s="123"/>
      <c r="Y172" s="123"/>
      <c r="Z172" s="123"/>
      <c r="AA172" s="123"/>
      <c r="AB172" s="124"/>
      <c r="AC172" s="124"/>
      <c r="AD172" s="125"/>
      <c r="AE172" s="124"/>
      <c r="AF172" s="125"/>
    </row>
    <row r="173" spans="1:32" ht="71.25" thickBot="1" x14ac:dyDescent="1.1000000000000001">
      <c r="A173" s="92" t="s">
        <v>266</v>
      </c>
      <c r="B173" s="162">
        <f>B32-B103+B120</f>
        <v>564230.0599994848</v>
      </c>
      <c r="C173" s="162">
        <f>C32-C103+C120</f>
        <v>-17261.270000004086</v>
      </c>
      <c r="D173" s="162">
        <f t="shared" ref="D173:H173" si="33">D32-D103+D120</f>
        <v>-57043.789999999848</v>
      </c>
      <c r="E173" s="162">
        <f t="shared" si="33"/>
        <v>10427.16</v>
      </c>
      <c r="F173" s="162">
        <f t="shared" si="33"/>
        <v>100914.39000000003</v>
      </c>
      <c r="G173" s="162">
        <f t="shared" si="33"/>
        <v>79372.930000000008</v>
      </c>
      <c r="H173" s="162">
        <f t="shared" si="33"/>
        <v>-74416.709999999992</v>
      </c>
      <c r="I173" s="162">
        <f t="shared" si="32"/>
        <v>606222.76999948092</v>
      </c>
      <c r="J173" s="90"/>
      <c r="K173" s="90"/>
      <c r="Q173" s="113"/>
    </row>
    <row r="174" spans="1:32" ht="72" thickTop="1" thickBot="1" x14ac:dyDescent="1.1000000000000001">
      <c r="A174" s="92"/>
      <c r="B174" s="128">
        <f>(CNT!N287+103878.03*5)-B173</f>
        <v>3.5762786865234375E-7</v>
      </c>
      <c r="C174" s="128">
        <f>(BPM!N80-37367.35*5)-C173</f>
        <v>4.9999996343103703E-2</v>
      </c>
      <c r="D174" s="128">
        <f>(DEP!N80-71510.68*5)-D173</f>
        <v>-5.0000000002910383E-2</v>
      </c>
      <c r="E174" s="128">
        <f>E173-Lending!N21</f>
        <v>0</v>
      </c>
      <c r="F174" s="128">
        <f>F173-'BSC (Dome)'!N83</f>
        <v>0</v>
      </c>
      <c r="G174" s="128">
        <f>('Oliari Co.'!N29+5000*5)-G173</f>
        <v>0</v>
      </c>
      <c r="H174" s="128">
        <f>H173-'722 Bedford St'!N29</f>
        <v>0</v>
      </c>
      <c r="I174" s="91"/>
      <c r="J174" s="90"/>
      <c r="K174" s="90"/>
      <c r="Q174" s="113"/>
    </row>
    <row r="175" spans="1:32" ht="72" thickTop="1" thickBot="1" x14ac:dyDescent="1.1000000000000001">
      <c r="A175" s="80" t="s">
        <v>541</v>
      </c>
      <c r="B175" s="117">
        <v>0</v>
      </c>
      <c r="C175" s="117">
        <v>0</v>
      </c>
      <c r="D175" s="117">
        <v>0</v>
      </c>
      <c r="E175" s="117">
        <v>0</v>
      </c>
      <c r="F175" s="117">
        <v>0</v>
      </c>
      <c r="G175" s="117">
        <v>0</v>
      </c>
      <c r="H175" s="117">
        <v>0</v>
      </c>
      <c r="I175" s="91">
        <f>SUM(B175:H175)</f>
        <v>0</v>
      </c>
      <c r="M175" s="117"/>
      <c r="N175" s="117"/>
      <c r="O175" s="117"/>
      <c r="P175" s="117"/>
      <c r="Q175" s="117"/>
      <c r="R175" s="117"/>
      <c r="S175" s="117"/>
    </row>
    <row r="176" spans="1:32" ht="59.25" thickTop="1" thickBot="1" x14ac:dyDescent="0.9">
      <c r="A176" s="80" t="s">
        <v>542</v>
      </c>
      <c r="B176" s="119">
        <f>B173+B175</f>
        <v>564230.0599994848</v>
      </c>
      <c r="C176" s="119">
        <f t="shared" ref="C176:H176" si="34">C173+C175</f>
        <v>-17261.270000004086</v>
      </c>
      <c r="D176" s="119">
        <f t="shared" si="34"/>
        <v>-57043.789999999848</v>
      </c>
      <c r="E176" s="119">
        <f t="shared" si="34"/>
        <v>10427.16</v>
      </c>
      <c r="F176" s="119">
        <f t="shared" si="34"/>
        <v>100914.39000000003</v>
      </c>
      <c r="G176" s="119">
        <f t="shared" si="34"/>
        <v>79372.930000000008</v>
      </c>
      <c r="H176" s="119">
        <f t="shared" si="34"/>
        <v>-74416.709999999992</v>
      </c>
      <c r="I176" s="119">
        <f>I173+I175</f>
        <v>606222.76999948092</v>
      </c>
      <c r="J176" s="98"/>
      <c r="K176" s="98"/>
      <c r="M176" s="117"/>
      <c r="N176" s="117"/>
      <c r="O176" s="117"/>
      <c r="P176" s="117"/>
      <c r="Q176" s="117"/>
      <c r="R176" s="117"/>
      <c r="S176" s="117"/>
    </row>
    <row r="177" spans="1:19" ht="58.5" thickTop="1" x14ac:dyDescent="0.85">
      <c r="M177" s="117"/>
      <c r="N177" s="117"/>
      <c r="O177" s="117"/>
      <c r="P177" s="117"/>
      <c r="Q177" s="117"/>
      <c r="R177" s="117"/>
      <c r="S177" s="117"/>
    </row>
    <row r="178" spans="1:19" x14ac:dyDescent="0.85">
      <c r="M178" s="117"/>
      <c r="N178" s="117"/>
      <c r="O178" s="117"/>
      <c r="P178" s="117"/>
      <c r="Q178" s="117"/>
      <c r="R178" s="117"/>
      <c r="S178" s="117"/>
    </row>
    <row r="179" spans="1:19" x14ac:dyDescent="0.85">
      <c r="M179" s="117"/>
      <c r="N179" s="117"/>
      <c r="O179" s="117"/>
      <c r="P179" s="117"/>
      <c r="Q179" s="117"/>
      <c r="R179" s="117"/>
      <c r="S179" s="117"/>
    </row>
    <row r="180" spans="1:19" x14ac:dyDescent="0.85">
      <c r="A180" s="123"/>
      <c r="B180" s="123"/>
      <c r="C180" s="123"/>
      <c r="D180" s="123"/>
      <c r="E180" s="123"/>
      <c r="F180" s="123"/>
      <c r="G180" s="123"/>
      <c r="H180" s="123"/>
      <c r="I180" s="123"/>
      <c r="J180" s="123"/>
      <c r="K180" s="123"/>
      <c r="M180" s="117"/>
      <c r="N180" s="117"/>
      <c r="O180" s="117"/>
      <c r="P180" s="117"/>
      <c r="Q180" s="117"/>
      <c r="R180" s="117"/>
      <c r="S180" s="117"/>
    </row>
    <row r="181" spans="1:19" x14ac:dyDescent="0.85">
      <c r="A181" s="245">
        <v>2017</v>
      </c>
      <c r="B181" s="246"/>
      <c r="C181" s="246"/>
      <c r="D181" s="246"/>
      <c r="E181" s="246"/>
      <c r="F181" s="246"/>
      <c r="G181" s="246"/>
      <c r="H181" s="246"/>
      <c r="I181" s="246"/>
      <c r="J181" s="247"/>
    </row>
    <row r="182" spans="1:19" x14ac:dyDescent="0.85">
      <c r="A182" s="248" t="s">
        <v>405</v>
      </c>
      <c r="B182" s="249"/>
      <c r="C182" s="249"/>
      <c r="D182" s="249"/>
      <c r="E182" s="249"/>
      <c r="F182" s="249"/>
      <c r="G182" s="249"/>
      <c r="H182" s="249"/>
      <c r="I182" s="249"/>
      <c r="J182" s="250"/>
    </row>
    <row r="183" spans="1:19" x14ac:dyDescent="0.85">
      <c r="A183" s="248" t="s">
        <v>346</v>
      </c>
      <c r="B183" s="249"/>
      <c r="C183" s="249"/>
      <c r="D183" s="249"/>
      <c r="E183" s="249"/>
      <c r="F183" s="249"/>
      <c r="G183" s="249"/>
      <c r="H183" s="249"/>
      <c r="I183" s="249"/>
      <c r="J183" s="250"/>
    </row>
    <row r="184" spans="1:19" x14ac:dyDescent="0.85">
      <c r="A184" s="242">
        <v>43100</v>
      </c>
      <c r="B184" s="243"/>
      <c r="C184" s="243"/>
      <c r="D184" s="243"/>
      <c r="E184" s="243"/>
      <c r="F184" s="243"/>
      <c r="G184" s="243"/>
      <c r="H184" s="243"/>
      <c r="I184" s="243"/>
      <c r="J184" s="244"/>
    </row>
    <row r="185" spans="1:19" x14ac:dyDescent="0.85">
      <c r="A185" s="76"/>
      <c r="B185" s="110"/>
      <c r="C185" s="110"/>
      <c r="D185" s="110"/>
      <c r="E185" s="110"/>
      <c r="F185" s="110"/>
      <c r="G185" s="110"/>
      <c r="H185" s="110"/>
      <c r="I185" s="76"/>
      <c r="J185" s="76"/>
    </row>
    <row r="186" spans="1:19" x14ac:dyDescent="0.85">
      <c r="A186" s="77"/>
      <c r="B186" s="111"/>
      <c r="C186" s="111"/>
      <c r="D186" s="111"/>
      <c r="E186" s="111"/>
      <c r="F186" s="111"/>
      <c r="G186" s="111"/>
      <c r="H186" s="111"/>
      <c r="I186" s="77"/>
      <c r="J186" s="76">
        <v>2017</v>
      </c>
    </row>
    <row r="187" spans="1:19" x14ac:dyDescent="0.85">
      <c r="A187" s="77"/>
      <c r="B187" s="111"/>
      <c r="C187" s="111"/>
      <c r="D187" s="111"/>
      <c r="E187" s="111"/>
      <c r="F187" s="111"/>
      <c r="G187" s="111"/>
      <c r="H187" s="111"/>
      <c r="I187" s="77"/>
      <c r="J187" s="76" t="s">
        <v>345</v>
      </c>
    </row>
    <row r="188" spans="1:19" x14ac:dyDescent="0.85">
      <c r="B188" s="109"/>
      <c r="C188" s="109"/>
      <c r="D188" s="109"/>
      <c r="E188" s="109"/>
      <c r="F188" s="109"/>
      <c r="G188" s="109"/>
      <c r="H188" s="109"/>
      <c r="J188" s="76" t="s">
        <v>343</v>
      </c>
    </row>
    <row r="189" spans="1:19" x14ac:dyDescent="0.85">
      <c r="B189" s="109"/>
      <c r="C189" s="109"/>
      <c r="D189" s="109"/>
      <c r="E189" s="109"/>
      <c r="F189" s="109"/>
      <c r="G189" s="109"/>
      <c r="H189" s="109"/>
      <c r="I189" s="76" t="s">
        <v>207</v>
      </c>
      <c r="J189" s="76" t="s">
        <v>207</v>
      </c>
    </row>
    <row r="190" spans="1:19" x14ac:dyDescent="0.85">
      <c r="B190" s="112" t="s">
        <v>212</v>
      </c>
      <c r="C190" s="112" t="s">
        <v>214</v>
      </c>
      <c r="D190" s="112" t="s">
        <v>213</v>
      </c>
      <c r="E190" s="112" t="s">
        <v>215</v>
      </c>
      <c r="F190" s="112" t="s">
        <v>216</v>
      </c>
      <c r="G190" s="112" t="s">
        <v>406</v>
      </c>
      <c r="H190" s="112" t="s">
        <v>418</v>
      </c>
      <c r="I190" s="78">
        <v>2017</v>
      </c>
      <c r="J190" s="79" t="s">
        <v>339</v>
      </c>
    </row>
    <row r="191" spans="1:19" x14ac:dyDescent="0.85">
      <c r="A191" s="80" t="s">
        <v>62</v>
      </c>
      <c r="B191" s="109"/>
      <c r="C191" s="109"/>
      <c r="D191" s="109"/>
      <c r="E191" s="109"/>
      <c r="F191" s="109"/>
      <c r="G191" s="109"/>
      <c r="H191" s="109"/>
    </row>
    <row r="192" spans="1:19" x14ac:dyDescent="0.85">
      <c r="A192" s="75" t="s">
        <v>217</v>
      </c>
      <c r="B192" s="113">
        <f>1632830369.51+-38554661.62</f>
        <v>1594275707.8900001</v>
      </c>
      <c r="C192" s="113">
        <f>34407411.79-79187.92</f>
        <v>34328223.869999997</v>
      </c>
      <c r="D192" s="113">
        <v>0</v>
      </c>
      <c r="E192" s="113">
        <v>0</v>
      </c>
      <c r="F192" s="113">
        <v>0</v>
      </c>
      <c r="G192" s="113">
        <v>0</v>
      </c>
      <c r="H192" s="113">
        <v>0</v>
      </c>
      <c r="I192" s="81">
        <f>SUM(B192:H192)</f>
        <v>1628603931.76</v>
      </c>
      <c r="J192" s="82">
        <f t="shared" ref="J192:J198" si="35">I192/$I$199</f>
        <v>0.49917348749520413</v>
      </c>
    </row>
    <row r="193" spans="1:10" x14ac:dyDescent="0.85">
      <c r="A193" s="75" t="s">
        <v>218</v>
      </c>
      <c r="B193" s="113">
        <f>1599956313.2+-52199146.18</f>
        <v>1547757167.02</v>
      </c>
      <c r="C193" s="113">
        <f>7432775.41-1526.49</f>
        <v>7431248.9199999999</v>
      </c>
      <c r="D193" s="113">
        <v>0</v>
      </c>
      <c r="E193" s="113">
        <v>0</v>
      </c>
      <c r="F193" s="113">
        <v>0</v>
      </c>
      <c r="G193" s="113">
        <v>0</v>
      </c>
      <c r="H193" s="113">
        <v>0</v>
      </c>
      <c r="I193" s="81">
        <f t="shared" ref="I193:I277" si="36">SUM(B193:H193)</f>
        <v>1555188415.9400001</v>
      </c>
      <c r="J193" s="82">
        <f t="shared" si="35"/>
        <v>0.47667134418493656</v>
      </c>
    </row>
    <row r="194" spans="1:10" x14ac:dyDescent="0.85">
      <c r="A194" s="75" t="s">
        <v>219</v>
      </c>
      <c r="B194" s="113">
        <f>24870817.14+-49623.1</f>
        <v>24821194.039999999</v>
      </c>
      <c r="C194" s="113">
        <v>2026147.61</v>
      </c>
      <c r="D194" s="113">
        <v>0</v>
      </c>
      <c r="E194" s="113">
        <v>0</v>
      </c>
      <c r="F194" s="113">
        <v>0</v>
      </c>
      <c r="G194" s="113">
        <v>0</v>
      </c>
      <c r="H194" s="113">
        <v>0</v>
      </c>
      <c r="I194" s="81">
        <f t="shared" si="36"/>
        <v>26847341.649999999</v>
      </c>
      <c r="J194" s="82">
        <f t="shared" si="35"/>
        <v>8.2288154290055242E-3</v>
      </c>
    </row>
    <row r="195" spans="1:10" x14ac:dyDescent="0.85">
      <c r="A195" s="75" t="s">
        <v>421</v>
      </c>
      <c r="B195" s="113">
        <f>43805266.73+-790803</f>
        <v>43014463.729999997</v>
      </c>
      <c r="C195" s="113">
        <v>12973.98</v>
      </c>
      <c r="D195" s="113">
        <v>0</v>
      </c>
      <c r="E195" s="113">
        <v>0</v>
      </c>
      <c r="F195" s="113">
        <v>0</v>
      </c>
      <c r="G195" s="113">
        <v>0</v>
      </c>
      <c r="H195" s="113">
        <v>0</v>
      </c>
      <c r="I195" s="81">
        <f t="shared" si="36"/>
        <v>43027437.709999993</v>
      </c>
      <c r="J195" s="82">
        <f t="shared" si="35"/>
        <v>1.3188078280317263E-2</v>
      </c>
    </row>
    <row r="196" spans="1:10" x14ac:dyDescent="0.85">
      <c r="A196" s="75" t="s">
        <v>220</v>
      </c>
      <c r="B196" s="113">
        <f>1787372+-4425</f>
        <v>1782947</v>
      </c>
      <c r="C196" s="113">
        <f>48903-2300</f>
        <v>46603</v>
      </c>
      <c r="D196" s="113">
        <v>0</v>
      </c>
      <c r="E196" s="113">
        <v>0</v>
      </c>
      <c r="F196" s="113">
        <v>0</v>
      </c>
      <c r="G196" s="113">
        <v>0</v>
      </c>
      <c r="H196" s="113">
        <v>0</v>
      </c>
      <c r="I196" s="81">
        <f t="shared" si="36"/>
        <v>1829550</v>
      </c>
      <c r="J196" s="82">
        <f t="shared" si="35"/>
        <v>5.6076424490754211E-4</v>
      </c>
    </row>
    <row r="197" spans="1:10" x14ac:dyDescent="0.85">
      <c r="A197" s="75" t="s">
        <v>221</v>
      </c>
      <c r="B197" s="113">
        <v>0</v>
      </c>
      <c r="C197" s="113">
        <v>0</v>
      </c>
      <c r="D197" s="113">
        <v>0</v>
      </c>
      <c r="E197" s="113">
        <v>0</v>
      </c>
      <c r="F197" s="113">
        <v>0</v>
      </c>
      <c r="G197" s="113">
        <v>0</v>
      </c>
      <c r="H197" s="113">
        <v>0</v>
      </c>
      <c r="I197" s="81">
        <f t="shared" si="36"/>
        <v>0</v>
      </c>
      <c r="J197" s="82">
        <f t="shared" si="35"/>
        <v>0</v>
      </c>
    </row>
    <row r="198" spans="1:10" x14ac:dyDescent="0.85">
      <c r="A198" s="75" t="s">
        <v>222</v>
      </c>
      <c r="B198" s="113">
        <f>1596.25+1439023.36+20000+457921.54+62002.87+271750.28-1807.5</f>
        <v>2250486.8000000003</v>
      </c>
      <c r="C198" s="113">
        <f>192+60247.57+1576425.08</f>
        <v>1636864.6500000001</v>
      </c>
      <c r="D198" s="113">
        <v>2390338.6800000002</v>
      </c>
      <c r="E198" s="113">
        <v>0</v>
      </c>
      <c r="F198" s="113">
        <v>826657.42</v>
      </c>
      <c r="G198" s="113">
        <v>0</v>
      </c>
      <c r="H198" s="113">
        <v>0</v>
      </c>
      <c r="I198" s="81">
        <f>SUM(B198:H198)</f>
        <v>7104347.5500000007</v>
      </c>
      <c r="J198" s="82">
        <f t="shared" si="35"/>
        <v>2.1775103656289782E-3</v>
      </c>
    </row>
    <row r="199" spans="1:10" x14ac:dyDescent="0.85">
      <c r="A199" s="80" t="s">
        <v>223</v>
      </c>
      <c r="B199" s="114">
        <f>SUM(B192:B198)</f>
        <v>3213901966.48</v>
      </c>
      <c r="C199" s="114">
        <f t="shared" ref="C199:H199" si="37">SUM(C192:C198)</f>
        <v>45482062.029999994</v>
      </c>
      <c r="D199" s="114">
        <f t="shared" si="37"/>
        <v>2390338.6800000002</v>
      </c>
      <c r="E199" s="114">
        <f t="shared" si="37"/>
        <v>0</v>
      </c>
      <c r="F199" s="114">
        <f>SUM(F192:F198)</f>
        <v>826657.42</v>
      </c>
      <c r="G199" s="114">
        <f>SUM(G192:G198)</f>
        <v>0</v>
      </c>
      <c r="H199" s="114">
        <f t="shared" si="37"/>
        <v>0</v>
      </c>
      <c r="I199" s="83">
        <f t="shared" si="36"/>
        <v>3262601024.6100001</v>
      </c>
      <c r="J199" s="84">
        <f>SUM(J192:J198)</f>
        <v>1.0000000000000002</v>
      </c>
    </row>
    <row r="200" spans="1:10" x14ac:dyDescent="0.85">
      <c r="B200" s="113"/>
      <c r="C200" s="113"/>
      <c r="D200" s="113"/>
      <c r="E200" s="113"/>
      <c r="F200" s="113"/>
      <c r="G200" s="113"/>
      <c r="H200" s="113"/>
      <c r="I200" s="81">
        <f t="shared" si="36"/>
        <v>0</v>
      </c>
    </row>
    <row r="201" spans="1:10" x14ac:dyDescent="0.85">
      <c r="A201" s="80" t="s">
        <v>208</v>
      </c>
      <c r="B201" s="113"/>
      <c r="C201" s="113"/>
      <c r="D201" s="113"/>
      <c r="E201" s="113"/>
      <c r="F201" s="113"/>
      <c r="G201" s="113"/>
      <c r="H201" s="113"/>
      <c r="I201" s="81">
        <f t="shared" si="36"/>
        <v>0</v>
      </c>
    </row>
    <row r="202" spans="1:10" x14ac:dyDescent="0.85">
      <c r="A202" s="75" t="s">
        <v>217</v>
      </c>
      <c r="B202" s="113">
        <f>1584362996.46+445814584.63+-448325325.17+2886861421.54+-1083876.56+7191719.33-2894888352.92</f>
        <v>1579933167.3099995</v>
      </c>
      <c r="C202" s="113">
        <f>33938102.54+13458.68+606.81</f>
        <v>33952168.030000001</v>
      </c>
      <c r="D202" s="113">
        <v>0</v>
      </c>
      <c r="E202" s="113">
        <v>0</v>
      </c>
      <c r="F202" s="113">
        <v>0</v>
      </c>
      <c r="G202" s="113">
        <v>0</v>
      </c>
      <c r="H202" s="113">
        <v>0</v>
      </c>
      <c r="I202" s="81">
        <f t="shared" si="36"/>
        <v>1613885335.3399994</v>
      </c>
      <c r="J202" s="82">
        <f t="shared" ref="J202:J209" si="38">I202/$I$210</f>
        <v>0.49553378027298017</v>
      </c>
    </row>
    <row r="203" spans="1:10" x14ac:dyDescent="0.85">
      <c r="A203" s="75" t="s">
        <v>218</v>
      </c>
      <c r="B203" s="113">
        <f>1550707883.4+950249746.92+-950101074.64+10230078825.38+705269.34+-10225069928.39+-3522083.43</f>
        <v>1553048638.5800002</v>
      </c>
      <c r="C203" s="113">
        <f>7290649.39+156.76-93097.2</f>
        <v>7197708.9499999993</v>
      </c>
      <c r="D203" s="113">
        <v>0</v>
      </c>
      <c r="E203" s="113">
        <v>0</v>
      </c>
      <c r="F203" s="113">
        <v>0</v>
      </c>
      <c r="G203" s="113">
        <v>0</v>
      </c>
      <c r="H203" s="113">
        <v>0</v>
      </c>
      <c r="I203" s="81">
        <f t="shared" si="36"/>
        <v>1560246347.5300002</v>
      </c>
      <c r="J203" s="82">
        <f t="shared" si="38"/>
        <v>0.47906425185142998</v>
      </c>
    </row>
    <row r="204" spans="1:10" x14ac:dyDescent="0.85">
      <c r="A204" s="75" t="s">
        <v>219</v>
      </c>
      <c r="B204" s="113">
        <f>24724094.02+7283565+-7396217.5+9667906.45+-26366.79+-18964.49</f>
        <v>34234016.689999998</v>
      </c>
      <c r="C204" s="113">
        <f>1947622.32+2633.85</f>
        <v>1950256.1700000002</v>
      </c>
      <c r="D204" s="113">
        <v>0</v>
      </c>
      <c r="E204" s="113">
        <v>0</v>
      </c>
      <c r="F204" s="113">
        <v>0</v>
      </c>
      <c r="G204" s="113">
        <v>0</v>
      </c>
      <c r="H204" s="113">
        <v>0</v>
      </c>
      <c r="I204" s="81">
        <f t="shared" si="36"/>
        <v>36184272.859999999</v>
      </c>
      <c r="J204" s="82">
        <f t="shared" si="38"/>
        <v>1.1110163234098257E-2</v>
      </c>
    </row>
    <row r="205" spans="1:10" x14ac:dyDescent="0.85">
      <c r="A205" s="75" t="s">
        <v>421</v>
      </c>
      <c r="B205" s="113">
        <f>42073380.32+153873.75+-157755+-116735.65+1105021+7895941.31</f>
        <v>50953725.730000004</v>
      </c>
      <c r="C205" s="113">
        <f>12072.65-65</f>
        <v>12007.65</v>
      </c>
      <c r="D205" s="113">
        <v>0</v>
      </c>
      <c r="E205" s="113">
        <v>0</v>
      </c>
      <c r="F205" s="113">
        <v>0</v>
      </c>
      <c r="G205" s="113">
        <v>0</v>
      </c>
      <c r="H205" s="113">
        <v>0</v>
      </c>
      <c r="I205" s="81">
        <f t="shared" si="36"/>
        <v>50965733.380000003</v>
      </c>
      <c r="J205" s="82">
        <f t="shared" si="38"/>
        <v>1.5648721735770438E-2</v>
      </c>
    </row>
    <row r="206" spans="1:10" x14ac:dyDescent="0.85">
      <c r="A206" s="75" t="s">
        <v>220</v>
      </c>
      <c r="B206" s="113">
        <f>1678935.62+20151.58</f>
        <v>1699087.2000000002</v>
      </c>
      <c r="C206" s="113">
        <f>43641+168</f>
        <v>43809</v>
      </c>
      <c r="D206" s="113">
        <v>0</v>
      </c>
      <c r="E206" s="113">
        <v>0</v>
      </c>
      <c r="F206" s="113">
        <v>0</v>
      </c>
      <c r="G206" s="113">
        <v>0</v>
      </c>
      <c r="H206" s="113">
        <v>0</v>
      </c>
      <c r="I206" s="81">
        <f t="shared" si="36"/>
        <v>1742896.2000000002</v>
      </c>
      <c r="J206" s="82">
        <f t="shared" si="38"/>
        <v>5.3514578991292652E-4</v>
      </c>
    </row>
    <row r="207" spans="1:10" x14ac:dyDescent="0.85">
      <c r="A207" s="75" t="s">
        <v>221</v>
      </c>
      <c r="B207" s="113">
        <v>0</v>
      </c>
      <c r="C207" s="113">
        <v>0</v>
      </c>
      <c r="D207" s="113">
        <v>0</v>
      </c>
      <c r="E207" s="113">
        <v>0</v>
      </c>
      <c r="F207" s="113">
        <v>0</v>
      </c>
      <c r="G207" s="113">
        <v>0</v>
      </c>
      <c r="H207" s="113">
        <v>0</v>
      </c>
      <c r="I207" s="81">
        <f t="shared" si="36"/>
        <v>0</v>
      </c>
      <c r="J207" s="82">
        <f t="shared" si="38"/>
        <v>0</v>
      </c>
    </row>
    <row r="208" spans="1:10" x14ac:dyDescent="0.85">
      <c r="A208" s="75" t="s">
        <v>222</v>
      </c>
      <c r="B208" s="113">
        <f>-33263.76+1005.6+1303472.31+1690616.89+56373.86+4373.6+3712040.52+-9748905+-8335205.55+9+67830.25+232912.47+2378487.53+342750.66+4852+28557.75+175218.46+2824.22+-16679.96+651.51+-377.5-3712040.52</f>
        <v>-11844495.660000002</v>
      </c>
      <c r="C208" s="113">
        <f>59900.94+241841.05+-5692.73+2936.98+820.8+816795.58+460911.88</f>
        <v>1577514.5</v>
      </c>
      <c r="D208" s="113">
        <v>391100.86</v>
      </c>
      <c r="E208" s="113">
        <v>0</v>
      </c>
      <c r="F208" s="113">
        <v>1651.32</v>
      </c>
      <c r="G208" s="113">
        <v>0</v>
      </c>
      <c r="H208" s="113">
        <v>0</v>
      </c>
      <c r="I208" s="81">
        <f t="shared" ref="I208" si="39">SUM(B208:H208)</f>
        <v>-9874228.9800000023</v>
      </c>
      <c r="J208" s="82">
        <f t="shared" si="38"/>
        <v>-3.0318225877612281E-3</v>
      </c>
    </row>
    <row r="209" spans="1:10" x14ac:dyDescent="0.85">
      <c r="A209" s="75" t="s">
        <v>540</v>
      </c>
      <c r="B209" s="113">
        <v>3712040.52</v>
      </c>
      <c r="C209" s="113">
        <v>0</v>
      </c>
      <c r="D209" s="113">
        <v>0</v>
      </c>
      <c r="E209" s="113">
        <v>0</v>
      </c>
      <c r="F209" s="113">
        <v>0</v>
      </c>
      <c r="G209" s="113">
        <v>0</v>
      </c>
      <c r="H209" s="113">
        <v>0</v>
      </c>
      <c r="I209" s="81">
        <f t="shared" si="36"/>
        <v>3712040.52</v>
      </c>
      <c r="J209" s="82">
        <f t="shared" si="38"/>
        <v>1.139759703569375E-3</v>
      </c>
    </row>
    <row r="210" spans="1:10" x14ac:dyDescent="0.85">
      <c r="A210" s="80" t="s">
        <v>224</v>
      </c>
      <c r="B210" s="114">
        <f>SUM(B202:B209)</f>
        <v>3211736180.3699994</v>
      </c>
      <c r="C210" s="114">
        <f t="shared" ref="C210:H210" si="40">SUM(C202:C209)</f>
        <v>44733464.300000004</v>
      </c>
      <c r="D210" s="114">
        <f t="shared" si="40"/>
        <v>391100.86</v>
      </c>
      <c r="E210" s="114">
        <f t="shared" si="40"/>
        <v>0</v>
      </c>
      <c r="F210" s="114">
        <f>SUM(F202:F209)</f>
        <v>1651.32</v>
      </c>
      <c r="G210" s="114">
        <f>SUM(G202:G209)</f>
        <v>0</v>
      </c>
      <c r="H210" s="114">
        <f t="shared" si="40"/>
        <v>0</v>
      </c>
      <c r="I210" s="83">
        <f t="shared" si="36"/>
        <v>3256862396.8499999</v>
      </c>
      <c r="J210" s="84">
        <f>SUM(J202:J209)</f>
        <v>1</v>
      </c>
    </row>
    <row r="211" spans="1:10" x14ac:dyDescent="0.85">
      <c r="B211" s="113"/>
      <c r="C211" s="113"/>
      <c r="D211" s="113"/>
      <c r="E211" s="113"/>
      <c r="F211" s="113"/>
      <c r="G211" s="113"/>
      <c r="H211" s="113"/>
      <c r="I211" s="81"/>
    </row>
    <row r="212" spans="1:10" ht="58.5" thickBot="1" x14ac:dyDescent="0.9">
      <c r="A212" s="80" t="s">
        <v>211</v>
      </c>
      <c r="B212" s="115">
        <f>B199-B210</f>
        <v>2165786.1100006104</v>
      </c>
      <c r="C212" s="115">
        <f>C199-C210</f>
        <v>748597.72999998927</v>
      </c>
      <c r="D212" s="115">
        <f t="shared" ref="D212:H212" si="41">D199-D210</f>
        <v>1999237.8200000003</v>
      </c>
      <c r="E212" s="115">
        <f t="shared" si="41"/>
        <v>0</v>
      </c>
      <c r="F212" s="115">
        <f>F199-F210</f>
        <v>825006.10000000009</v>
      </c>
      <c r="G212" s="115">
        <f>G199-G210</f>
        <v>0</v>
      </c>
      <c r="H212" s="115">
        <f t="shared" si="41"/>
        <v>0</v>
      </c>
      <c r="I212" s="86">
        <f t="shared" si="36"/>
        <v>5738627.7600005995</v>
      </c>
    </row>
    <row r="213" spans="1:10" x14ac:dyDescent="0.85">
      <c r="B213" s="113"/>
      <c r="C213" s="113"/>
      <c r="D213" s="113"/>
      <c r="E213" s="113"/>
      <c r="F213" s="113"/>
      <c r="G213" s="113"/>
      <c r="H213" s="113"/>
      <c r="I213" s="81">
        <f t="shared" si="36"/>
        <v>0</v>
      </c>
    </row>
    <row r="214" spans="1:10" x14ac:dyDescent="0.85">
      <c r="A214" s="80" t="s">
        <v>209</v>
      </c>
      <c r="B214" s="113"/>
      <c r="C214" s="113"/>
      <c r="D214" s="113"/>
      <c r="E214" s="113"/>
      <c r="F214" s="113"/>
      <c r="G214" s="113"/>
      <c r="H214" s="113"/>
      <c r="I214" s="81">
        <f t="shared" si="36"/>
        <v>0</v>
      </c>
    </row>
    <row r="215" spans="1:10" x14ac:dyDescent="0.85">
      <c r="B215" s="113"/>
      <c r="C215" s="113"/>
      <c r="D215" s="113"/>
      <c r="E215" s="113"/>
      <c r="F215" s="113"/>
      <c r="G215" s="113"/>
      <c r="H215" s="113"/>
      <c r="I215" s="81">
        <f t="shared" si="36"/>
        <v>0</v>
      </c>
    </row>
    <row r="216" spans="1:10" x14ac:dyDescent="0.85">
      <c r="A216" s="80" t="s">
        <v>225</v>
      </c>
      <c r="B216" s="113"/>
      <c r="C216" s="113"/>
      <c r="D216" s="113"/>
      <c r="E216" s="113"/>
      <c r="F216" s="113"/>
      <c r="G216" s="113"/>
      <c r="H216" s="113"/>
      <c r="I216" s="81">
        <f t="shared" si="36"/>
        <v>0</v>
      </c>
    </row>
    <row r="217" spans="1:10" x14ac:dyDescent="0.85">
      <c r="A217" s="75" t="s">
        <v>226</v>
      </c>
      <c r="B217" s="113">
        <v>3778032.89</v>
      </c>
      <c r="C217" s="113">
        <v>0</v>
      </c>
      <c r="D217" s="113">
        <v>136727.20000000001</v>
      </c>
      <c r="E217" s="113">
        <v>0</v>
      </c>
      <c r="F217" s="113">
        <f>253434.16+72039</f>
        <v>325473.16000000003</v>
      </c>
      <c r="G217" s="113">
        <v>0</v>
      </c>
      <c r="H217" s="113">
        <v>0</v>
      </c>
      <c r="I217" s="81">
        <f t="shared" si="36"/>
        <v>4240233.25</v>
      </c>
      <c r="J217" s="82">
        <f t="shared" ref="J217:J226" si="42">I217/$I$227</f>
        <v>0.77548778205005786</v>
      </c>
    </row>
    <row r="218" spans="1:10" x14ac:dyDescent="0.85">
      <c r="A218" s="75" t="s">
        <v>544</v>
      </c>
      <c r="B218" s="113">
        <v>0</v>
      </c>
      <c r="C218" s="113">
        <v>0</v>
      </c>
      <c r="D218" s="113">
        <v>0</v>
      </c>
      <c r="E218" s="113">
        <v>0</v>
      </c>
      <c r="F218" s="113">
        <v>0</v>
      </c>
      <c r="G218" s="113">
        <v>0</v>
      </c>
      <c r="H218" s="113">
        <v>0</v>
      </c>
      <c r="I218" s="81">
        <f t="shared" si="36"/>
        <v>0</v>
      </c>
      <c r="J218" s="82">
        <f t="shared" si="42"/>
        <v>0</v>
      </c>
    </row>
    <row r="219" spans="1:10" x14ac:dyDescent="0.85">
      <c r="A219" s="75" t="s">
        <v>227</v>
      </c>
      <c r="B219" s="113">
        <v>45842</v>
      </c>
      <c r="C219" s="113">
        <v>0</v>
      </c>
      <c r="D219" s="113">
        <v>0</v>
      </c>
      <c r="E219" s="113">
        <v>0</v>
      </c>
      <c r="F219" s="113">
        <v>0</v>
      </c>
      <c r="G219" s="113">
        <v>0</v>
      </c>
      <c r="H219" s="113">
        <v>0</v>
      </c>
      <c r="I219" s="81">
        <f t="shared" si="36"/>
        <v>45842</v>
      </c>
      <c r="J219" s="82">
        <f t="shared" si="42"/>
        <v>8.3839517330181659E-3</v>
      </c>
    </row>
    <row r="220" spans="1:10" x14ac:dyDescent="0.85">
      <c r="A220" s="75" t="s">
        <v>228</v>
      </c>
      <c r="B220" s="113">
        <v>296184.45</v>
      </c>
      <c r="C220" s="113">
        <v>0</v>
      </c>
      <c r="D220" s="113">
        <v>11399.12</v>
      </c>
      <c r="E220" s="113">
        <v>0</v>
      </c>
      <c r="F220" s="113">
        <v>21298.32</v>
      </c>
      <c r="G220" s="113">
        <v>0</v>
      </c>
      <c r="H220" s="113">
        <v>0</v>
      </c>
      <c r="I220" s="81">
        <f t="shared" si="36"/>
        <v>328881.89</v>
      </c>
      <c r="J220" s="82">
        <f t="shared" si="42"/>
        <v>6.0148551363897518E-2</v>
      </c>
    </row>
    <row r="221" spans="1:10" x14ac:dyDescent="0.85">
      <c r="A221" s="75" t="s">
        <v>229</v>
      </c>
      <c r="B221" s="113">
        <v>416130.99</v>
      </c>
      <c r="C221" s="113">
        <v>0</v>
      </c>
      <c r="D221" s="113">
        <v>47036.93</v>
      </c>
      <c r="E221" s="113">
        <v>0</v>
      </c>
      <c r="F221" s="113">
        <v>55178.91</v>
      </c>
      <c r="G221" s="113">
        <v>0</v>
      </c>
      <c r="H221" s="113">
        <v>0</v>
      </c>
      <c r="I221" s="81">
        <f t="shared" si="36"/>
        <v>518346.82999999996</v>
      </c>
      <c r="J221" s="82">
        <f t="shared" si="42"/>
        <v>9.4799415463613548E-2</v>
      </c>
    </row>
    <row r="222" spans="1:10" x14ac:dyDescent="0.85">
      <c r="A222" s="75" t="s">
        <v>230</v>
      </c>
      <c r="B222" s="113">
        <v>63294.41</v>
      </c>
      <c r="C222" s="113">
        <v>0</v>
      </c>
      <c r="D222" s="113">
        <v>5013.0600000000004</v>
      </c>
      <c r="E222" s="113">
        <v>0</v>
      </c>
      <c r="F222" s="113">
        <v>0</v>
      </c>
      <c r="G222" s="113">
        <v>0</v>
      </c>
      <c r="H222" s="113">
        <v>0</v>
      </c>
      <c r="I222" s="81">
        <f t="shared" si="36"/>
        <v>68307.47</v>
      </c>
      <c r="J222" s="82">
        <f t="shared" si="42"/>
        <v>1.2492616628519401E-2</v>
      </c>
    </row>
    <row r="223" spans="1:10" x14ac:dyDescent="0.85">
      <c r="A223" s="75" t="s">
        <v>231</v>
      </c>
      <c r="B223" s="113">
        <v>112631.83</v>
      </c>
      <c r="C223" s="113">
        <v>0</v>
      </c>
      <c r="D223" s="113">
        <v>5240.1099999999997</v>
      </c>
      <c r="E223" s="113">
        <v>0</v>
      </c>
      <c r="F223" s="113">
        <v>5186.41</v>
      </c>
      <c r="G223" s="113">
        <v>0</v>
      </c>
      <c r="H223" s="113">
        <v>0</v>
      </c>
      <c r="I223" s="81">
        <f t="shared" si="36"/>
        <v>123058.35</v>
      </c>
      <c r="J223" s="82">
        <f t="shared" si="42"/>
        <v>2.2505895614171635E-2</v>
      </c>
    </row>
    <row r="224" spans="1:10" x14ac:dyDescent="0.85">
      <c r="A224" s="75" t="s">
        <v>307</v>
      </c>
      <c r="B224" s="113">
        <f>10893.48+69184.08</f>
        <v>80077.56</v>
      </c>
      <c r="C224" s="113">
        <v>0</v>
      </c>
      <c r="D224" s="113">
        <f>876.99+103.09</f>
        <v>980.08</v>
      </c>
      <c r="E224" s="113">
        <v>0</v>
      </c>
      <c r="F224" s="113">
        <v>0</v>
      </c>
      <c r="G224" s="113">
        <v>0</v>
      </c>
      <c r="H224" s="113">
        <v>0</v>
      </c>
      <c r="I224" s="81">
        <f t="shared" si="36"/>
        <v>81057.64</v>
      </c>
      <c r="J224" s="82">
        <f t="shared" si="42"/>
        <v>1.4824469729775372E-2</v>
      </c>
    </row>
    <row r="225" spans="1:10" x14ac:dyDescent="0.85">
      <c r="A225" s="75" t="s">
        <v>232</v>
      </c>
      <c r="B225" s="113">
        <v>0</v>
      </c>
      <c r="C225" s="113">
        <v>0</v>
      </c>
      <c r="D225" s="113">
        <v>0</v>
      </c>
      <c r="E225" s="113">
        <v>0</v>
      </c>
      <c r="F225" s="113">
        <v>0</v>
      </c>
      <c r="G225" s="113">
        <v>0</v>
      </c>
      <c r="H225" s="113">
        <v>0</v>
      </c>
      <c r="I225" s="81">
        <f t="shared" si="36"/>
        <v>0</v>
      </c>
      <c r="J225" s="82">
        <f t="shared" si="42"/>
        <v>0</v>
      </c>
    </row>
    <row r="226" spans="1:10" x14ac:dyDescent="0.85">
      <c r="A226" s="75" t="s">
        <v>246</v>
      </c>
      <c r="B226" s="113">
        <v>62099.85</v>
      </c>
      <c r="C226" s="113">
        <v>0</v>
      </c>
      <c r="D226" s="113">
        <v>0</v>
      </c>
      <c r="E226" s="113">
        <v>0</v>
      </c>
      <c r="F226" s="113">
        <v>0</v>
      </c>
      <c r="G226" s="113">
        <v>0</v>
      </c>
      <c r="H226" s="113">
        <v>0</v>
      </c>
      <c r="I226" s="81">
        <f t="shared" si="36"/>
        <v>62099.85</v>
      </c>
      <c r="J226" s="82">
        <f t="shared" si="42"/>
        <v>1.1357317416946646E-2</v>
      </c>
    </row>
    <row r="227" spans="1:10" x14ac:dyDescent="0.85">
      <c r="A227" s="80" t="s">
        <v>233</v>
      </c>
      <c r="B227" s="114">
        <f t="shared" ref="B227:H227" si="43">SUM(B217:B226)</f>
        <v>4854293.9799999995</v>
      </c>
      <c r="C227" s="114">
        <f t="shared" si="43"/>
        <v>0</v>
      </c>
      <c r="D227" s="114">
        <f t="shared" si="43"/>
        <v>206396.49999999997</v>
      </c>
      <c r="E227" s="114">
        <f t="shared" si="43"/>
        <v>0</v>
      </c>
      <c r="F227" s="114">
        <f t="shared" si="43"/>
        <v>407136.8</v>
      </c>
      <c r="G227" s="114">
        <f>SUM(G217:G226)</f>
        <v>0</v>
      </c>
      <c r="H227" s="114">
        <f t="shared" si="43"/>
        <v>0</v>
      </c>
      <c r="I227" s="83">
        <f t="shared" si="36"/>
        <v>5467827.2799999993</v>
      </c>
      <c r="J227" s="84">
        <f>SUM(J217:J226)</f>
        <v>1.0000000000000002</v>
      </c>
    </row>
    <row r="228" spans="1:10" x14ac:dyDescent="0.85">
      <c r="B228" s="113"/>
      <c r="C228" s="113"/>
      <c r="D228" s="113"/>
      <c r="E228" s="113"/>
      <c r="F228" s="113"/>
      <c r="G228" s="113"/>
      <c r="H228" s="113"/>
      <c r="I228" s="81"/>
    </row>
    <row r="229" spans="1:10" x14ac:dyDescent="0.85">
      <c r="A229" s="77"/>
      <c r="B229" s="111"/>
      <c r="C229" s="111"/>
      <c r="D229" s="111"/>
      <c r="E229" s="111"/>
      <c r="F229" s="111"/>
      <c r="G229" s="111"/>
      <c r="H229" s="111"/>
      <c r="I229" s="77"/>
      <c r="J229" s="120">
        <v>2017</v>
      </c>
    </row>
    <row r="230" spans="1:10" x14ac:dyDescent="0.85">
      <c r="A230" s="77"/>
      <c r="B230" s="111"/>
      <c r="C230" s="111"/>
      <c r="D230" s="111"/>
      <c r="E230" s="111"/>
      <c r="F230" s="111"/>
      <c r="G230" s="111"/>
      <c r="H230" s="111"/>
      <c r="I230" s="77"/>
      <c r="J230" s="120" t="s">
        <v>345</v>
      </c>
    </row>
    <row r="231" spans="1:10" x14ac:dyDescent="0.85">
      <c r="B231" s="109"/>
      <c r="C231" s="109"/>
      <c r="D231" s="109"/>
      <c r="E231" s="109"/>
      <c r="F231" s="109"/>
      <c r="G231" s="109"/>
      <c r="H231" s="109"/>
      <c r="J231" s="120" t="s">
        <v>343</v>
      </c>
    </row>
    <row r="232" spans="1:10" x14ac:dyDescent="0.85">
      <c r="B232" s="109"/>
      <c r="C232" s="109"/>
      <c r="D232" s="109"/>
      <c r="E232" s="109"/>
      <c r="F232" s="109"/>
      <c r="G232" s="109"/>
      <c r="H232" s="109"/>
      <c r="I232" s="120" t="s">
        <v>207</v>
      </c>
      <c r="J232" s="120" t="s">
        <v>207</v>
      </c>
    </row>
    <row r="233" spans="1:10" x14ac:dyDescent="0.85">
      <c r="B233" s="112" t="s">
        <v>212</v>
      </c>
      <c r="C233" s="112" t="s">
        <v>214</v>
      </c>
      <c r="D233" s="112" t="s">
        <v>213</v>
      </c>
      <c r="E233" s="112" t="s">
        <v>215</v>
      </c>
      <c r="F233" s="112" t="s">
        <v>216</v>
      </c>
      <c r="G233" s="112" t="s">
        <v>406</v>
      </c>
      <c r="H233" s="112" t="s">
        <v>418</v>
      </c>
      <c r="I233" s="78">
        <v>2017</v>
      </c>
      <c r="J233" s="121" t="s">
        <v>339</v>
      </c>
    </row>
    <row r="234" spans="1:10" x14ac:dyDescent="0.85">
      <c r="A234" s="80" t="s">
        <v>486</v>
      </c>
      <c r="B234" s="113"/>
      <c r="C234" s="113"/>
      <c r="D234" s="113"/>
      <c r="E234" s="113"/>
      <c r="F234" s="113"/>
      <c r="G234" s="113"/>
      <c r="H234" s="113"/>
      <c r="I234" s="81"/>
    </row>
    <row r="235" spans="1:10" x14ac:dyDescent="0.85">
      <c r="A235" s="75" t="s">
        <v>234</v>
      </c>
      <c r="B235" s="113">
        <v>410400</v>
      </c>
      <c r="C235" s="113">
        <v>0</v>
      </c>
      <c r="D235" s="113">
        <f>300000+150000</f>
        <v>450000</v>
      </c>
      <c r="E235" s="113">
        <v>0</v>
      </c>
      <c r="F235" s="113">
        <v>12000</v>
      </c>
      <c r="G235" s="113">
        <v>0</v>
      </c>
      <c r="H235" s="113">
        <v>0</v>
      </c>
      <c r="I235" s="81">
        <f t="shared" si="36"/>
        <v>872400</v>
      </c>
      <c r="J235" s="82">
        <f t="shared" ref="J235:J256" si="44">I235/$I$257</f>
        <v>0.27564456039631086</v>
      </c>
    </row>
    <row r="236" spans="1:10" x14ac:dyDescent="0.85">
      <c r="A236" s="75" t="s">
        <v>235</v>
      </c>
      <c r="B236" s="113">
        <v>71161.289999999994</v>
      </c>
      <c r="C236" s="113">
        <v>0</v>
      </c>
      <c r="D236" s="113">
        <v>73101.820000000007</v>
      </c>
      <c r="E236" s="113">
        <v>0</v>
      </c>
      <c r="F236" s="113">
        <v>61608.53</v>
      </c>
      <c r="G236" s="113">
        <v>0</v>
      </c>
      <c r="H236" s="113">
        <v>0</v>
      </c>
      <c r="I236" s="81">
        <f t="shared" si="36"/>
        <v>205871.63999999998</v>
      </c>
      <c r="J236" s="82">
        <f t="shared" si="44"/>
        <v>6.5047452666056355E-2</v>
      </c>
    </row>
    <row r="237" spans="1:10" x14ac:dyDescent="0.85">
      <c r="A237" s="75" t="s">
        <v>236</v>
      </c>
      <c r="B237" s="113">
        <v>8695.51</v>
      </c>
      <c r="C237" s="113">
        <v>0</v>
      </c>
      <c r="D237" s="113">
        <v>0</v>
      </c>
      <c r="E237" s="113">
        <v>0</v>
      </c>
      <c r="F237" s="113">
        <v>89647.24</v>
      </c>
      <c r="G237" s="113">
        <v>0</v>
      </c>
      <c r="H237" s="113">
        <v>0</v>
      </c>
      <c r="I237" s="81">
        <f t="shared" si="36"/>
        <v>98342.75</v>
      </c>
      <c r="J237" s="82">
        <f t="shared" si="44"/>
        <v>3.1072494374042067E-2</v>
      </c>
    </row>
    <row r="238" spans="1:10" x14ac:dyDescent="0.85">
      <c r="A238" s="75" t="s">
        <v>337</v>
      </c>
      <c r="B238" s="113">
        <v>1551.37</v>
      </c>
      <c r="C238" s="113">
        <v>0</v>
      </c>
      <c r="D238" s="113">
        <v>0</v>
      </c>
      <c r="E238" s="113">
        <v>0</v>
      </c>
      <c r="F238" s="113">
        <v>1412.94</v>
      </c>
      <c r="G238" s="113">
        <v>0</v>
      </c>
      <c r="H238" s="113">
        <v>0</v>
      </c>
      <c r="I238" s="81">
        <f t="shared" si="36"/>
        <v>2964.31</v>
      </c>
      <c r="J238" s="82">
        <f t="shared" si="44"/>
        <v>9.366069771072768E-4</v>
      </c>
    </row>
    <row r="239" spans="1:10" x14ac:dyDescent="0.85">
      <c r="A239" s="75" t="s">
        <v>290</v>
      </c>
      <c r="B239" s="113">
        <v>0</v>
      </c>
      <c r="C239" s="113">
        <v>0</v>
      </c>
      <c r="D239" s="113">
        <v>1443.5</v>
      </c>
      <c r="E239" s="113">
        <v>0</v>
      </c>
      <c r="F239" s="113">
        <v>6092.86</v>
      </c>
      <c r="G239" s="113">
        <v>0</v>
      </c>
      <c r="H239" s="113">
        <v>0</v>
      </c>
      <c r="I239" s="81">
        <f t="shared" si="36"/>
        <v>7536.36</v>
      </c>
      <c r="J239" s="82">
        <f t="shared" si="44"/>
        <v>2.3811974314400979E-3</v>
      </c>
    </row>
    <row r="240" spans="1:10" x14ac:dyDescent="0.85">
      <c r="A240" s="75" t="s">
        <v>445</v>
      </c>
      <c r="B240" s="113">
        <v>13304</v>
      </c>
      <c r="C240" s="113">
        <v>0</v>
      </c>
      <c r="D240" s="113">
        <v>11698</v>
      </c>
      <c r="E240" s="113">
        <v>0</v>
      </c>
      <c r="F240" s="113">
        <v>0</v>
      </c>
      <c r="G240" s="113">
        <v>0</v>
      </c>
      <c r="H240" s="113">
        <v>0</v>
      </c>
      <c r="I240" s="81">
        <f t="shared" si="36"/>
        <v>25002</v>
      </c>
      <c r="J240" s="82">
        <f t="shared" si="44"/>
        <v>7.899662195126736E-3</v>
      </c>
    </row>
    <row r="241" spans="1:10" x14ac:dyDescent="0.85">
      <c r="A241" s="75" t="s">
        <v>237</v>
      </c>
      <c r="B241" s="113">
        <v>167923.72</v>
      </c>
      <c r="C241" s="113">
        <v>0</v>
      </c>
      <c r="D241" s="113">
        <v>36557.550000000003</v>
      </c>
      <c r="E241" s="113">
        <v>0</v>
      </c>
      <c r="F241" s="113">
        <f>8527.18+5770.59+1240.8</f>
        <v>15538.57</v>
      </c>
      <c r="G241" s="113">
        <v>0</v>
      </c>
      <c r="H241" s="113">
        <v>0</v>
      </c>
      <c r="I241" s="81">
        <f t="shared" si="36"/>
        <v>220019.84000000003</v>
      </c>
      <c r="J241" s="82">
        <f t="shared" si="44"/>
        <v>6.9517735070227724E-2</v>
      </c>
    </row>
    <row r="242" spans="1:10" x14ac:dyDescent="0.85">
      <c r="A242" s="75" t="s">
        <v>374</v>
      </c>
      <c r="B242" s="113">
        <v>0</v>
      </c>
      <c r="C242" s="113">
        <v>11057.92</v>
      </c>
      <c r="D242" s="113">
        <v>0</v>
      </c>
      <c r="E242" s="113">
        <v>0</v>
      </c>
      <c r="F242" s="113">
        <f>6543.4+5100.55</f>
        <v>11643.95</v>
      </c>
      <c r="G242" s="113">
        <v>0</v>
      </c>
      <c r="H242" s="113">
        <v>0</v>
      </c>
      <c r="I242" s="81">
        <f t="shared" si="36"/>
        <v>22701.870000000003</v>
      </c>
      <c r="J242" s="82">
        <f t="shared" si="44"/>
        <v>7.1729103350804662E-3</v>
      </c>
    </row>
    <row r="243" spans="1:10" x14ac:dyDescent="0.85">
      <c r="A243" s="75" t="s">
        <v>239</v>
      </c>
      <c r="B243" s="113">
        <v>109850.21</v>
      </c>
      <c r="C243" s="113">
        <v>0</v>
      </c>
      <c r="D243" s="113">
        <v>52018.06</v>
      </c>
      <c r="E243" s="113">
        <v>0</v>
      </c>
      <c r="F243" s="113">
        <v>1016.98</v>
      </c>
      <c r="G243" s="113">
        <v>0</v>
      </c>
      <c r="H243" s="113">
        <v>0</v>
      </c>
      <c r="I243" s="81">
        <f t="shared" si="36"/>
        <v>162885.25000000003</v>
      </c>
      <c r="J243" s="82">
        <f t="shared" si="44"/>
        <v>5.1465420829084368E-2</v>
      </c>
    </row>
    <row r="244" spans="1:10" x14ac:dyDescent="0.85">
      <c r="A244" s="75" t="s">
        <v>240</v>
      </c>
      <c r="B244" s="113">
        <v>35626.29</v>
      </c>
      <c r="C244" s="113">
        <v>0</v>
      </c>
      <c r="D244" s="113">
        <v>20219.39</v>
      </c>
      <c r="E244" s="113">
        <v>0</v>
      </c>
      <c r="F244" s="113">
        <v>0</v>
      </c>
      <c r="G244" s="113">
        <v>0</v>
      </c>
      <c r="H244" s="113">
        <v>0</v>
      </c>
      <c r="I244" s="81">
        <f t="shared" si="36"/>
        <v>55845.68</v>
      </c>
      <c r="J244" s="82">
        <f t="shared" si="44"/>
        <v>1.7645068676791668E-2</v>
      </c>
    </row>
    <row r="245" spans="1:10" x14ac:dyDescent="0.85">
      <c r="A245" s="75" t="s">
        <v>238</v>
      </c>
      <c r="B245" s="113">
        <v>54688.56</v>
      </c>
      <c r="C245" s="113">
        <v>0</v>
      </c>
      <c r="D245" s="113">
        <v>0</v>
      </c>
      <c r="E245" s="113">
        <v>0</v>
      </c>
      <c r="F245" s="113">
        <v>28268</v>
      </c>
      <c r="G245" s="113">
        <v>0</v>
      </c>
      <c r="H245" s="113">
        <v>0</v>
      </c>
      <c r="I245" s="81">
        <f t="shared" si="36"/>
        <v>82956.56</v>
      </c>
      <c r="J245" s="82">
        <f t="shared" si="44"/>
        <v>2.6211055150378481E-2</v>
      </c>
    </row>
    <row r="246" spans="1:10" x14ac:dyDescent="0.85">
      <c r="A246" s="75" t="s">
        <v>359</v>
      </c>
      <c r="B246" s="113">
        <v>0</v>
      </c>
      <c r="C246" s="113">
        <v>0</v>
      </c>
      <c r="D246" s="113">
        <v>0</v>
      </c>
      <c r="E246" s="113">
        <v>0</v>
      </c>
      <c r="F246" s="113">
        <v>11201.97</v>
      </c>
      <c r="G246" s="113">
        <v>0</v>
      </c>
      <c r="H246" s="113">
        <v>0</v>
      </c>
      <c r="I246" s="81">
        <f t="shared" si="36"/>
        <v>11201.97</v>
      </c>
      <c r="J246" s="82">
        <f t="shared" si="44"/>
        <v>3.5393880057572927E-3</v>
      </c>
    </row>
    <row r="247" spans="1:10" x14ac:dyDescent="0.85">
      <c r="A247" s="75" t="s">
        <v>241</v>
      </c>
      <c r="B247" s="113">
        <v>25662.99</v>
      </c>
      <c r="C247" s="113">
        <v>396.74</v>
      </c>
      <c r="D247" s="113">
        <v>3698.13</v>
      </c>
      <c r="E247" s="113">
        <v>0</v>
      </c>
      <c r="F247" s="113">
        <v>1938.02</v>
      </c>
      <c r="G247" s="113">
        <v>0</v>
      </c>
      <c r="H247" s="113">
        <v>0</v>
      </c>
      <c r="I247" s="81">
        <f t="shared" si="36"/>
        <v>31695.880000000005</v>
      </c>
      <c r="J247" s="82">
        <f t="shared" si="44"/>
        <v>1.0014668625600898E-2</v>
      </c>
    </row>
    <row r="248" spans="1:10" x14ac:dyDescent="0.85">
      <c r="A248" s="75" t="s">
        <v>242</v>
      </c>
      <c r="B248" s="113">
        <v>3274.67</v>
      </c>
      <c r="C248" s="113">
        <v>776.44</v>
      </c>
      <c r="D248" s="113">
        <v>3404.28</v>
      </c>
      <c r="E248" s="113">
        <v>0</v>
      </c>
      <c r="F248" s="113">
        <v>0</v>
      </c>
      <c r="G248" s="113">
        <v>0</v>
      </c>
      <c r="H248" s="113">
        <v>0</v>
      </c>
      <c r="I248" s="81">
        <f t="shared" si="36"/>
        <v>7455.39</v>
      </c>
      <c r="J248" s="82">
        <f t="shared" si="44"/>
        <v>2.3556140521928614E-3</v>
      </c>
    </row>
    <row r="249" spans="1:10" x14ac:dyDescent="0.85">
      <c r="A249" s="75" t="s">
        <v>243</v>
      </c>
      <c r="B249" s="113">
        <v>4000</v>
      </c>
      <c r="C249" s="113">
        <v>0</v>
      </c>
      <c r="D249" s="113">
        <v>0</v>
      </c>
      <c r="E249" s="113">
        <v>0</v>
      </c>
      <c r="F249" s="113">
        <v>0</v>
      </c>
      <c r="G249" s="113">
        <v>1609.32</v>
      </c>
      <c r="H249" s="113">
        <v>0</v>
      </c>
      <c r="I249" s="81">
        <f t="shared" si="36"/>
        <v>5609.32</v>
      </c>
      <c r="J249" s="82">
        <f t="shared" si="44"/>
        <v>1.7723275395715662E-3</v>
      </c>
    </row>
    <row r="250" spans="1:10" x14ac:dyDescent="0.85">
      <c r="A250" s="75" t="s">
        <v>244</v>
      </c>
      <c r="B250" s="113">
        <v>757919.62</v>
      </c>
      <c r="C250" s="113">
        <v>5000</v>
      </c>
      <c r="D250" s="113">
        <v>124372.88</v>
      </c>
      <c r="E250" s="113">
        <v>0</v>
      </c>
      <c r="F250" s="113">
        <v>102503</v>
      </c>
      <c r="G250" s="113">
        <v>111310.19</v>
      </c>
      <c r="H250" s="113">
        <v>136236</v>
      </c>
      <c r="I250" s="81">
        <f t="shared" si="36"/>
        <v>1237341.69</v>
      </c>
      <c r="J250" s="82">
        <f t="shared" si="44"/>
        <v>0.39095197867959464</v>
      </c>
    </row>
    <row r="251" spans="1:10" x14ac:dyDescent="0.85">
      <c r="A251" s="75" t="s">
        <v>254</v>
      </c>
      <c r="B251" s="113">
        <v>3286.03</v>
      </c>
      <c r="C251" s="113">
        <v>0</v>
      </c>
      <c r="D251" s="113">
        <v>0</v>
      </c>
      <c r="E251" s="113">
        <v>0</v>
      </c>
      <c r="F251" s="113">
        <v>327.56</v>
      </c>
      <c r="G251" s="113">
        <v>-1113.3599999999999</v>
      </c>
      <c r="H251" s="113">
        <v>0</v>
      </c>
      <c r="I251" s="81">
        <f t="shared" si="36"/>
        <v>2500.2300000000005</v>
      </c>
      <c r="J251" s="82">
        <f t="shared" si="44"/>
        <v>7.8997569834900097E-4</v>
      </c>
    </row>
    <row r="252" spans="1:10" x14ac:dyDescent="0.85">
      <c r="A252" s="75" t="s">
        <v>356</v>
      </c>
      <c r="B252" s="113">
        <v>0</v>
      </c>
      <c r="C252" s="113">
        <v>0</v>
      </c>
      <c r="D252" s="113">
        <v>0</v>
      </c>
      <c r="E252" s="113">
        <v>0</v>
      </c>
      <c r="F252" s="113">
        <v>1515</v>
      </c>
      <c r="G252" s="113">
        <v>0</v>
      </c>
      <c r="H252" s="113">
        <v>520</v>
      </c>
      <c r="I252" s="81">
        <f t="shared" si="36"/>
        <v>2035</v>
      </c>
      <c r="J252" s="82">
        <f t="shared" si="44"/>
        <v>6.4298106419818045E-4</v>
      </c>
    </row>
    <row r="253" spans="1:10" x14ac:dyDescent="0.85">
      <c r="A253" s="75" t="s">
        <v>247</v>
      </c>
      <c r="B253" s="113">
        <v>16237.27</v>
      </c>
      <c r="C253" s="113">
        <v>0</v>
      </c>
      <c r="D253" s="113">
        <v>7777.98</v>
      </c>
      <c r="E253" s="113">
        <v>0</v>
      </c>
      <c r="F253" s="113">
        <v>0</v>
      </c>
      <c r="G253" s="113">
        <v>0</v>
      </c>
      <c r="H253" s="113">
        <v>0</v>
      </c>
      <c r="I253" s="81">
        <f t="shared" si="36"/>
        <v>24015.25</v>
      </c>
      <c r="J253" s="82">
        <f t="shared" si="44"/>
        <v>7.587887470263073E-3</v>
      </c>
    </row>
    <row r="254" spans="1:10" x14ac:dyDescent="0.85">
      <c r="A254" s="75" t="s">
        <v>248</v>
      </c>
      <c r="B254" s="113">
        <v>1675</v>
      </c>
      <c r="C254" s="113">
        <v>0</v>
      </c>
      <c r="D254" s="113">
        <v>84889.47</v>
      </c>
      <c r="E254" s="113">
        <v>0</v>
      </c>
      <c r="F254" s="113">
        <v>0</v>
      </c>
      <c r="G254" s="113">
        <v>0</v>
      </c>
      <c r="H254" s="113">
        <v>0</v>
      </c>
      <c r="I254" s="81">
        <f t="shared" si="36"/>
        <v>86564.47</v>
      </c>
      <c r="J254" s="82">
        <f t="shared" si="44"/>
        <v>2.7351014762826274E-2</v>
      </c>
    </row>
    <row r="255" spans="1:10" x14ac:dyDescent="0.85">
      <c r="A255" s="75" t="s">
        <v>368</v>
      </c>
      <c r="B255" s="113">
        <v>0</v>
      </c>
      <c r="C255" s="113">
        <v>0</v>
      </c>
      <c r="D255" s="113">
        <v>0</v>
      </c>
      <c r="E255" s="113">
        <v>0</v>
      </c>
      <c r="F255" s="113">
        <v>0</v>
      </c>
      <c r="G255" s="113">
        <v>0</v>
      </c>
      <c r="H255" s="113">
        <v>0</v>
      </c>
      <c r="I255" s="81">
        <f t="shared" si="36"/>
        <v>0</v>
      </c>
      <c r="J255" s="82">
        <f t="shared" si="44"/>
        <v>0</v>
      </c>
    </row>
    <row r="256" spans="1:10" x14ac:dyDescent="0.85">
      <c r="A256" s="75" t="s">
        <v>369</v>
      </c>
      <c r="B256" s="113">
        <v>0</v>
      </c>
      <c r="C256" s="113">
        <v>0</v>
      </c>
      <c r="D256" s="113">
        <v>0</v>
      </c>
      <c r="E256" s="113">
        <v>0</v>
      </c>
      <c r="F256" s="113">
        <v>0</v>
      </c>
      <c r="G256" s="113">
        <v>0</v>
      </c>
      <c r="H256" s="113">
        <v>0</v>
      </c>
      <c r="I256" s="81">
        <f t="shared" si="36"/>
        <v>0</v>
      </c>
      <c r="J256" s="82">
        <f t="shared" si="44"/>
        <v>0</v>
      </c>
    </row>
    <row r="257" spans="1:10" x14ac:dyDescent="0.85">
      <c r="A257" s="80" t="s">
        <v>249</v>
      </c>
      <c r="B257" s="114">
        <f>SUM(B235:B256)</f>
        <v>1685256.53</v>
      </c>
      <c r="C257" s="114">
        <f t="shared" ref="C257:H257" si="45">SUM(C235:C256)</f>
        <v>17231.099999999999</v>
      </c>
      <c r="D257" s="114">
        <f t="shared" si="45"/>
        <v>869181.06000000017</v>
      </c>
      <c r="E257" s="114">
        <f t="shared" si="45"/>
        <v>0</v>
      </c>
      <c r="F257" s="114">
        <f t="shared" si="45"/>
        <v>344714.62000000005</v>
      </c>
      <c r="G257" s="114">
        <f t="shared" si="45"/>
        <v>111806.15000000001</v>
      </c>
      <c r="H257" s="114">
        <f t="shared" si="45"/>
        <v>136756</v>
      </c>
      <c r="I257" s="83">
        <f t="shared" si="36"/>
        <v>3164945.4600000004</v>
      </c>
      <c r="J257" s="84">
        <f>SUM(J235:J256)</f>
        <v>0.99999999999999989</v>
      </c>
    </row>
    <row r="258" spans="1:10" x14ac:dyDescent="0.85">
      <c r="B258" s="113"/>
      <c r="C258" s="113"/>
      <c r="D258" s="113"/>
      <c r="E258" s="113"/>
      <c r="F258" s="113"/>
      <c r="G258" s="113"/>
      <c r="H258" s="113"/>
      <c r="I258" s="81"/>
    </row>
    <row r="259" spans="1:10" x14ac:dyDescent="0.85">
      <c r="A259" s="80" t="s">
        <v>250</v>
      </c>
      <c r="B259" s="113"/>
      <c r="C259" s="113"/>
      <c r="D259" s="113"/>
      <c r="E259" s="113"/>
      <c r="F259" s="113"/>
      <c r="G259" s="113"/>
      <c r="H259" s="113"/>
      <c r="I259" s="81"/>
    </row>
    <row r="260" spans="1:10" x14ac:dyDescent="0.85">
      <c r="A260" s="75" t="s">
        <v>251</v>
      </c>
      <c r="B260" s="113">
        <v>11738.84</v>
      </c>
      <c r="C260" s="113">
        <v>0</v>
      </c>
      <c r="D260" s="113">
        <v>1774.86</v>
      </c>
      <c r="E260" s="113">
        <v>0</v>
      </c>
      <c r="F260" s="113">
        <v>0</v>
      </c>
      <c r="G260" s="113">
        <v>0</v>
      </c>
      <c r="H260" s="113">
        <v>0</v>
      </c>
      <c r="I260" s="81">
        <f t="shared" si="36"/>
        <v>13513.7</v>
      </c>
      <c r="J260" s="82">
        <f t="shared" ref="J260:J279" si="46">I260/$I$280</f>
        <v>1.2879221017990548E-2</v>
      </c>
    </row>
    <row r="261" spans="1:10" x14ac:dyDescent="0.85">
      <c r="A261" s="75" t="s">
        <v>391</v>
      </c>
      <c r="B261" s="113">
        <v>2500</v>
      </c>
      <c r="C261" s="113">
        <v>0</v>
      </c>
      <c r="D261" s="113">
        <v>0</v>
      </c>
      <c r="E261" s="113">
        <v>0</v>
      </c>
      <c r="F261" s="113">
        <v>0</v>
      </c>
      <c r="G261" s="113">
        <v>0</v>
      </c>
      <c r="H261" s="113">
        <v>0</v>
      </c>
      <c r="I261" s="81">
        <f>SUM(B261:H261)</f>
        <v>2500</v>
      </c>
      <c r="J261" s="82">
        <f t="shared" si="46"/>
        <v>2.3826230081307391E-3</v>
      </c>
    </row>
    <row r="262" spans="1:10" x14ac:dyDescent="0.85">
      <c r="A262" s="75" t="s">
        <v>546</v>
      </c>
      <c r="B262" s="113">
        <v>0</v>
      </c>
      <c r="C262" s="113">
        <v>0</v>
      </c>
      <c r="D262" s="113">
        <v>0</v>
      </c>
      <c r="E262" s="113">
        <v>0</v>
      </c>
      <c r="F262" s="113">
        <v>0</v>
      </c>
      <c r="G262" s="113">
        <v>0</v>
      </c>
      <c r="H262" s="113">
        <v>0</v>
      </c>
      <c r="I262" s="81">
        <f>SUM(B262:H262)</f>
        <v>0</v>
      </c>
      <c r="J262" s="82">
        <f t="shared" si="46"/>
        <v>0</v>
      </c>
    </row>
    <row r="263" spans="1:10" x14ac:dyDescent="0.85">
      <c r="A263" s="75" t="s">
        <v>252</v>
      </c>
      <c r="B263" s="113">
        <v>135085.85</v>
      </c>
      <c r="C263" s="113">
        <v>8641.52</v>
      </c>
      <c r="D263" s="113">
        <v>9349.5</v>
      </c>
      <c r="E263" s="113">
        <v>2661.12</v>
      </c>
      <c r="F263" s="113">
        <v>5128.68</v>
      </c>
      <c r="G263" s="113">
        <v>54</v>
      </c>
      <c r="H263" s="113">
        <v>932.27</v>
      </c>
      <c r="I263" s="81">
        <f t="shared" si="36"/>
        <v>161852.93999999997</v>
      </c>
      <c r="J263" s="82">
        <f t="shared" si="46"/>
        <v>0.15425381551104159</v>
      </c>
    </row>
    <row r="264" spans="1:10" x14ac:dyDescent="0.85">
      <c r="A264" s="75" t="s">
        <v>363</v>
      </c>
      <c r="B264" s="113">
        <v>0</v>
      </c>
      <c r="C264" s="113">
        <v>0</v>
      </c>
      <c r="D264" s="113">
        <v>0</v>
      </c>
      <c r="E264" s="113">
        <v>0</v>
      </c>
      <c r="F264" s="113">
        <v>4003.21</v>
      </c>
      <c r="G264" s="113">
        <v>0</v>
      </c>
      <c r="H264" s="113">
        <v>0</v>
      </c>
      <c r="I264" s="81">
        <f>SUM(B264:H264)</f>
        <v>4003.21</v>
      </c>
      <c r="J264" s="82">
        <f t="shared" si="46"/>
        <v>3.8152561009516224E-3</v>
      </c>
    </row>
    <row r="265" spans="1:10" x14ac:dyDescent="0.85">
      <c r="A265" s="75" t="s">
        <v>253</v>
      </c>
      <c r="B265" s="113">
        <v>10314.1</v>
      </c>
      <c r="C265" s="113">
        <v>0</v>
      </c>
      <c r="D265" s="113">
        <v>100</v>
      </c>
      <c r="E265" s="113">
        <v>0</v>
      </c>
      <c r="F265" s="113">
        <v>5274.44</v>
      </c>
      <c r="G265" s="113">
        <v>0</v>
      </c>
      <c r="H265" s="113">
        <v>0</v>
      </c>
      <c r="I265" s="81">
        <f t="shared" si="36"/>
        <v>15688.54</v>
      </c>
      <c r="J265" s="82">
        <f t="shared" si="46"/>
        <v>1.4951950547191771E-2</v>
      </c>
    </row>
    <row r="266" spans="1:10" x14ac:dyDescent="0.85">
      <c r="A266" s="75" t="s">
        <v>360</v>
      </c>
      <c r="B266" s="113">
        <v>455211.23</v>
      </c>
      <c r="C266" s="113">
        <v>73448.25</v>
      </c>
      <c r="D266" s="113">
        <v>91422.02</v>
      </c>
      <c r="E266" s="113">
        <v>0</v>
      </c>
      <c r="F266" s="113">
        <v>20835.47</v>
      </c>
      <c r="G266" s="113">
        <v>-417.13</v>
      </c>
      <c r="H266" s="113">
        <v>1825</v>
      </c>
      <c r="I266" s="81">
        <f t="shared" si="36"/>
        <v>642324.84</v>
      </c>
      <c r="J266" s="82">
        <f t="shared" si="46"/>
        <v>0.61216717699115819</v>
      </c>
    </row>
    <row r="267" spans="1:10" x14ac:dyDescent="0.85">
      <c r="A267" s="75" t="s">
        <v>361</v>
      </c>
      <c r="B267" s="113">
        <v>0</v>
      </c>
      <c r="C267" s="113">
        <v>0</v>
      </c>
      <c r="D267" s="113">
        <v>0</v>
      </c>
      <c r="E267" s="113">
        <v>0</v>
      </c>
      <c r="F267" s="113">
        <v>13542.06</v>
      </c>
      <c r="G267" s="113">
        <v>0</v>
      </c>
      <c r="H267" s="113">
        <v>0</v>
      </c>
      <c r="I267" s="81">
        <f>SUM(B267:H267)</f>
        <v>13542.06</v>
      </c>
      <c r="J267" s="82">
        <f t="shared" si="46"/>
        <v>1.2906249493394781E-2</v>
      </c>
    </row>
    <row r="268" spans="1:10" x14ac:dyDescent="0.85">
      <c r="A268" s="75" t="s">
        <v>362</v>
      </c>
      <c r="B268" s="113">
        <v>0</v>
      </c>
      <c r="C268" s="113">
        <v>0</v>
      </c>
      <c r="D268" s="113">
        <v>0</v>
      </c>
      <c r="E268" s="113">
        <v>5231.25</v>
      </c>
      <c r="F268" s="113">
        <v>0</v>
      </c>
      <c r="G268" s="113">
        <v>11520</v>
      </c>
      <c r="H268" s="113">
        <v>0</v>
      </c>
      <c r="I268" s="81">
        <f>SUM(B268:H268)</f>
        <v>16751.25</v>
      </c>
      <c r="J268" s="82">
        <f t="shared" si="46"/>
        <v>1.5964765465980017E-2</v>
      </c>
    </row>
    <row r="269" spans="1:10" x14ac:dyDescent="0.85">
      <c r="A269" s="75" t="s">
        <v>400</v>
      </c>
      <c r="B269" s="113">
        <v>0</v>
      </c>
      <c r="C269" s="113">
        <v>0</v>
      </c>
      <c r="D269" s="113">
        <v>0</v>
      </c>
      <c r="E269" s="113">
        <v>0</v>
      </c>
      <c r="F269" s="113">
        <v>0</v>
      </c>
      <c r="G269" s="113">
        <v>0</v>
      </c>
      <c r="H269" s="113">
        <v>0</v>
      </c>
      <c r="I269" s="81">
        <f>SUM(B269:H269)</f>
        <v>0</v>
      </c>
      <c r="J269" s="82">
        <f t="shared" si="46"/>
        <v>0</v>
      </c>
    </row>
    <row r="270" spans="1:10" x14ac:dyDescent="0.85">
      <c r="A270" s="75" t="s">
        <v>389</v>
      </c>
      <c r="B270" s="113">
        <v>0</v>
      </c>
      <c r="C270" s="113">
        <v>0</v>
      </c>
      <c r="D270" s="113">
        <v>0</v>
      </c>
      <c r="E270" s="113">
        <v>0</v>
      </c>
      <c r="F270" s="113">
        <v>0</v>
      </c>
      <c r="G270" s="113">
        <v>0</v>
      </c>
      <c r="H270" s="113">
        <v>0</v>
      </c>
      <c r="I270" s="81">
        <f>SUM(B270:H270)</f>
        <v>0</v>
      </c>
      <c r="J270" s="82">
        <f t="shared" si="46"/>
        <v>0</v>
      </c>
    </row>
    <row r="271" spans="1:10" x14ac:dyDescent="0.85">
      <c r="A271" s="75" t="s">
        <v>255</v>
      </c>
      <c r="B271" s="113">
        <v>4362.2</v>
      </c>
      <c r="C271" s="113">
        <v>0</v>
      </c>
      <c r="D271" s="113">
        <v>0</v>
      </c>
      <c r="E271" s="113">
        <v>0</v>
      </c>
      <c r="F271" s="113">
        <v>3087.56</v>
      </c>
      <c r="G271" s="113">
        <v>0</v>
      </c>
      <c r="H271" s="113">
        <v>0</v>
      </c>
      <c r="I271" s="81">
        <f t="shared" si="36"/>
        <v>7449.76</v>
      </c>
      <c r="J271" s="82">
        <f t="shared" si="46"/>
        <v>7.0999878324208218E-3</v>
      </c>
    </row>
    <row r="272" spans="1:10" x14ac:dyDescent="0.85">
      <c r="A272" s="75" t="s">
        <v>256</v>
      </c>
      <c r="B272" s="113">
        <v>43682.31</v>
      </c>
      <c r="C272" s="113">
        <v>1125.75</v>
      </c>
      <c r="D272" s="113">
        <v>3841.71</v>
      </c>
      <c r="E272" s="113">
        <v>0</v>
      </c>
      <c r="F272" s="113">
        <v>623</v>
      </c>
      <c r="G272" s="113">
        <v>0</v>
      </c>
      <c r="H272" s="113">
        <v>0</v>
      </c>
      <c r="I272" s="81">
        <f t="shared" si="36"/>
        <v>49272.77</v>
      </c>
      <c r="J272" s="82">
        <f t="shared" si="46"/>
        <v>4.6959374190533615E-2</v>
      </c>
    </row>
    <row r="273" spans="1:10" x14ac:dyDescent="0.85">
      <c r="A273" s="75" t="s">
        <v>257</v>
      </c>
      <c r="B273" s="113">
        <v>29498.560000000001</v>
      </c>
      <c r="C273" s="113">
        <v>0</v>
      </c>
      <c r="D273" s="113">
        <v>0</v>
      </c>
      <c r="E273" s="113">
        <v>0</v>
      </c>
      <c r="F273" s="113">
        <v>0</v>
      </c>
      <c r="G273" s="113">
        <v>0</v>
      </c>
      <c r="H273" s="113">
        <v>0</v>
      </c>
      <c r="I273" s="81">
        <f t="shared" si="36"/>
        <v>29498.560000000001</v>
      </c>
      <c r="J273" s="82">
        <f t="shared" si="46"/>
        <v>2.811357910509004E-2</v>
      </c>
    </row>
    <row r="274" spans="1:10" x14ac:dyDescent="0.85">
      <c r="A274" s="75" t="s">
        <v>294</v>
      </c>
      <c r="B274" s="113">
        <v>4387.99</v>
      </c>
      <c r="C274" s="113">
        <v>0</v>
      </c>
      <c r="D274" s="113">
        <v>0</v>
      </c>
      <c r="E274" s="113">
        <v>0</v>
      </c>
      <c r="F274" s="113">
        <v>950</v>
      </c>
      <c r="G274" s="113">
        <v>0</v>
      </c>
      <c r="H274" s="113">
        <v>0</v>
      </c>
      <c r="I274" s="81">
        <f>SUM(B274:H274)</f>
        <v>5337.99</v>
      </c>
      <c r="J274" s="82">
        <f t="shared" si="46"/>
        <v>5.0873671164687216E-3</v>
      </c>
    </row>
    <row r="275" spans="1:10" x14ac:dyDescent="0.85">
      <c r="A275" s="75" t="s">
        <v>375</v>
      </c>
      <c r="B275" s="113">
        <v>989</v>
      </c>
      <c r="C275" s="113">
        <v>0</v>
      </c>
      <c r="D275" s="113">
        <v>0</v>
      </c>
      <c r="E275" s="113">
        <v>0</v>
      </c>
      <c r="F275" s="113">
        <v>11162.36</v>
      </c>
      <c r="G275" s="113">
        <v>0</v>
      </c>
      <c r="H275" s="113">
        <v>0</v>
      </c>
      <c r="I275" s="81">
        <f>SUM(B275:H275)</f>
        <v>12151.36</v>
      </c>
      <c r="J275" s="82">
        <f t="shared" si="46"/>
        <v>1.1580843966431815E-2</v>
      </c>
    </row>
    <row r="276" spans="1:10" x14ac:dyDescent="0.85">
      <c r="A276" s="75" t="s">
        <v>258</v>
      </c>
      <c r="B276" s="113">
        <v>53434.720000000001</v>
      </c>
      <c r="C276" s="113">
        <v>0</v>
      </c>
      <c r="D276" s="113">
        <v>0</v>
      </c>
      <c r="E276" s="113">
        <v>0</v>
      </c>
      <c r="F276" s="113">
        <v>0</v>
      </c>
      <c r="G276" s="113">
        <v>0</v>
      </c>
      <c r="H276" s="113">
        <v>0</v>
      </c>
      <c r="I276" s="81">
        <f t="shared" si="36"/>
        <v>53434.720000000001</v>
      </c>
      <c r="J276" s="82">
        <f t="shared" si="46"/>
        <v>5.092591732200951E-2</v>
      </c>
    </row>
    <row r="277" spans="1:10" x14ac:dyDescent="0.85">
      <c r="A277" s="75" t="s">
        <v>259</v>
      </c>
      <c r="B277" s="113">
        <v>0</v>
      </c>
      <c r="C277" s="113">
        <v>0</v>
      </c>
      <c r="D277" s="113">
        <v>0</v>
      </c>
      <c r="E277" s="113">
        <v>0</v>
      </c>
      <c r="F277" s="113">
        <v>0</v>
      </c>
      <c r="G277" s="113">
        <v>0</v>
      </c>
      <c r="H277" s="113">
        <v>0</v>
      </c>
      <c r="I277" s="81">
        <f t="shared" si="36"/>
        <v>0</v>
      </c>
      <c r="J277" s="82">
        <f t="shared" si="46"/>
        <v>0</v>
      </c>
    </row>
    <row r="278" spans="1:10" x14ac:dyDescent="0.85">
      <c r="A278" s="75" t="s">
        <v>260</v>
      </c>
      <c r="B278" s="113">
        <v>21942.07</v>
      </c>
      <c r="C278" s="113">
        <v>0</v>
      </c>
      <c r="D278" s="113">
        <v>0</v>
      </c>
      <c r="E278" s="113">
        <v>0</v>
      </c>
      <c r="F278" s="113">
        <v>0</v>
      </c>
      <c r="G278" s="113">
        <v>0</v>
      </c>
      <c r="H278" s="113">
        <v>0</v>
      </c>
      <c r="I278" s="81">
        <f>SUM(B278:H278)</f>
        <v>21942.07</v>
      </c>
      <c r="J278" s="82">
        <f t="shared" si="46"/>
        <v>2.0911872331206099E-2</v>
      </c>
    </row>
    <row r="279" spans="1:10" x14ac:dyDescent="0.85">
      <c r="A279" s="75" t="s">
        <v>261</v>
      </c>
      <c r="B279" s="113">
        <v>0</v>
      </c>
      <c r="C279" s="113">
        <v>0</v>
      </c>
      <c r="D279" s="113">
        <v>0</v>
      </c>
      <c r="E279" s="113">
        <v>0</v>
      </c>
      <c r="F279" s="113">
        <v>0</v>
      </c>
      <c r="G279" s="113">
        <v>0</v>
      </c>
      <c r="H279" s="113">
        <v>0</v>
      </c>
      <c r="I279" s="81">
        <f>SUM(B279:H279)</f>
        <v>0</v>
      </c>
      <c r="J279" s="82">
        <f t="shared" si="46"/>
        <v>0</v>
      </c>
    </row>
    <row r="280" spans="1:10" x14ac:dyDescent="0.85">
      <c r="A280" s="80" t="s">
        <v>263</v>
      </c>
      <c r="B280" s="114">
        <f>SUM(B260:B279)</f>
        <v>773146.87</v>
      </c>
      <c r="C280" s="114">
        <f t="shared" ref="C280:H280" si="47">SUM(C260:C279)</f>
        <v>83215.520000000004</v>
      </c>
      <c r="D280" s="114">
        <f t="shared" si="47"/>
        <v>106488.09000000001</v>
      </c>
      <c r="E280" s="114">
        <f t="shared" si="47"/>
        <v>7892.37</v>
      </c>
      <c r="F280" s="114">
        <f t="shared" si="47"/>
        <v>64606.78</v>
      </c>
      <c r="G280" s="114">
        <f t="shared" si="47"/>
        <v>11156.87</v>
      </c>
      <c r="H280" s="114">
        <f t="shared" si="47"/>
        <v>2757.27</v>
      </c>
      <c r="I280" s="83">
        <f>SUM(B280:H280)</f>
        <v>1049263.77</v>
      </c>
      <c r="J280" s="84">
        <f>SUM(J260:J279)</f>
        <v>0.99999999999999989</v>
      </c>
    </row>
    <row r="281" spans="1:10" x14ac:dyDescent="0.85">
      <c r="B281" s="113"/>
      <c r="C281" s="113"/>
      <c r="D281" s="113"/>
      <c r="E281" s="113"/>
      <c r="F281" s="113"/>
      <c r="G281" s="113"/>
      <c r="H281" s="113"/>
      <c r="I281" s="81">
        <f>SUM(B281:H281)</f>
        <v>0</v>
      </c>
    </row>
    <row r="282" spans="1:10" ht="58.5" thickBot="1" x14ac:dyDescent="0.9">
      <c r="A282" s="80" t="s">
        <v>264</v>
      </c>
      <c r="B282" s="115">
        <f t="shared" ref="B282:H282" si="48">B227+B257+B280</f>
        <v>7312697.3799999999</v>
      </c>
      <c r="C282" s="115">
        <f t="shared" si="48"/>
        <v>100446.62</v>
      </c>
      <c r="D282" s="115">
        <f t="shared" si="48"/>
        <v>1182065.6500000001</v>
      </c>
      <c r="E282" s="115">
        <f t="shared" si="48"/>
        <v>7892.37</v>
      </c>
      <c r="F282" s="115">
        <f t="shared" si="48"/>
        <v>816458.20000000007</v>
      </c>
      <c r="G282" s="115">
        <f t="shared" si="48"/>
        <v>122963.02</v>
      </c>
      <c r="H282" s="115">
        <f t="shared" si="48"/>
        <v>139513.26999999999</v>
      </c>
      <c r="I282" s="86">
        <f>SUM(B282:H282)</f>
        <v>9682036.5099999979</v>
      </c>
      <c r="J282" s="81">
        <f>SUM(I217:I226)+SUM(I235:I256)+SUM(I260:I279)-I282</f>
        <v>0</v>
      </c>
    </row>
    <row r="283" spans="1:10" x14ac:dyDescent="0.85">
      <c r="A283" s="77"/>
      <c r="B283" s="111"/>
      <c r="C283" s="111"/>
      <c r="D283" s="111"/>
      <c r="E283" s="111"/>
      <c r="F283" s="111"/>
      <c r="G283" s="111"/>
      <c r="H283" s="111"/>
      <c r="I283" s="77"/>
      <c r="J283" s="120">
        <v>2017</v>
      </c>
    </row>
    <row r="284" spans="1:10" x14ac:dyDescent="0.85">
      <c r="A284" s="77"/>
      <c r="B284" s="111"/>
      <c r="C284" s="111"/>
      <c r="D284" s="111"/>
      <c r="E284" s="111"/>
      <c r="F284" s="111"/>
      <c r="G284" s="111"/>
      <c r="H284" s="111"/>
      <c r="I284" s="77"/>
      <c r="J284" s="120" t="s">
        <v>345</v>
      </c>
    </row>
    <row r="285" spans="1:10" x14ac:dyDescent="0.85">
      <c r="B285" s="109"/>
      <c r="C285" s="109"/>
      <c r="D285" s="109"/>
      <c r="E285" s="109"/>
      <c r="F285" s="109"/>
      <c r="G285" s="109"/>
      <c r="H285" s="109"/>
      <c r="J285" s="120" t="s">
        <v>343</v>
      </c>
    </row>
    <row r="286" spans="1:10" x14ac:dyDescent="0.85">
      <c r="B286" s="109"/>
      <c r="C286" s="109"/>
      <c r="D286" s="109"/>
      <c r="E286" s="109"/>
      <c r="F286" s="109"/>
      <c r="G286" s="109"/>
      <c r="H286" s="109"/>
      <c r="I286" s="120" t="s">
        <v>207</v>
      </c>
      <c r="J286" s="120" t="s">
        <v>207</v>
      </c>
    </row>
    <row r="287" spans="1:10" x14ac:dyDescent="0.85">
      <c r="B287" s="112" t="s">
        <v>212</v>
      </c>
      <c r="C287" s="112" t="s">
        <v>214</v>
      </c>
      <c r="D287" s="112" t="s">
        <v>213</v>
      </c>
      <c r="E287" s="112" t="s">
        <v>215</v>
      </c>
      <c r="F287" s="112" t="s">
        <v>216</v>
      </c>
      <c r="G287" s="112" t="s">
        <v>406</v>
      </c>
      <c r="H287" s="112" t="s">
        <v>418</v>
      </c>
      <c r="I287" s="78">
        <v>2017</v>
      </c>
      <c r="J287" s="121" t="s">
        <v>339</v>
      </c>
    </row>
    <row r="288" spans="1:10" x14ac:dyDescent="0.85">
      <c r="B288" s="113"/>
      <c r="C288" s="113"/>
      <c r="D288" s="113"/>
      <c r="E288" s="113"/>
      <c r="F288" s="113"/>
      <c r="G288" s="113"/>
      <c r="H288" s="113"/>
      <c r="I288" s="81"/>
    </row>
    <row r="289" spans="1:32" x14ac:dyDescent="0.85">
      <c r="A289" s="80" t="s">
        <v>462</v>
      </c>
      <c r="B289" s="113"/>
      <c r="C289" s="113"/>
      <c r="D289" s="113"/>
      <c r="E289" s="113"/>
      <c r="F289" s="113"/>
      <c r="G289" s="113"/>
      <c r="H289" s="113"/>
      <c r="I289" s="81"/>
    </row>
    <row r="290" spans="1:32" x14ac:dyDescent="0.85">
      <c r="A290" s="75" t="s">
        <v>267</v>
      </c>
      <c r="B290" s="113">
        <v>150000</v>
      </c>
      <c r="C290" s="113">
        <v>0</v>
      </c>
      <c r="D290" s="113">
        <v>150000</v>
      </c>
      <c r="E290" s="113">
        <v>0</v>
      </c>
      <c r="F290" s="113">
        <f>61425.61+2200</f>
        <v>63625.61</v>
      </c>
      <c r="G290" s="113">
        <f>12000+200400</f>
        <v>212400</v>
      </c>
      <c r="H290" s="113">
        <v>100000</v>
      </c>
      <c r="I290" s="81">
        <f>SUM(B290:H290)</f>
        <v>676025.61</v>
      </c>
      <c r="J290" s="82"/>
    </row>
    <row r="291" spans="1:32" s="126" customFormat="1" x14ac:dyDescent="0.85">
      <c r="A291" s="75" t="s">
        <v>268</v>
      </c>
      <c r="B291" s="113">
        <v>414056.25</v>
      </c>
      <c r="C291" s="113">
        <v>0</v>
      </c>
      <c r="D291" s="113">
        <v>0</v>
      </c>
      <c r="E291" s="113">
        <v>0</v>
      </c>
      <c r="F291" s="113">
        <v>0</v>
      </c>
      <c r="G291" s="113">
        <v>0</v>
      </c>
      <c r="H291" s="113">
        <v>0</v>
      </c>
      <c r="I291" s="81">
        <f>SUM(B291:H291)</f>
        <v>414056.25</v>
      </c>
      <c r="J291" s="82"/>
      <c r="K291" s="75"/>
      <c r="L291" s="75"/>
      <c r="M291" s="123"/>
      <c r="N291" s="123"/>
      <c r="O291" s="123"/>
      <c r="P291" s="123"/>
      <c r="Q291" s="123"/>
      <c r="R291" s="123"/>
      <c r="S291" s="123"/>
      <c r="T291" s="123"/>
      <c r="U291" s="123"/>
      <c r="V291" s="123"/>
      <c r="W291" s="123"/>
      <c r="X291" s="123"/>
      <c r="Y291" s="123"/>
      <c r="Z291" s="123"/>
      <c r="AA291" s="123"/>
      <c r="AB291" s="124"/>
      <c r="AC291" s="124"/>
      <c r="AD291" s="125"/>
      <c r="AE291" s="124"/>
      <c r="AF291" s="125"/>
    </row>
    <row r="292" spans="1:32" x14ac:dyDescent="0.85">
      <c r="A292" s="75" t="s">
        <v>326</v>
      </c>
      <c r="B292" s="113">
        <v>0</v>
      </c>
      <c r="C292" s="113">
        <v>-412777.5</v>
      </c>
      <c r="D292" s="113">
        <v>0</v>
      </c>
      <c r="E292" s="113">
        <v>0</v>
      </c>
      <c r="F292" s="113">
        <v>0</v>
      </c>
      <c r="G292" s="113">
        <v>0</v>
      </c>
      <c r="H292" s="113">
        <v>0</v>
      </c>
      <c r="I292" s="81">
        <f>SUM(B292:H292)</f>
        <v>-412777.5</v>
      </c>
      <c r="J292" s="82"/>
    </row>
    <row r="293" spans="1:32" x14ac:dyDescent="0.85">
      <c r="A293" s="75" t="s">
        <v>386</v>
      </c>
      <c r="B293" s="113">
        <v>0</v>
      </c>
      <c r="C293" s="113">
        <v>0</v>
      </c>
      <c r="D293" s="113">
        <v>0</v>
      </c>
      <c r="E293" s="113">
        <v>0</v>
      </c>
      <c r="F293" s="113">
        <v>0</v>
      </c>
      <c r="G293" s="113">
        <v>0</v>
      </c>
      <c r="H293" s="113">
        <v>0</v>
      </c>
      <c r="I293" s="81">
        <v>0</v>
      </c>
      <c r="J293" s="82"/>
    </row>
    <row r="294" spans="1:32" x14ac:dyDescent="0.85">
      <c r="A294" s="75" t="s">
        <v>269</v>
      </c>
      <c r="B294" s="113">
        <v>0</v>
      </c>
      <c r="C294" s="113">
        <v>0</v>
      </c>
      <c r="D294" s="113">
        <v>0</v>
      </c>
      <c r="E294" s="113">
        <v>0</v>
      </c>
      <c r="F294" s="113">
        <v>0</v>
      </c>
      <c r="G294" s="113">
        <v>0</v>
      </c>
      <c r="H294" s="113">
        <v>0</v>
      </c>
      <c r="I294" s="81">
        <f t="shared" ref="I294:I306" si="49">SUM(B294:H294)</f>
        <v>0</v>
      </c>
      <c r="J294" s="82"/>
    </row>
    <row r="295" spans="1:32" x14ac:dyDescent="0.85">
      <c r="A295" s="75" t="s">
        <v>270</v>
      </c>
      <c r="B295" s="113">
        <v>345825.2</v>
      </c>
      <c r="C295" s="113">
        <v>0</v>
      </c>
      <c r="D295" s="113">
        <v>19506.78</v>
      </c>
      <c r="E295" s="113">
        <v>94413.61</v>
      </c>
      <c r="F295" s="113">
        <v>0</v>
      </c>
      <c r="G295" s="113">
        <v>49541.9</v>
      </c>
      <c r="H295" s="113">
        <v>0</v>
      </c>
      <c r="I295" s="81">
        <f t="shared" si="49"/>
        <v>509287.49</v>
      </c>
      <c r="J295" s="82"/>
    </row>
    <row r="296" spans="1:32" x14ac:dyDescent="0.85">
      <c r="A296" s="75" t="s">
        <v>271</v>
      </c>
      <c r="B296" s="113">
        <v>-230587.87</v>
      </c>
      <c r="C296" s="113">
        <v>0</v>
      </c>
      <c r="D296" s="113">
        <v>0</v>
      </c>
      <c r="E296" s="113">
        <v>-17767.28</v>
      </c>
      <c r="F296" s="113">
        <f>-45653.21-72704.52</f>
        <v>-118357.73000000001</v>
      </c>
      <c r="G296" s="113">
        <f>-16173.41-9500.81-10331.16</f>
        <v>-36005.380000000005</v>
      </c>
      <c r="H296" s="113">
        <v>0</v>
      </c>
      <c r="I296" s="81">
        <f t="shared" si="49"/>
        <v>-402718.26</v>
      </c>
      <c r="J296" s="82"/>
    </row>
    <row r="297" spans="1:32" x14ac:dyDescent="0.85">
      <c r="A297" s="75" t="s">
        <v>272</v>
      </c>
      <c r="B297" s="113">
        <v>0</v>
      </c>
      <c r="C297" s="113">
        <v>0</v>
      </c>
      <c r="D297" s="113">
        <v>0</v>
      </c>
      <c r="E297" s="113">
        <v>0</v>
      </c>
      <c r="F297" s="113">
        <v>0</v>
      </c>
      <c r="G297" s="113">
        <v>0</v>
      </c>
      <c r="H297" s="113">
        <v>0</v>
      </c>
      <c r="I297" s="81">
        <f t="shared" si="49"/>
        <v>0</v>
      </c>
      <c r="J297" s="82"/>
    </row>
    <row r="298" spans="1:32" x14ac:dyDescent="0.85">
      <c r="A298" s="75" t="s">
        <v>401</v>
      </c>
      <c r="B298" s="113">
        <v>0</v>
      </c>
      <c r="C298" s="113">
        <v>0</v>
      </c>
      <c r="D298" s="113">
        <v>0</v>
      </c>
      <c r="E298" s="113">
        <v>0</v>
      </c>
      <c r="F298" s="113">
        <v>0</v>
      </c>
      <c r="G298" s="113">
        <v>0</v>
      </c>
      <c r="H298" s="113">
        <v>0</v>
      </c>
      <c r="I298" s="81">
        <f t="shared" si="49"/>
        <v>0</v>
      </c>
      <c r="J298" s="82"/>
    </row>
    <row r="299" spans="1:32" x14ac:dyDescent="0.85">
      <c r="A299" s="75" t="s">
        <v>438</v>
      </c>
      <c r="B299" s="113">
        <v>0</v>
      </c>
      <c r="C299" s="113">
        <v>0</v>
      </c>
      <c r="D299" s="113">
        <v>0</v>
      </c>
      <c r="E299" s="113">
        <v>0</v>
      </c>
      <c r="F299" s="113">
        <v>0</v>
      </c>
      <c r="G299" s="113">
        <v>0</v>
      </c>
      <c r="H299" s="113">
        <v>0</v>
      </c>
      <c r="I299" s="81">
        <f t="shared" si="49"/>
        <v>0</v>
      </c>
      <c r="J299" s="82"/>
    </row>
    <row r="300" spans="1:32" x14ac:dyDescent="0.85">
      <c r="A300" s="75" t="s">
        <v>439</v>
      </c>
      <c r="B300" s="113">
        <v>0</v>
      </c>
      <c r="C300" s="113">
        <v>0</v>
      </c>
      <c r="D300" s="113">
        <v>0</v>
      </c>
      <c r="E300" s="113">
        <v>0</v>
      </c>
      <c r="F300" s="113">
        <v>0</v>
      </c>
      <c r="G300" s="113">
        <v>0</v>
      </c>
      <c r="H300" s="113">
        <v>0</v>
      </c>
      <c r="I300" s="81">
        <f t="shared" si="49"/>
        <v>0</v>
      </c>
      <c r="J300" s="82"/>
    </row>
    <row r="301" spans="1:32" x14ac:dyDescent="0.85">
      <c r="A301" s="75" t="s">
        <v>403</v>
      </c>
      <c r="B301" s="113">
        <v>0</v>
      </c>
      <c r="C301" s="113">
        <v>0</v>
      </c>
      <c r="D301" s="113">
        <v>0</v>
      </c>
      <c r="E301" s="113">
        <v>0</v>
      </c>
      <c r="F301" s="113">
        <v>0</v>
      </c>
      <c r="G301" s="113">
        <v>0</v>
      </c>
      <c r="H301" s="113">
        <v>0</v>
      </c>
      <c r="I301" s="81">
        <f t="shared" si="49"/>
        <v>0</v>
      </c>
      <c r="J301" s="82"/>
    </row>
    <row r="302" spans="1:32" x14ac:dyDescent="0.85">
      <c r="A302" s="75" t="s">
        <v>539</v>
      </c>
      <c r="B302" s="113">
        <v>-67988.36</v>
      </c>
      <c r="C302" s="113">
        <v>-11775</v>
      </c>
      <c r="D302" s="113">
        <v>-1100</v>
      </c>
      <c r="E302" s="113">
        <v>0</v>
      </c>
      <c r="F302" s="113">
        <v>0</v>
      </c>
      <c r="G302" s="113">
        <v>0</v>
      </c>
      <c r="H302" s="113">
        <v>0</v>
      </c>
      <c r="I302" s="81">
        <f t="shared" si="49"/>
        <v>-80863.360000000001</v>
      </c>
      <c r="J302" s="82"/>
    </row>
    <row r="303" spans="1:32" x14ac:dyDescent="0.85">
      <c r="A303" s="75" t="s">
        <v>449</v>
      </c>
      <c r="B303" s="113">
        <v>0</v>
      </c>
      <c r="C303" s="113">
        <v>0</v>
      </c>
      <c r="D303" s="113">
        <v>0</v>
      </c>
      <c r="E303" s="113">
        <v>0</v>
      </c>
      <c r="F303" s="113">
        <v>0</v>
      </c>
      <c r="G303" s="113">
        <v>0</v>
      </c>
      <c r="H303" s="113">
        <v>0</v>
      </c>
      <c r="I303" s="81">
        <v>0</v>
      </c>
      <c r="J303" s="82"/>
    </row>
    <row r="304" spans="1:32" x14ac:dyDescent="0.85">
      <c r="A304" s="80" t="s">
        <v>463</v>
      </c>
      <c r="B304" s="114">
        <f>SUM(B290:B303)</f>
        <v>611305.22</v>
      </c>
      <c r="C304" s="114">
        <f>SUM(C290:C303)</f>
        <v>-424552.5</v>
      </c>
      <c r="D304" s="114">
        <f>SUM(D290:D302)</f>
        <v>168406.78</v>
      </c>
      <c r="E304" s="114">
        <f>SUM(E290:E303)</f>
        <v>76646.33</v>
      </c>
      <c r="F304" s="114">
        <f>SUM(F290:F303)</f>
        <v>-54732.12000000001</v>
      </c>
      <c r="G304" s="114">
        <f>SUM(G290:G303)</f>
        <v>225936.52</v>
      </c>
      <c r="H304" s="114">
        <f>SUM(H290:H303)</f>
        <v>100000</v>
      </c>
      <c r="I304" s="83">
        <f>SUM(B304:H304)</f>
        <v>703010.23</v>
      </c>
      <c r="J304" s="87">
        <f>SUM(I290:I301)-I304</f>
        <v>80863.35999999987</v>
      </c>
    </row>
    <row r="305" spans="1:12" x14ac:dyDescent="0.85">
      <c r="A305" s="80"/>
      <c r="B305" s="113"/>
      <c r="C305" s="113"/>
      <c r="D305" s="113"/>
      <c r="E305" s="113"/>
      <c r="F305" s="113"/>
      <c r="G305" s="113"/>
      <c r="H305" s="113"/>
      <c r="I305" s="81">
        <f t="shared" si="49"/>
        <v>0</v>
      </c>
      <c r="J305" s="82"/>
    </row>
    <row r="306" spans="1:12" ht="71.25" thickBot="1" x14ac:dyDescent="1.1000000000000001">
      <c r="A306" s="92" t="s">
        <v>266</v>
      </c>
      <c r="B306" s="116">
        <f t="shared" ref="B306:H306" si="50">B212-B282+B304</f>
        <v>-4535606.0499993898</v>
      </c>
      <c r="C306" s="116">
        <f t="shared" si="50"/>
        <v>223598.60999998928</v>
      </c>
      <c r="D306" s="116">
        <f t="shared" si="50"/>
        <v>985578.95000000019</v>
      </c>
      <c r="E306" s="116">
        <f t="shared" si="50"/>
        <v>68753.960000000006</v>
      </c>
      <c r="F306" s="116">
        <f t="shared" si="50"/>
        <v>-46184.219999999987</v>
      </c>
      <c r="G306" s="116">
        <f t="shared" si="50"/>
        <v>102973.49999999999</v>
      </c>
      <c r="H306" s="116">
        <f t="shared" si="50"/>
        <v>-39513.26999999999</v>
      </c>
      <c r="I306" s="91">
        <f t="shared" si="49"/>
        <v>-3240398.5199994007</v>
      </c>
      <c r="J306" s="90"/>
      <c r="L306" s="123"/>
    </row>
    <row r="307" spans="1:12" ht="72" thickTop="1" thickBot="1" x14ac:dyDescent="1.1000000000000001">
      <c r="A307" s="80" t="s">
        <v>541</v>
      </c>
      <c r="B307" s="117">
        <f>B209</f>
        <v>3712040.52</v>
      </c>
      <c r="C307" s="117">
        <v>0</v>
      </c>
      <c r="D307" s="117">
        <v>0</v>
      </c>
      <c r="E307" s="117">
        <v>0</v>
      </c>
      <c r="F307" s="117">
        <v>0</v>
      </c>
      <c r="G307" s="117">
        <v>0</v>
      </c>
      <c r="H307" s="117">
        <v>0</v>
      </c>
      <c r="I307" s="91">
        <f>SUM(B307:H307)</f>
        <v>3712040.52</v>
      </c>
    </row>
    <row r="308" spans="1:12" ht="59.25" thickTop="1" thickBot="1" x14ac:dyDescent="0.9">
      <c r="A308" s="80" t="s">
        <v>542</v>
      </c>
      <c r="B308" s="119">
        <f>B306+B307</f>
        <v>-823565.52999938978</v>
      </c>
      <c r="C308" s="119">
        <f t="shared" ref="C308:H308" si="51">C306+C307</f>
        <v>223598.60999998928</v>
      </c>
      <c r="D308" s="119">
        <f t="shared" si="51"/>
        <v>985578.95000000019</v>
      </c>
      <c r="E308" s="119">
        <f t="shared" si="51"/>
        <v>68753.960000000006</v>
      </c>
      <c r="F308" s="119">
        <f t="shared" si="51"/>
        <v>-46184.219999999987</v>
      </c>
      <c r="G308" s="119">
        <f t="shared" si="51"/>
        <v>102973.49999999999</v>
      </c>
      <c r="H308" s="119">
        <f t="shared" si="51"/>
        <v>-39513.26999999999</v>
      </c>
      <c r="I308" s="119">
        <f>I306+I307</f>
        <v>471642.00000059931</v>
      </c>
      <c r="J308" s="98"/>
    </row>
    <row r="309" spans="1:12" ht="58.5" thickTop="1" x14ac:dyDescent="0.85">
      <c r="A309" s="98"/>
      <c r="B309" s="117"/>
      <c r="C309" s="118"/>
      <c r="D309" s="118"/>
      <c r="E309" s="118"/>
      <c r="F309" s="118"/>
      <c r="G309" s="118"/>
      <c r="H309" s="118"/>
      <c r="I309" s="98"/>
      <c r="J309" s="98"/>
    </row>
    <row r="310" spans="1:12" x14ac:dyDescent="0.85">
      <c r="A310" s="123"/>
      <c r="B310" s="123"/>
      <c r="C310" s="123"/>
      <c r="D310" s="123"/>
      <c r="E310" s="123"/>
      <c r="F310" s="123"/>
      <c r="G310" s="123"/>
      <c r="H310" s="123"/>
      <c r="I310" s="123"/>
      <c r="J310" s="123"/>
      <c r="K310" s="123"/>
    </row>
    <row r="311" spans="1:12" x14ac:dyDescent="0.85">
      <c r="A311" s="77"/>
      <c r="B311" s="76"/>
      <c r="C311" s="98"/>
      <c r="D311" s="76"/>
      <c r="E311" s="98"/>
      <c r="F311" s="76"/>
      <c r="G311" s="98"/>
      <c r="H311" s="98"/>
      <c r="I311" s="100"/>
      <c r="J311" s="98"/>
      <c r="K311" s="100"/>
    </row>
    <row r="312" spans="1:12" x14ac:dyDescent="0.85">
      <c r="A312" s="77"/>
      <c r="B312" s="76"/>
      <c r="C312" s="98"/>
      <c r="D312" s="76"/>
      <c r="E312" s="98"/>
      <c r="F312" s="76"/>
      <c r="G312" s="98"/>
      <c r="H312" s="98"/>
      <c r="I312" s="76" t="s">
        <v>340</v>
      </c>
      <c r="J312" s="98"/>
      <c r="K312" s="100"/>
    </row>
    <row r="313" spans="1:12" x14ac:dyDescent="0.85">
      <c r="B313" s="76"/>
      <c r="C313" s="76"/>
      <c r="D313" s="76"/>
      <c r="E313" s="76"/>
      <c r="F313" s="76"/>
      <c r="G313" s="76" t="s">
        <v>340</v>
      </c>
      <c r="H313" s="76"/>
      <c r="I313" s="100" t="s">
        <v>343</v>
      </c>
      <c r="J313" s="76"/>
      <c r="K313" s="76" t="s">
        <v>342</v>
      </c>
    </row>
    <row r="314" spans="1:12" x14ac:dyDescent="0.85">
      <c r="B314" s="76"/>
      <c r="C314" s="76">
        <v>2018</v>
      </c>
      <c r="D314" s="76"/>
      <c r="E314" s="76">
        <v>2017</v>
      </c>
      <c r="F314" s="76"/>
      <c r="G314" s="76" t="s">
        <v>341</v>
      </c>
      <c r="H314" s="76"/>
      <c r="I314" s="76" t="s">
        <v>341</v>
      </c>
      <c r="J314" s="76"/>
      <c r="K314" s="76" t="s">
        <v>344</v>
      </c>
    </row>
    <row r="315" spans="1:12" x14ac:dyDescent="0.85">
      <c r="B315" s="79"/>
      <c r="C315" s="78"/>
      <c r="D315" s="79"/>
      <c r="E315" s="78"/>
      <c r="F315" s="79"/>
      <c r="G315" s="78" t="s">
        <v>338</v>
      </c>
      <c r="H315" s="78"/>
      <c r="I315" s="78" t="s">
        <v>339</v>
      </c>
      <c r="J315" s="78"/>
      <c r="K315" s="78" t="s">
        <v>339</v>
      </c>
    </row>
    <row r="316" spans="1:12" x14ac:dyDescent="0.85">
      <c r="A316" s="80" t="s">
        <v>62</v>
      </c>
      <c r="I316" s="100"/>
      <c r="K316" s="100"/>
    </row>
    <row r="317" spans="1:12" x14ac:dyDescent="0.85">
      <c r="A317" s="75" t="s">
        <v>217</v>
      </c>
      <c r="B317" s="82"/>
      <c r="C317" s="81">
        <f t="shared" ref="C317:C324" si="52">I12</f>
        <v>579764561.39999998</v>
      </c>
      <c r="D317" s="82"/>
      <c r="E317" s="81">
        <f t="shared" ref="E317:E335" si="53">I192</f>
        <v>1628603931.76</v>
      </c>
      <c r="F317" s="82"/>
      <c r="G317" s="81">
        <f t="shared" ref="G317:G324" si="54">I12-I192</f>
        <v>-1048839370.36</v>
      </c>
      <c r="H317" s="81"/>
      <c r="I317" s="82">
        <f>I12/I192</f>
        <v>0.35598867845877047</v>
      </c>
      <c r="J317" s="81"/>
      <c r="K317" s="82">
        <f>I317-1</f>
        <v>-0.64401132154122953</v>
      </c>
    </row>
    <row r="318" spans="1:12" x14ac:dyDescent="0.85">
      <c r="A318" s="75" t="s">
        <v>218</v>
      </c>
      <c r="B318" s="82"/>
      <c r="C318" s="81">
        <f t="shared" si="52"/>
        <v>2105901488.8499999</v>
      </c>
      <c r="D318" s="82"/>
      <c r="E318" s="81">
        <f t="shared" si="53"/>
        <v>1555188415.9400001</v>
      </c>
      <c r="F318" s="82"/>
      <c r="G318" s="81">
        <f t="shared" si="54"/>
        <v>550713072.90999985</v>
      </c>
      <c r="H318" s="81"/>
      <c r="I318" s="82">
        <f>I13/I193</f>
        <v>1.3541134098385972</v>
      </c>
      <c r="J318" s="81"/>
      <c r="K318" s="82">
        <f t="shared" ref="K318:K398" si="55">I318-1</f>
        <v>0.35411340983859718</v>
      </c>
    </row>
    <row r="319" spans="1:12" x14ac:dyDescent="0.85">
      <c r="A319" s="75" t="s">
        <v>219</v>
      </c>
      <c r="B319" s="82"/>
      <c r="C319" s="81">
        <f t="shared" si="52"/>
        <v>10175138.42</v>
      </c>
      <c r="D319" s="82"/>
      <c r="E319" s="81">
        <f t="shared" si="53"/>
        <v>26847341.649999999</v>
      </c>
      <c r="F319" s="82"/>
      <c r="G319" s="81">
        <f t="shared" si="54"/>
        <v>-16672203.229999999</v>
      </c>
      <c r="H319" s="81"/>
      <c r="I319" s="82">
        <f>I14/I194</f>
        <v>0.37899984857532443</v>
      </c>
      <c r="J319" s="81"/>
      <c r="K319" s="82">
        <f t="shared" si="55"/>
        <v>-0.62100015142467557</v>
      </c>
    </row>
    <row r="320" spans="1:12" x14ac:dyDescent="0.85">
      <c r="A320" s="75" t="s">
        <v>421</v>
      </c>
      <c r="B320" s="82"/>
      <c r="C320" s="81">
        <f t="shared" si="52"/>
        <v>9163557.7700000014</v>
      </c>
      <c r="D320" s="82"/>
      <c r="E320" s="81">
        <f t="shared" si="53"/>
        <v>43027437.709999993</v>
      </c>
      <c r="F320" s="82"/>
      <c r="G320" s="81">
        <f t="shared" si="54"/>
        <v>-33863879.93999999</v>
      </c>
      <c r="H320" s="81"/>
      <c r="I320" s="82">
        <f>I15/I195</f>
        <v>0.21297010135163827</v>
      </c>
      <c r="J320" s="81"/>
      <c r="K320" s="82">
        <f t="shared" si="55"/>
        <v>-0.7870298986483617</v>
      </c>
    </row>
    <row r="321" spans="1:11" x14ac:dyDescent="0.85">
      <c r="A321" s="75" t="s">
        <v>220</v>
      </c>
      <c r="B321" s="82"/>
      <c r="C321" s="81">
        <f t="shared" si="52"/>
        <v>1988324.9900000002</v>
      </c>
      <c r="D321" s="82"/>
      <c r="E321" s="81">
        <f t="shared" si="53"/>
        <v>1829550</v>
      </c>
      <c r="F321" s="82"/>
      <c r="G321" s="81">
        <f t="shared" si="54"/>
        <v>158774.99000000022</v>
      </c>
      <c r="H321" s="81"/>
      <c r="I321" s="82">
        <f>I16/I196</f>
        <v>1.0867836298543359</v>
      </c>
      <c r="J321" s="81"/>
      <c r="K321" s="82">
        <f t="shared" si="55"/>
        <v>8.6783629854335853E-2</v>
      </c>
    </row>
    <row r="322" spans="1:11" x14ac:dyDescent="0.85">
      <c r="A322" s="75" t="s">
        <v>221</v>
      </c>
      <c r="B322" s="82"/>
      <c r="C322" s="81">
        <f t="shared" si="52"/>
        <v>292312.5</v>
      </c>
      <c r="D322" s="82"/>
      <c r="E322" s="81">
        <f t="shared" si="53"/>
        <v>0</v>
      </c>
      <c r="F322" s="82"/>
      <c r="G322" s="81">
        <f t="shared" si="54"/>
        <v>292312.5</v>
      </c>
      <c r="H322" s="81"/>
      <c r="I322" s="95">
        <v>0</v>
      </c>
      <c r="J322" s="81"/>
      <c r="K322" s="95">
        <v>0</v>
      </c>
    </row>
    <row r="323" spans="1:11" x14ac:dyDescent="0.85">
      <c r="A323" s="75" t="s">
        <v>222</v>
      </c>
      <c r="B323" s="82"/>
      <c r="C323" s="81">
        <f t="shared" si="52"/>
        <v>3171459.6399999997</v>
      </c>
      <c r="D323" s="82"/>
      <c r="E323" s="81">
        <f t="shared" si="53"/>
        <v>7104347.5500000007</v>
      </c>
      <c r="F323" s="82"/>
      <c r="G323" s="81">
        <f t="shared" si="54"/>
        <v>-3932887.9100000011</v>
      </c>
      <c r="H323" s="81"/>
      <c r="I323" s="82">
        <f>I18/I198</f>
        <v>0.44641110498598841</v>
      </c>
      <c r="J323" s="81"/>
      <c r="K323" s="82">
        <f t="shared" si="55"/>
        <v>-0.55358889501401154</v>
      </c>
    </row>
    <row r="324" spans="1:11" x14ac:dyDescent="0.85">
      <c r="A324" s="80" t="s">
        <v>223</v>
      </c>
      <c r="B324" s="85"/>
      <c r="C324" s="83">
        <f t="shared" si="52"/>
        <v>2710456843.5700002</v>
      </c>
      <c r="D324" s="85"/>
      <c r="E324" s="83">
        <f t="shared" si="53"/>
        <v>3262601024.6100001</v>
      </c>
      <c r="F324" s="85"/>
      <c r="G324" s="83">
        <f t="shared" si="54"/>
        <v>-552144181.03999996</v>
      </c>
      <c r="H324" s="83"/>
      <c r="I324" s="84">
        <f>I19/I199</f>
        <v>0.83076564468804415</v>
      </c>
      <c r="J324" s="83"/>
      <c r="K324" s="84">
        <f t="shared" si="55"/>
        <v>-0.16923435531195585</v>
      </c>
    </row>
    <row r="325" spans="1:11" x14ac:dyDescent="0.85">
      <c r="C325" s="81"/>
      <c r="E325" s="81">
        <f t="shared" si="53"/>
        <v>0</v>
      </c>
      <c r="G325" s="81"/>
      <c r="H325" s="81"/>
      <c r="I325" s="101"/>
      <c r="J325" s="81"/>
      <c r="K325" s="101"/>
    </row>
    <row r="326" spans="1:11" x14ac:dyDescent="0.85">
      <c r="A326" s="80" t="s">
        <v>208</v>
      </c>
      <c r="C326" s="81"/>
      <c r="E326" s="81">
        <f t="shared" si="53"/>
        <v>0</v>
      </c>
      <c r="G326" s="81"/>
      <c r="H326" s="81"/>
      <c r="I326" s="101"/>
      <c r="J326" s="81"/>
      <c r="K326" s="101"/>
    </row>
    <row r="327" spans="1:11" x14ac:dyDescent="0.85">
      <c r="A327" s="75" t="s">
        <v>217</v>
      </c>
      <c r="B327" s="82"/>
      <c r="C327" s="81">
        <f t="shared" ref="C327:C335" si="56">I22</f>
        <v>575539205.66999996</v>
      </c>
      <c r="D327" s="82"/>
      <c r="E327" s="81">
        <f t="shared" si="53"/>
        <v>1613885335.3399994</v>
      </c>
      <c r="F327" s="82"/>
      <c r="G327" s="81">
        <f t="shared" ref="G327:G334" si="57">I22-I202</f>
        <v>-1038346129.6699995</v>
      </c>
      <c r="H327" s="81"/>
      <c r="I327" s="82">
        <f>I22/I202</f>
        <v>0.35661716050524145</v>
      </c>
      <c r="J327" s="81"/>
      <c r="K327" s="82">
        <f t="shared" si="55"/>
        <v>-0.6433828394947585</v>
      </c>
    </row>
    <row r="328" spans="1:11" x14ac:dyDescent="0.85">
      <c r="A328" s="75" t="s">
        <v>218</v>
      </c>
      <c r="B328" s="82"/>
      <c r="C328" s="81">
        <f t="shared" si="56"/>
        <v>2103638006.1200004</v>
      </c>
      <c r="D328" s="82"/>
      <c r="E328" s="81">
        <f t="shared" si="53"/>
        <v>1560246347.5300002</v>
      </c>
      <c r="F328" s="82"/>
      <c r="G328" s="81">
        <f t="shared" si="57"/>
        <v>543391658.59000015</v>
      </c>
      <c r="H328" s="81"/>
      <c r="I328" s="82">
        <f>I23/I203</f>
        <v>1.348272988717605</v>
      </c>
      <c r="J328" s="81"/>
      <c r="K328" s="82">
        <f t="shared" si="55"/>
        <v>0.34827298871760504</v>
      </c>
    </row>
    <row r="329" spans="1:11" x14ac:dyDescent="0.85">
      <c r="A329" s="75" t="s">
        <v>219</v>
      </c>
      <c r="B329" s="82"/>
      <c r="C329" s="81">
        <f t="shared" si="56"/>
        <v>10054721.020000003</v>
      </c>
      <c r="D329" s="82"/>
      <c r="E329" s="81">
        <f t="shared" si="53"/>
        <v>36184272.859999999</v>
      </c>
      <c r="F329" s="82"/>
      <c r="G329" s="81">
        <f t="shared" si="57"/>
        <v>-26129551.839999996</v>
      </c>
      <c r="H329" s="81"/>
      <c r="I329" s="82">
        <f>I24/I204</f>
        <v>0.27787544768144345</v>
      </c>
      <c r="J329" s="81"/>
      <c r="K329" s="82">
        <f t="shared" si="55"/>
        <v>-0.72212455231855655</v>
      </c>
    </row>
    <row r="330" spans="1:11" x14ac:dyDescent="0.85">
      <c r="A330" s="75" t="s">
        <v>421</v>
      </c>
      <c r="B330" s="82"/>
      <c r="C330" s="81">
        <f t="shared" si="56"/>
        <v>9834198.5999999996</v>
      </c>
      <c r="D330" s="82"/>
      <c r="E330" s="81">
        <f t="shared" si="53"/>
        <v>50965733.380000003</v>
      </c>
      <c r="F330" s="82"/>
      <c r="G330" s="81">
        <f t="shared" si="57"/>
        <v>-41131534.780000001</v>
      </c>
      <c r="H330" s="81"/>
      <c r="I330" s="82">
        <f>I25/I205</f>
        <v>0.19295707032559137</v>
      </c>
      <c r="J330" s="81"/>
      <c r="K330" s="82">
        <f t="shared" si="55"/>
        <v>-0.8070429296744086</v>
      </c>
    </row>
    <row r="331" spans="1:11" x14ac:dyDescent="0.85">
      <c r="A331" s="75" t="s">
        <v>220</v>
      </c>
      <c r="B331" s="82"/>
      <c r="C331" s="81">
        <f t="shared" si="56"/>
        <v>2125134.19</v>
      </c>
      <c r="D331" s="82"/>
      <c r="E331" s="81">
        <f t="shared" si="53"/>
        <v>1742896.2000000002</v>
      </c>
      <c r="F331" s="82"/>
      <c r="G331" s="81">
        <f t="shared" si="57"/>
        <v>382237.98999999976</v>
      </c>
      <c r="H331" s="81"/>
      <c r="I331" s="82">
        <f>I26/I206</f>
        <v>1.2193119647630191</v>
      </c>
      <c r="J331" s="81"/>
      <c r="K331" s="82">
        <f t="shared" si="55"/>
        <v>0.21931196476301906</v>
      </c>
    </row>
    <row r="332" spans="1:11" x14ac:dyDescent="0.85">
      <c r="A332" s="75" t="s">
        <v>221</v>
      </c>
      <c r="B332" s="82"/>
      <c r="C332" s="81">
        <f t="shared" si="56"/>
        <v>180989.69</v>
      </c>
      <c r="D332" s="82"/>
      <c r="E332" s="81">
        <f t="shared" si="53"/>
        <v>0</v>
      </c>
      <c r="F332" s="82"/>
      <c r="G332" s="81">
        <f t="shared" si="57"/>
        <v>180989.69</v>
      </c>
      <c r="H332" s="81"/>
      <c r="I332" s="95">
        <v>0</v>
      </c>
      <c r="J332" s="81"/>
      <c r="K332" s="95">
        <v>0</v>
      </c>
    </row>
    <row r="333" spans="1:11" x14ac:dyDescent="0.85">
      <c r="A333" s="75" t="s">
        <v>222</v>
      </c>
      <c r="B333" s="82"/>
      <c r="C333" s="81">
        <f t="shared" si="56"/>
        <v>4407556.21</v>
      </c>
      <c r="D333" s="82"/>
      <c r="E333" s="81">
        <f t="shared" si="53"/>
        <v>-9874228.9800000023</v>
      </c>
      <c r="F333" s="82"/>
      <c r="G333" s="81">
        <f t="shared" si="57"/>
        <v>14281785.190000001</v>
      </c>
      <c r="H333" s="81"/>
      <c r="I333" s="82">
        <f>I28/I208</f>
        <v>-0.44636965771478382</v>
      </c>
      <c r="J333" s="81"/>
      <c r="K333" s="82">
        <f t="shared" ref="K333" si="58">I333-1</f>
        <v>-1.4463696577147838</v>
      </c>
    </row>
    <row r="334" spans="1:11" x14ac:dyDescent="0.85">
      <c r="A334" s="75" t="s">
        <v>222</v>
      </c>
      <c r="B334" s="82"/>
      <c r="C334" s="81">
        <f t="shared" si="56"/>
        <v>0</v>
      </c>
      <c r="D334" s="82"/>
      <c r="E334" s="81">
        <f t="shared" si="53"/>
        <v>3712040.52</v>
      </c>
      <c r="F334" s="82"/>
      <c r="G334" s="81">
        <f t="shared" si="57"/>
        <v>-3712040.52</v>
      </c>
      <c r="H334" s="81"/>
      <c r="I334" s="82">
        <f>I29/I209</f>
        <v>0</v>
      </c>
      <c r="J334" s="81"/>
      <c r="K334" s="82">
        <f t="shared" si="55"/>
        <v>-1</v>
      </c>
    </row>
    <row r="335" spans="1:11" x14ac:dyDescent="0.85">
      <c r="A335" s="80" t="s">
        <v>224</v>
      </c>
      <c r="B335" s="85"/>
      <c r="C335" s="83">
        <f t="shared" si="56"/>
        <v>2705779811.5000005</v>
      </c>
      <c r="D335" s="85"/>
      <c r="E335" s="83">
        <f t="shared" si="53"/>
        <v>3256862396.8499999</v>
      </c>
      <c r="F335" s="85"/>
      <c r="G335" s="83">
        <f>SUM(G327:G334)</f>
        <v>-551082585.34999919</v>
      </c>
      <c r="H335" s="83"/>
      <c r="I335" s="84">
        <f>I30/I210</f>
        <v>0.83079340844028282</v>
      </c>
      <c r="J335" s="83"/>
      <c r="K335" s="84">
        <f t="shared" si="55"/>
        <v>-0.16920659155971718</v>
      </c>
    </row>
    <row r="336" spans="1:11" x14ac:dyDescent="0.85">
      <c r="C336" s="81"/>
      <c r="E336" s="81"/>
      <c r="G336" s="81"/>
      <c r="H336" s="81"/>
      <c r="I336" s="82"/>
      <c r="J336" s="81"/>
      <c r="K336" s="82"/>
    </row>
    <row r="337" spans="1:11" ht="58.5" thickBot="1" x14ac:dyDescent="0.9">
      <c r="A337" s="80" t="s">
        <v>211</v>
      </c>
      <c r="C337" s="86">
        <f>I32</f>
        <v>4677032.0699994816</v>
      </c>
      <c r="E337" s="86">
        <f t="shared" ref="E337:E353" si="59">I212</f>
        <v>5738627.7600005995</v>
      </c>
      <c r="G337" s="86">
        <f>I32-I212</f>
        <v>-1061595.690001118</v>
      </c>
      <c r="H337" s="86"/>
      <c r="I337" s="102">
        <f>I32/I212</f>
        <v>0.8150087905333997</v>
      </c>
      <c r="J337" s="86"/>
      <c r="K337" s="102">
        <f t="shared" si="55"/>
        <v>-0.1849912094666003</v>
      </c>
    </row>
    <row r="338" spans="1:11" x14ac:dyDescent="0.85">
      <c r="C338" s="81"/>
      <c r="E338" s="81">
        <f t="shared" si="59"/>
        <v>0</v>
      </c>
      <c r="G338" s="81"/>
      <c r="H338" s="81"/>
      <c r="I338" s="101"/>
      <c r="J338" s="81"/>
      <c r="K338" s="101"/>
    </row>
    <row r="339" spans="1:11" x14ac:dyDescent="0.85">
      <c r="A339" s="80" t="s">
        <v>209</v>
      </c>
      <c r="C339" s="81"/>
      <c r="E339" s="81">
        <f t="shared" si="59"/>
        <v>0</v>
      </c>
      <c r="G339" s="81"/>
      <c r="H339" s="81"/>
      <c r="I339" s="101"/>
      <c r="J339" s="81"/>
      <c r="K339" s="101"/>
    </row>
    <row r="340" spans="1:11" x14ac:dyDescent="0.85">
      <c r="C340" s="81"/>
      <c r="E340" s="81">
        <f t="shared" si="59"/>
        <v>0</v>
      </c>
      <c r="G340" s="81"/>
      <c r="H340" s="81"/>
      <c r="I340" s="101"/>
      <c r="J340" s="81"/>
      <c r="K340" s="101"/>
    </row>
    <row r="341" spans="1:11" x14ac:dyDescent="0.85">
      <c r="A341" s="80" t="s">
        <v>225</v>
      </c>
      <c r="C341" s="81"/>
      <c r="E341" s="81">
        <f t="shared" si="59"/>
        <v>0</v>
      </c>
      <c r="G341" s="81"/>
      <c r="H341" s="81"/>
      <c r="I341" s="101"/>
      <c r="J341" s="81"/>
      <c r="K341" s="101"/>
    </row>
    <row r="342" spans="1:11" x14ac:dyDescent="0.85">
      <c r="A342" s="75" t="s">
        <v>226</v>
      </c>
      <c r="B342" s="82"/>
      <c r="C342" s="81">
        <f t="shared" ref="C342:C352" si="60">I37</f>
        <v>1698219.3900000001</v>
      </c>
      <c r="D342" s="82"/>
      <c r="E342" s="81">
        <f t="shared" si="59"/>
        <v>4240233.25</v>
      </c>
      <c r="F342" s="82"/>
      <c r="G342" s="81">
        <f t="shared" ref="G342:G352" si="61">I37-I217</f>
        <v>-2542013.86</v>
      </c>
      <c r="H342" s="81"/>
      <c r="I342" s="82">
        <f>I37/I217</f>
        <v>0.40050140873736134</v>
      </c>
      <c r="J342" s="81"/>
      <c r="K342" s="82">
        <f t="shared" si="55"/>
        <v>-0.59949859126263871</v>
      </c>
    </row>
    <row r="343" spans="1:11" x14ac:dyDescent="0.85">
      <c r="A343" s="75" t="s">
        <v>544</v>
      </c>
      <c r="B343" s="82"/>
      <c r="C343" s="81">
        <f t="shared" si="60"/>
        <v>0</v>
      </c>
      <c r="D343" s="82"/>
      <c r="E343" s="81">
        <f t="shared" si="59"/>
        <v>0</v>
      </c>
      <c r="F343" s="82"/>
      <c r="G343" s="81">
        <f t="shared" si="61"/>
        <v>0</v>
      </c>
      <c r="H343" s="81"/>
      <c r="I343" s="82">
        <v>0</v>
      </c>
      <c r="J343" s="81"/>
      <c r="K343" s="82">
        <f t="shared" si="55"/>
        <v>-1</v>
      </c>
    </row>
    <row r="344" spans="1:11" x14ac:dyDescent="0.85">
      <c r="A344" s="75" t="s">
        <v>227</v>
      </c>
      <c r="B344" s="82"/>
      <c r="C344" s="81">
        <f t="shared" si="60"/>
        <v>16352</v>
      </c>
      <c r="D344" s="82"/>
      <c r="E344" s="81">
        <f t="shared" si="59"/>
        <v>45842</v>
      </c>
      <c r="F344" s="82"/>
      <c r="G344" s="81">
        <f t="shared" si="61"/>
        <v>-29490</v>
      </c>
      <c r="H344" s="81"/>
      <c r="I344" s="82">
        <f t="shared" ref="I344:I349" si="62">I39/I219</f>
        <v>0.35670345970943679</v>
      </c>
      <c r="J344" s="81"/>
      <c r="K344" s="82">
        <f t="shared" si="55"/>
        <v>-0.64329654029056327</v>
      </c>
    </row>
    <row r="345" spans="1:11" x14ac:dyDescent="0.85">
      <c r="A345" s="75" t="s">
        <v>228</v>
      </c>
      <c r="B345" s="82"/>
      <c r="C345" s="81">
        <f t="shared" si="60"/>
        <v>155653.56999999998</v>
      </c>
      <c r="D345" s="82"/>
      <c r="E345" s="81">
        <f t="shared" si="59"/>
        <v>328881.89</v>
      </c>
      <c r="F345" s="82"/>
      <c r="G345" s="81">
        <f t="shared" si="61"/>
        <v>-173228.32000000004</v>
      </c>
      <c r="H345" s="81"/>
      <c r="I345" s="82">
        <f t="shared" si="62"/>
        <v>0.4732810614777237</v>
      </c>
      <c r="J345" s="81"/>
      <c r="K345" s="82">
        <f t="shared" si="55"/>
        <v>-0.52671893852227636</v>
      </c>
    </row>
    <row r="346" spans="1:11" x14ac:dyDescent="0.85">
      <c r="A346" s="75" t="s">
        <v>229</v>
      </c>
      <c r="B346" s="82"/>
      <c r="C346" s="81">
        <f t="shared" si="60"/>
        <v>179129.37</v>
      </c>
      <c r="D346" s="82"/>
      <c r="E346" s="81">
        <f t="shared" si="59"/>
        <v>518346.82999999996</v>
      </c>
      <c r="F346" s="82"/>
      <c r="G346" s="81">
        <f t="shared" si="61"/>
        <v>-339217.45999999996</v>
      </c>
      <c r="H346" s="81"/>
      <c r="I346" s="82">
        <f t="shared" si="62"/>
        <v>0.34557821063553146</v>
      </c>
      <c r="J346" s="81"/>
      <c r="K346" s="82">
        <f t="shared" si="55"/>
        <v>-0.6544217893644686</v>
      </c>
    </row>
    <row r="347" spans="1:11" x14ac:dyDescent="0.85">
      <c r="A347" s="75" t="s">
        <v>230</v>
      </c>
      <c r="B347" s="82"/>
      <c r="C347" s="81">
        <f t="shared" si="60"/>
        <v>21018.570000000003</v>
      </c>
      <c r="D347" s="82"/>
      <c r="E347" s="81">
        <f t="shared" si="59"/>
        <v>68307.47</v>
      </c>
      <c r="F347" s="82"/>
      <c r="G347" s="81">
        <f t="shared" si="61"/>
        <v>-47288.899999999994</v>
      </c>
      <c r="H347" s="81"/>
      <c r="I347" s="82">
        <f t="shared" si="62"/>
        <v>0.30770529196879937</v>
      </c>
      <c r="J347" s="81"/>
      <c r="K347" s="82">
        <f t="shared" si="55"/>
        <v>-0.69229470803120063</v>
      </c>
    </row>
    <row r="348" spans="1:11" x14ac:dyDescent="0.85">
      <c r="A348" s="75" t="s">
        <v>231</v>
      </c>
      <c r="B348" s="82"/>
      <c r="C348" s="81">
        <f t="shared" si="60"/>
        <v>50084.95</v>
      </c>
      <c r="D348" s="82"/>
      <c r="E348" s="81">
        <f t="shared" si="59"/>
        <v>123058.35</v>
      </c>
      <c r="F348" s="82"/>
      <c r="G348" s="81">
        <f t="shared" si="61"/>
        <v>-72973.400000000009</v>
      </c>
      <c r="H348" s="81"/>
      <c r="I348" s="82">
        <f t="shared" si="62"/>
        <v>0.40700163784091037</v>
      </c>
      <c r="J348" s="81"/>
      <c r="K348" s="82">
        <f t="shared" si="55"/>
        <v>-0.59299836215908963</v>
      </c>
    </row>
    <row r="349" spans="1:11" x14ac:dyDescent="0.85">
      <c r="A349" s="75" t="s">
        <v>307</v>
      </c>
      <c r="B349" s="82"/>
      <c r="C349" s="81">
        <f t="shared" si="60"/>
        <v>8176.5000000000009</v>
      </c>
      <c r="D349" s="82"/>
      <c r="E349" s="81">
        <f t="shared" si="59"/>
        <v>81057.64</v>
      </c>
      <c r="F349" s="82"/>
      <c r="G349" s="81">
        <f t="shared" si="61"/>
        <v>-72881.14</v>
      </c>
      <c r="H349" s="81"/>
      <c r="I349" s="82">
        <f t="shared" si="62"/>
        <v>0.10087266295934598</v>
      </c>
      <c r="J349" s="81"/>
      <c r="K349" s="82">
        <f t="shared" si="55"/>
        <v>-0.89912733704065406</v>
      </c>
    </row>
    <row r="350" spans="1:11" x14ac:dyDescent="0.85">
      <c r="A350" s="75" t="s">
        <v>232</v>
      </c>
      <c r="B350" s="82"/>
      <c r="C350" s="81">
        <f t="shared" si="60"/>
        <v>3109.48</v>
      </c>
      <c r="D350" s="82"/>
      <c r="E350" s="81">
        <f t="shared" si="59"/>
        <v>0</v>
      </c>
      <c r="F350" s="82"/>
      <c r="G350" s="81">
        <f t="shared" si="61"/>
        <v>3109.48</v>
      </c>
      <c r="H350" s="81"/>
      <c r="I350" s="82">
        <v>0</v>
      </c>
      <c r="J350" s="81"/>
      <c r="K350" s="82">
        <f t="shared" si="55"/>
        <v>-1</v>
      </c>
    </row>
    <row r="351" spans="1:11" x14ac:dyDescent="0.85">
      <c r="A351" s="75" t="s">
        <v>246</v>
      </c>
      <c r="B351" s="82"/>
      <c r="C351" s="81">
        <f t="shared" si="60"/>
        <v>25648.720000000001</v>
      </c>
      <c r="D351" s="82"/>
      <c r="E351" s="81">
        <f t="shared" si="59"/>
        <v>62099.85</v>
      </c>
      <c r="F351" s="82"/>
      <c r="G351" s="81">
        <f t="shared" si="61"/>
        <v>-36451.129999999997</v>
      </c>
      <c r="H351" s="81"/>
      <c r="I351" s="82">
        <f>I46/I226</f>
        <v>0.41302386398678903</v>
      </c>
      <c r="J351" s="81"/>
      <c r="K351" s="82">
        <f t="shared" si="55"/>
        <v>-0.58697613601321097</v>
      </c>
    </row>
    <row r="352" spans="1:11" x14ac:dyDescent="0.85">
      <c r="A352" s="80" t="s">
        <v>233</v>
      </c>
      <c r="B352" s="85"/>
      <c r="C352" s="83">
        <f t="shared" si="60"/>
        <v>2157392.5500000003</v>
      </c>
      <c r="D352" s="85"/>
      <c r="E352" s="83">
        <f t="shared" si="59"/>
        <v>5467827.2799999993</v>
      </c>
      <c r="F352" s="85"/>
      <c r="G352" s="83">
        <f t="shared" si="61"/>
        <v>-3310434.7299999991</v>
      </c>
      <c r="H352" s="83"/>
      <c r="I352" s="84">
        <f>I47/I227</f>
        <v>0.39456121042652986</v>
      </c>
      <c r="J352" s="83"/>
      <c r="K352" s="84">
        <f t="shared" si="55"/>
        <v>-0.60543878957347008</v>
      </c>
    </row>
    <row r="353" spans="1:11" x14ac:dyDescent="0.85">
      <c r="C353" s="81"/>
      <c r="E353" s="81">
        <f t="shared" si="59"/>
        <v>0</v>
      </c>
      <c r="G353" s="81"/>
      <c r="H353" s="81"/>
      <c r="I353" s="101"/>
      <c r="J353" s="81"/>
      <c r="K353" s="101"/>
    </row>
    <row r="354" spans="1:11" x14ac:dyDescent="0.85">
      <c r="A354" s="77"/>
      <c r="B354" s="120"/>
      <c r="C354" s="98"/>
      <c r="D354" s="120"/>
      <c r="E354" s="98"/>
      <c r="F354" s="120"/>
      <c r="G354" s="98"/>
      <c r="H354" s="98"/>
      <c r="I354" s="100"/>
      <c r="J354" s="98"/>
      <c r="K354" s="100"/>
    </row>
    <row r="355" spans="1:11" x14ac:dyDescent="0.85">
      <c r="A355" s="77"/>
      <c r="B355" s="120"/>
      <c r="C355" s="98"/>
      <c r="D355" s="120"/>
      <c r="E355" s="98"/>
      <c r="F355" s="120"/>
      <c r="G355" s="98"/>
      <c r="H355" s="98"/>
      <c r="I355" s="120" t="s">
        <v>340</v>
      </c>
      <c r="J355" s="98"/>
      <c r="K355" s="100"/>
    </row>
    <row r="356" spans="1:11" x14ac:dyDescent="0.85">
      <c r="B356" s="120"/>
      <c r="C356" s="120"/>
      <c r="D356" s="120"/>
      <c r="E356" s="120"/>
      <c r="F356" s="120"/>
      <c r="G356" s="120" t="s">
        <v>340</v>
      </c>
      <c r="H356" s="120"/>
      <c r="I356" s="100" t="s">
        <v>343</v>
      </c>
      <c r="J356" s="120"/>
      <c r="K356" s="120" t="s">
        <v>342</v>
      </c>
    </row>
    <row r="357" spans="1:11" x14ac:dyDescent="0.85">
      <c r="B357" s="120"/>
      <c r="C357" s="120">
        <v>2018</v>
      </c>
      <c r="D357" s="120"/>
      <c r="E357" s="120">
        <v>2017</v>
      </c>
      <c r="F357" s="120"/>
      <c r="G357" s="120" t="s">
        <v>341</v>
      </c>
      <c r="H357" s="120"/>
      <c r="I357" s="120" t="s">
        <v>341</v>
      </c>
      <c r="J357" s="120"/>
      <c r="K357" s="120" t="s">
        <v>344</v>
      </c>
    </row>
    <row r="358" spans="1:11" x14ac:dyDescent="0.85">
      <c r="B358" s="121"/>
      <c r="C358" s="78"/>
      <c r="D358" s="121"/>
      <c r="E358" s="78"/>
      <c r="F358" s="121"/>
      <c r="G358" s="78" t="s">
        <v>338</v>
      </c>
      <c r="H358" s="78"/>
      <c r="I358" s="78" t="s">
        <v>339</v>
      </c>
      <c r="J358" s="78"/>
      <c r="K358" s="78" t="s">
        <v>339</v>
      </c>
    </row>
    <row r="359" spans="1:11" x14ac:dyDescent="0.85">
      <c r="A359" s="80" t="s">
        <v>486</v>
      </c>
      <c r="C359" s="81"/>
      <c r="E359" s="81">
        <f t="shared" ref="E359:E390" si="63">I234</f>
        <v>0</v>
      </c>
      <c r="G359" s="81"/>
      <c r="H359" s="81"/>
      <c r="I359" s="101"/>
      <c r="J359" s="81"/>
      <c r="K359" s="101"/>
    </row>
    <row r="360" spans="1:11" x14ac:dyDescent="0.85">
      <c r="A360" s="75" t="s">
        <v>234</v>
      </c>
      <c r="B360" s="82"/>
      <c r="C360" s="81">
        <f t="shared" ref="C360:C382" si="64">I50</f>
        <v>388500</v>
      </c>
      <c r="D360" s="82"/>
      <c r="E360" s="81">
        <f t="shared" si="63"/>
        <v>872400</v>
      </c>
      <c r="F360" s="82"/>
      <c r="G360" s="81">
        <f t="shared" ref="G360:G382" si="65">I50-I235</f>
        <v>-483900</v>
      </c>
      <c r="H360" s="81"/>
      <c r="I360" s="82">
        <f t="shared" ref="I360:I379" si="66">I50/I235</f>
        <v>0.44532324621733149</v>
      </c>
      <c r="J360" s="81"/>
      <c r="K360" s="82">
        <f t="shared" si="55"/>
        <v>-0.55467675378266845</v>
      </c>
    </row>
    <row r="361" spans="1:11" x14ac:dyDescent="0.85">
      <c r="A361" s="75" t="s">
        <v>235</v>
      </c>
      <c r="B361" s="82"/>
      <c r="C361" s="81">
        <f t="shared" si="64"/>
        <v>53006.85</v>
      </c>
      <c r="D361" s="82"/>
      <c r="E361" s="81">
        <f t="shared" si="63"/>
        <v>205871.63999999998</v>
      </c>
      <c r="F361" s="82"/>
      <c r="G361" s="81">
        <f t="shared" si="65"/>
        <v>-152864.78999999998</v>
      </c>
      <c r="H361" s="81"/>
      <c r="I361" s="82">
        <f t="shared" si="66"/>
        <v>0.25747524039736608</v>
      </c>
      <c r="J361" s="81"/>
      <c r="K361" s="82">
        <f t="shared" si="55"/>
        <v>-0.74252475960263387</v>
      </c>
    </row>
    <row r="362" spans="1:11" x14ac:dyDescent="0.85">
      <c r="A362" s="75" t="s">
        <v>236</v>
      </c>
      <c r="B362" s="82"/>
      <c r="C362" s="81">
        <f t="shared" si="64"/>
        <v>66862.03</v>
      </c>
      <c r="D362" s="82"/>
      <c r="E362" s="81">
        <f t="shared" si="63"/>
        <v>98342.75</v>
      </c>
      <c r="F362" s="82"/>
      <c r="G362" s="81">
        <f t="shared" si="65"/>
        <v>-31480.720000000001</v>
      </c>
      <c r="H362" s="81"/>
      <c r="I362" s="82">
        <f t="shared" si="66"/>
        <v>0.67988773956392312</v>
      </c>
      <c r="J362" s="81"/>
      <c r="K362" s="82">
        <f t="shared" si="55"/>
        <v>-0.32011226043607688</v>
      </c>
    </row>
    <row r="363" spans="1:11" x14ac:dyDescent="0.85">
      <c r="A363" s="75" t="s">
        <v>337</v>
      </c>
      <c r="B363" s="82"/>
      <c r="C363" s="81">
        <f t="shared" si="64"/>
        <v>2111.0500000000002</v>
      </c>
      <c r="D363" s="82"/>
      <c r="E363" s="81">
        <f t="shared" si="63"/>
        <v>2964.31</v>
      </c>
      <c r="F363" s="82"/>
      <c r="G363" s="81">
        <f t="shared" si="65"/>
        <v>-853.25999999999976</v>
      </c>
      <c r="H363" s="81"/>
      <c r="I363" s="82">
        <f t="shared" si="66"/>
        <v>0.71215561125523319</v>
      </c>
      <c r="J363" s="81"/>
      <c r="K363" s="82">
        <f t="shared" si="55"/>
        <v>-0.28784438874476681</v>
      </c>
    </row>
    <row r="364" spans="1:11" x14ac:dyDescent="0.85">
      <c r="A364" s="75" t="s">
        <v>290</v>
      </c>
      <c r="B364" s="82"/>
      <c r="C364" s="81">
        <f t="shared" si="64"/>
        <v>3753.8</v>
      </c>
      <c r="D364" s="82"/>
      <c r="E364" s="81">
        <f t="shared" si="63"/>
        <v>7536.36</v>
      </c>
      <c r="F364" s="82"/>
      <c r="G364" s="81">
        <f t="shared" si="65"/>
        <v>-3782.5599999999995</v>
      </c>
      <c r="H364" s="81"/>
      <c r="I364" s="82">
        <f t="shared" si="66"/>
        <v>0.49809191705279476</v>
      </c>
      <c r="J364" s="81"/>
      <c r="K364" s="82">
        <f t="shared" si="55"/>
        <v>-0.50190808294720524</v>
      </c>
    </row>
    <row r="365" spans="1:11" x14ac:dyDescent="0.85">
      <c r="A365" s="75" t="s">
        <v>445</v>
      </c>
      <c r="B365" s="82"/>
      <c r="C365" s="81">
        <f t="shared" si="64"/>
        <v>20885</v>
      </c>
      <c r="D365" s="82"/>
      <c r="E365" s="81">
        <f t="shared" si="63"/>
        <v>25002</v>
      </c>
      <c r="F365" s="82"/>
      <c r="G365" s="81">
        <f t="shared" si="65"/>
        <v>-4117</v>
      </c>
      <c r="H365" s="81"/>
      <c r="I365" s="82">
        <f t="shared" si="66"/>
        <v>0.83533317334613233</v>
      </c>
      <c r="J365" s="81"/>
      <c r="K365" s="82">
        <f t="shared" si="55"/>
        <v>-0.16466682665386767</v>
      </c>
    </row>
    <row r="366" spans="1:11" x14ac:dyDescent="0.85">
      <c r="A366" s="75" t="s">
        <v>237</v>
      </c>
      <c r="B366" s="82"/>
      <c r="C366" s="81">
        <f t="shared" si="64"/>
        <v>65908.55</v>
      </c>
      <c r="D366" s="82"/>
      <c r="E366" s="81">
        <f t="shared" si="63"/>
        <v>220019.84000000003</v>
      </c>
      <c r="F366" s="82"/>
      <c r="G366" s="81">
        <f t="shared" si="65"/>
        <v>-154111.29000000004</v>
      </c>
      <c r="H366" s="81"/>
      <c r="I366" s="82">
        <f t="shared" si="66"/>
        <v>0.29955730355953353</v>
      </c>
      <c r="J366" s="81"/>
      <c r="K366" s="82">
        <f t="shared" si="55"/>
        <v>-0.70044269644046642</v>
      </c>
    </row>
    <row r="367" spans="1:11" x14ac:dyDescent="0.85">
      <c r="A367" s="75" t="s">
        <v>374</v>
      </c>
      <c r="B367" s="82"/>
      <c r="C367" s="81">
        <f t="shared" si="64"/>
        <v>7548.58</v>
      </c>
      <c r="D367" s="82"/>
      <c r="E367" s="81">
        <f t="shared" si="63"/>
        <v>22701.870000000003</v>
      </c>
      <c r="F367" s="82"/>
      <c r="G367" s="81">
        <f t="shared" si="65"/>
        <v>-15153.290000000003</v>
      </c>
      <c r="H367" s="81"/>
      <c r="I367" s="82">
        <f t="shared" si="66"/>
        <v>0.33250917215189757</v>
      </c>
      <c r="J367" s="81"/>
      <c r="K367" s="82">
        <f t="shared" si="55"/>
        <v>-0.66749082784810243</v>
      </c>
    </row>
    <row r="368" spans="1:11" x14ac:dyDescent="0.85">
      <c r="A368" s="75" t="s">
        <v>239</v>
      </c>
      <c r="B368" s="82"/>
      <c r="C368" s="81">
        <f t="shared" si="64"/>
        <v>70587.150000000023</v>
      </c>
      <c r="D368" s="82"/>
      <c r="E368" s="81">
        <f t="shared" si="63"/>
        <v>162885.25000000003</v>
      </c>
      <c r="F368" s="82"/>
      <c r="G368" s="81">
        <f t="shared" si="65"/>
        <v>-92298.1</v>
      </c>
      <c r="H368" s="81"/>
      <c r="I368" s="82">
        <f t="shared" si="66"/>
        <v>0.43335507665672618</v>
      </c>
      <c r="J368" s="81"/>
      <c r="K368" s="82">
        <f t="shared" si="55"/>
        <v>-0.56664492334327377</v>
      </c>
    </row>
    <row r="369" spans="1:11" x14ac:dyDescent="0.85">
      <c r="A369" s="75" t="s">
        <v>240</v>
      </c>
      <c r="B369" s="82"/>
      <c r="C369" s="81">
        <f t="shared" si="64"/>
        <v>22774.04</v>
      </c>
      <c r="D369" s="82"/>
      <c r="E369" s="81">
        <f t="shared" si="63"/>
        <v>55845.68</v>
      </c>
      <c r="F369" s="82"/>
      <c r="G369" s="81">
        <f t="shared" si="65"/>
        <v>-33071.64</v>
      </c>
      <c r="H369" s="81"/>
      <c r="I369" s="82">
        <f t="shared" si="66"/>
        <v>0.40780307447236741</v>
      </c>
      <c r="J369" s="81"/>
      <c r="K369" s="82">
        <f t="shared" si="55"/>
        <v>-0.59219692552763259</v>
      </c>
    </row>
    <row r="370" spans="1:11" x14ac:dyDescent="0.85">
      <c r="A370" s="75" t="s">
        <v>238</v>
      </c>
      <c r="B370" s="82"/>
      <c r="C370" s="81">
        <f t="shared" si="64"/>
        <v>127710.76999999999</v>
      </c>
      <c r="D370" s="82"/>
      <c r="E370" s="81">
        <f t="shared" si="63"/>
        <v>82956.56</v>
      </c>
      <c r="F370" s="82"/>
      <c r="G370" s="81">
        <f t="shared" si="65"/>
        <v>44754.209999999992</v>
      </c>
      <c r="H370" s="81"/>
      <c r="I370" s="82">
        <f t="shared" si="66"/>
        <v>1.5394897040089415</v>
      </c>
      <c r="J370" s="81"/>
      <c r="K370" s="82">
        <f t="shared" si="55"/>
        <v>0.53948970400894147</v>
      </c>
    </row>
    <row r="371" spans="1:11" x14ac:dyDescent="0.85">
      <c r="A371" s="75" t="s">
        <v>359</v>
      </c>
      <c r="B371" s="82"/>
      <c r="C371" s="81">
        <f t="shared" si="64"/>
        <v>9714.57</v>
      </c>
      <c r="D371" s="82"/>
      <c r="E371" s="81">
        <f t="shared" si="63"/>
        <v>11201.97</v>
      </c>
      <c r="F371" s="82"/>
      <c r="G371" s="81">
        <f t="shared" si="65"/>
        <v>-1487.3999999999996</v>
      </c>
      <c r="H371" s="81"/>
      <c r="I371" s="82">
        <f t="shared" si="66"/>
        <v>0.86721978366305219</v>
      </c>
      <c r="J371" s="81"/>
      <c r="K371" s="82">
        <f t="shared" si="55"/>
        <v>-0.13278021633694781</v>
      </c>
    </row>
    <row r="372" spans="1:11" x14ac:dyDescent="0.85">
      <c r="A372" s="75" t="s">
        <v>241</v>
      </c>
      <c r="B372" s="82"/>
      <c r="C372" s="81">
        <f t="shared" si="64"/>
        <v>8820.44</v>
      </c>
      <c r="D372" s="82"/>
      <c r="E372" s="81">
        <f t="shared" si="63"/>
        <v>31695.880000000005</v>
      </c>
      <c r="F372" s="82"/>
      <c r="G372" s="81">
        <f t="shared" si="65"/>
        <v>-22875.440000000002</v>
      </c>
      <c r="H372" s="81"/>
      <c r="I372" s="82">
        <f t="shared" si="66"/>
        <v>0.27828348668659775</v>
      </c>
      <c r="J372" s="81"/>
      <c r="K372" s="82">
        <f t="shared" si="55"/>
        <v>-0.72171651331340225</v>
      </c>
    </row>
    <row r="373" spans="1:11" x14ac:dyDescent="0.85">
      <c r="A373" s="75" t="s">
        <v>242</v>
      </c>
      <c r="B373" s="82"/>
      <c r="C373" s="81">
        <f t="shared" si="64"/>
        <v>4029.12</v>
      </c>
      <c r="D373" s="82"/>
      <c r="E373" s="81">
        <f t="shared" si="63"/>
        <v>7455.39</v>
      </c>
      <c r="F373" s="82"/>
      <c r="G373" s="81">
        <f t="shared" si="65"/>
        <v>-3426.2700000000004</v>
      </c>
      <c r="H373" s="81"/>
      <c r="I373" s="82">
        <f t="shared" si="66"/>
        <v>0.54043048049800213</v>
      </c>
      <c r="J373" s="81"/>
      <c r="K373" s="82">
        <f t="shared" si="55"/>
        <v>-0.45956951950199787</v>
      </c>
    </row>
    <row r="374" spans="1:11" x14ac:dyDescent="0.85">
      <c r="A374" s="75" t="s">
        <v>243</v>
      </c>
      <c r="B374" s="82"/>
      <c r="C374" s="81">
        <f t="shared" si="64"/>
        <v>1666.6499999999999</v>
      </c>
      <c r="D374" s="82"/>
      <c r="E374" s="81">
        <f t="shared" si="63"/>
        <v>5609.32</v>
      </c>
      <c r="F374" s="82"/>
      <c r="G374" s="81">
        <f t="shared" si="65"/>
        <v>-3942.67</v>
      </c>
      <c r="H374" s="81"/>
      <c r="I374" s="82">
        <f t="shared" si="66"/>
        <v>0.29712157623383939</v>
      </c>
      <c r="J374" s="81"/>
      <c r="K374" s="82">
        <f t="shared" si="55"/>
        <v>-0.70287842376616061</v>
      </c>
    </row>
    <row r="375" spans="1:11" x14ac:dyDescent="0.85">
      <c r="A375" s="75" t="s">
        <v>244</v>
      </c>
      <c r="B375" s="82"/>
      <c r="C375" s="81">
        <f t="shared" si="64"/>
        <v>813501.8899999999</v>
      </c>
      <c r="D375" s="82"/>
      <c r="E375" s="81">
        <f t="shared" si="63"/>
        <v>1237341.69</v>
      </c>
      <c r="F375" s="82"/>
      <c r="G375" s="81">
        <f t="shared" si="65"/>
        <v>-423839.80000000005</v>
      </c>
      <c r="H375" s="81"/>
      <c r="I375" s="82">
        <f t="shared" si="66"/>
        <v>0.65745937163080626</v>
      </c>
      <c r="J375" s="81"/>
      <c r="K375" s="82">
        <f t="shared" si="55"/>
        <v>-0.34254062836919374</v>
      </c>
    </row>
    <row r="376" spans="1:11" x14ac:dyDescent="0.85">
      <c r="A376" s="75" t="s">
        <v>254</v>
      </c>
      <c r="B376" s="82"/>
      <c r="C376" s="81">
        <f t="shared" si="64"/>
        <v>976.74</v>
      </c>
      <c r="D376" s="82"/>
      <c r="E376" s="81">
        <f t="shared" si="63"/>
        <v>2500.2300000000005</v>
      </c>
      <c r="F376" s="82"/>
      <c r="G376" s="81">
        <f t="shared" si="65"/>
        <v>-1523.4900000000005</v>
      </c>
      <c r="H376" s="81"/>
      <c r="I376" s="82">
        <f t="shared" si="66"/>
        <v>0.39066005927454667</v>
      </c>
      <c r="J376" s="81"/>
      <c r="K376" s="82">
        <f t="shared" si="55"/>
        <v>-0.60933994072545339</v>
      </c>
    </row>
    <row r="377" spans="1:11" x14ac:dyDescent="0.85">
      <c r="A377" s="75" t="s">
        <v>356</v>
      </c>
      <c r="B377" s="82"/>
      <c r="C377" s="81">
        <f t="shared" si="64"/>
        <v>2170.9700000000003</v>
      </c>
      <c r="D377" s="82"/>
      <c r="E377" s="81">
        <f t="shared" si="63"/>
        <v>2035</v>
      </c>
      <c r="F377" s="82"/>
      <c r="G377" s="81">
        <f t="shared" si="65"/>
        <v>135.97000000000025</v>
      </c>
      <c r="H377" s="81"/>
      <c r="I377" s="82">
        <f t="shared" si="66"/>
        <v>1.0668157248157248</v>
      </c>
      <c r="J377" s="81"/>
      <c r="K377" s="82">
        <f t="shared" si="55"/>
        <v>6.6815724815724842E-2</v>
      </c>
    </row>
    <row r="378" spans="1:11" x14ac:dyDescent="0.85">
      <c r="A378" s="75" t="s">
        <v>247</v>
      </c>
      <c r="B378" s="82"/>
      <c r="C378" s="81">
        <f t="shared" si="64"/>
        <v>17993.149999999998</v>
      </c>
      <c r="D378" s="82"/>
      <c r="E378" s="81">
        <f t="shared" si="63"/>
        <v>24015.25</v>
      </c>
      <c r="F378" s="82"/>
      <c r="G378" s="81">
        <f t="shared" si="65"/>
        <v>-6022.1000000000022</v>
      </c>
      <c r="H378" s="81"/>
      <c r="I378" s="82">
        <f t="shared" si="66"/>
        <v>0.74923850470013831</v>
      </c>
      <c r="J378" s="81"/>
      <c r="K378" s="82">
        <f t="shared" si="55"/>
        <v>-0.25076149529986169</v>
      </c>
    </row>
    <row r="379" spans="1:11" x14ac:dyDescent="0.85">
      <c r="A379" s="75" t="s">
        <v>248</v>
      </c>
      <c r="B379" s="82"/>
      <c r="C379" s="81">
        <f t="shared" si="64"/>
        <v>114416.84</v>
      </c>
      <c r="D379" s="82"/>
      <c r="E379" s="81">
        <f t="shared" si="63"/>
        <v>86564.47</v>
      </c>
      <c r="F379" s="82"/>
      <c r="G379" s="81">
        <f t="shared" si="65"/>
        <v>27852.369999999995</v>
      </c>
      <c r="H379" s="81"/>
      <c r="I379" s="82">
        <f t="shared" si="66"/>
        <v>1.3217529085547453</v>
      </c>
      <c r="J379" s="81"/>
      <c r="K379" s="82">
        <f t="shared" si="55"/>
        <v>0.32175290855474525</v>
      </c>
    </row>
    <row r="380" spans="1:11" x14ac:dyDescent="0.85">
      <c r="A380" s="75" t="s">
        <v>368</v>
      </c>
      <c r="B380" s="82"/>
      <c r="C380" s="81">
        <f t="shared" si="64"/>
        <v>15787.920000000002</v>
      </c>
      <c r="D380" s="82"/>
      <c r="E380" s="81">
        <f t="shared" si="63"/>
        <v>0</v>
      </c>
      <c r="F380" s="82"/>
      <c r="G380" s="81">
        <f t="shared" si="65"/>
        <v>15787.920000000002</v>
      </c>
      <c r="H380" s="81"/>
      <c r="I380" s="87">
        <v>0</v>
      </c>
      <c r="J380" s="81"/>
      <c r="K380" s="82">
        <f t="shared" si="55"/>
        <v>-1</v>
      </c>
    </row>
    <row r="381" spans="1:11" x14ac:dyDescent="0.85">
      <c r="A381" s="75" t="s">
        <v>369</v>
      </c>
      <c r="B381" s="82"/>
      <c r="C381" s="81">
        <f t="shared" si="64"/>
        <v>6146.12</v>
      </c>
      <c r="D381" s="82"/>
      <c r="E381" s="81">
        <f t="shared" si="63"/>
        <v>0</v>
      </c>
      <c r="F381" s="82"/>
      <c r="G381" s="81">
        <f t="shared" si="65"/>
        <v>6146.12</v>
      </c>
      <c r="H381" s="81"/>
      <c r="I381" s="87">
        <v>0</v>
      </c>
      <c r="J381" s="81"/>
      <c r="K381" s="104">
        <f t="shared" si="55"/>
        <v>-1</v>
      </c>
    </row>
    <row r="382" spans="1:11" x14ac:dyDescent="0.85">
      <c r="A382" s="80" t="s">
        <v>249</v>
      </c>
      <c r="B382" s="85"/>
      <c r="C382" s="83">
        <f t="shared" si="64"/>
        <v>1824872.23</v>
      </c>
      <c r="D382" s="85"/>
      <c r="E382" s="83">
        <f t="shared" si="63"/>
        <v>3164945.4600000004</v>
      </c>
      <c r="F382" s="85"/>
      <c r="G382" s="83">
        <f t="shared" si="65"/>
        <v>-1340073.2300000004</v>
      </c>
      <c r="H382" s="83"/>
      <c r="I382" s="84">
        <f>I72/I257</f>
        <v>0.57658883954354134</v>
      </c>
      <c r="J382" s="83"/>
      <c r="K382" s="84">
        <f t="shared" si="55"/>
        <v>-0.42341116045645866</v>
      </c>
    </row>
    <row r="383" spans="1:11" x14ac:dyDescent="0.85">
      <c r="C383" s="81"/>
      <c r="E383" s="81">
        <f t="shared" si="63"/>
        <v>0</v>
      </c>
      <c r="G383" s="81"/>
      <c r="H383" s="81"/>
      <c r="I383" s="82"/>
      <c r="J383" s="81"/>
      <c r="K383" s="82"/>
    </row>
    <row r="384" spans="1:11" x14ac:dyDescent="0.85">
      <c r="A384" s="80" t="s">
        <v>250</v>
      </c>
      <c r="C384" s="81"/>
      <c r="E384" s="81">
        <f t="shared" si="63"/>
        <v>0</v>
      </c>
      <c r="G384" s="81"/>
      <c r="H384" s="81"/>
      <c r="I384" s="82"/>
      <c r="J384" s="81"/>
      <c r="K384" s="82"/>
    </row>
    <row r="385" spans="1:11" x14ac:dyDescent="0.85">
      <c r="A385" s="75" t="s">
        <v>251</v>
      </c>
      <c r="B385" s="82"/>
      <c r="C385" s="81">
        <f t="shared" ref="C385:C405" si="67">I81</f>
        <v>7530.9000000000005</v>
      </c>
      <c r="D385" s="82"/>
      <c r="E385" s="81">
        <f t="shared" si="63"/>
        <v>13513.7</v>
      </c>
      <c r="F385" s="82"/>
      <c r="G385" s="81">
        <f t="shared" ref="G385:G405" si="68">I81-I260</f>
        <v>-5982.8</v>
      </c>
      <c r="H385" s="81"/>
      <c r="I385" s="82">
        <f>I81/I260</f>
        <v>0.5572789095510482</v>
      </c>
      <c r="J385" s="81"/>
      <c r="K385" s="82">
        <f t="shared" si="55"/>
        <v>-0.4427210904489518</v>
      </c>
    </row>
    <row r="386" spans="1:11" x14ac:dyDescent="0.85">
      <c r="A386" s="75" t="s">
        <v>391</v>
      </c>
      <c r="B386" s="82"/>
      <c r="C386" s="81">
        <f t="shared" si="67"/>
        <v>0</v>
      </c>
      <c r="D386" s="82"/>
      <c r="E386" s="81">
        <f t="shared" si="63"/>
        <v>2500</v>
      </c>
      <c r="F386" s="82"/>
      <c r="G386" s="81">
        <f t="shared" si="68"/>
        <v>-2500</v>
      </c>
      <c r="H386" s="81"/>
      <c r="I386" s="82">
        <f>I82/I261</f>
        <v>0</v>
      </c>
      <c r="J386" s="81"/>
      <c r="K386" s="82">
        <f>I386-1</f>
        <v>-1</v>
      </c>
    </row>
    <row r="387" spans="1:11" x14ac:dyDescent="0.85">
      <c r="A387" s="75" t="s">
        <v>546</v>
      </c>
      <c r="B387" s="82"/>
      <c r="C387" s="81">
        <f t="shared" si="67"/>
        <v>0</v>
      </c>
      <c r="D387" s="82"/>
      <c r="E387" s="81">
        <f t="shared" si="63"/>
        <v>0</v>
      </c>
      <c r="F387" s="82"/>
      <c r="G387" s="81">
        <f t="shared" si="68"/>
        <v>0</v>
      </c>
      <c r="H387" s="81"/>
      <c r="I387" s="82">
        <v>0</v>
      </c>
      <c r="J387" s="81"/>
      <c r="K387" s="82">
        <f>I387-1</f>
        <v>-1</v>
      </c>
    </row>
    <row r="388" spans="1:11" x14ac:dyDescent="0.85">
      <c r="A388" s="75" t="s">
        <v>252</v>
      </c>
      <c r="B388" s="82"/>
      <c r="C388" s="81">
        <f t="shared" si="67"/>
        <v>66320.64999999998</v>
      </c>
      <c r="D388" s="82"/>
      <c r="E388" s="81">
        <f t="shared" si="63"/>
        <v>161852.93999999997</v>
      </c>
      <c r="F388" s="82"/>
      <c r="G388" s="81">
        <f t="shared" si="68"/>
        <v>-95532.29</v>
      </c>
      <c r="H388" s="81"/>
      <c r="I388" s="82">
        <f>I84/I263</f>
        <v>0.40975869823557109</v>
      </c>
      <c r="J388" s="81"/>
      <c r="K388" s="82">
        <f t="shared" si="55"/>
        <v>-0.59024130176442891</v>
      </c>
    </row>
    <row r="389" spans="1:11" x14ac:dyDescent="0.85">
      <c r="A389" s="75" t="s">
        <v>363</v>
      </c>
      <c r="B389" s="82"/>
      <c r="C389" s="81">
        <f t="shared" si="67"/>
        <v>2445.9100000000003</v>
      </c>
      <c r="D389" s="82"/>
      <c r="E389" s="81">
        <f t="shared" si="63"/>
        <v>4003.21</v>
      </c>
      <c r="F389" s="82"/>
      <c r="G389" s="81">
        <f t="shared" si="68"/>
        <v>-1557.2999999999997</v>
      </c>
      <c r="H389" s="81"/>
      <c r="I389" s="82">
        <f>I85/I264</f>
        <v>0.61098718278581443</v>
      </c>
      <c r="J389" s="81"/>
      <c r="K389" s="82">
        <f t="shared" si="55"/>
        <v>-0.38901281721418557</v>
      </c>
    </row>
    <row r="390" spans="1:11" x14ac:dyDescent="0.85">
      <c r="A390" s="75" t="s">
        <v>253</v>
      </c>
      <c r="B390" s="82"/>
      <c r="C390" s="81">
        <f t="shared" si="67"/>
        <v>4554.3900000000003</v>
      </c>
      <c r="D390" s="82"/>
      <c r="E390" s="81">
        <f t="shared" si="63"/>
        <v>15688.54</v>
      </c>
      <c r="F390" s="82"/>
      <c r="G390" s="81">
        <f t="shared" si="68"/>
        <v>-11134.150000000001</v>
      </c>
      <c r="H390" s="81"/>
      <c r="I390" s="82">
        <f>I86/I265</f>
        <v>0.29030043585955101</v>
      </c>
      <c r="J390" s="81"/>
      <c r="K390" s="82">
        <f t="shared" si="55"/>
        <v>-0.70969956414044899</v>
      </c>
    </row>
    <row r="391" spans="1:11" x14ac:dyDescent="0.85">
      <c r="A391" s="75" t="s">
        <v>360</v>
      </c>
      <c r="B391" s="82"/>
      <c r="C391" s="81">
        <f t="shared" si="67"/>
        <v>188075</v>
      </c>
      <c r="D391" s="82"/>
      <c r="E391" s="81">
        <f t="shared" ref="E391:E407" si="69">I266</f>
        <v>642324.84</v>
      </c>
      <c r="F391" s="82"/>
      <c r="G391" s="81">
        <f t="shared" si="68"/>
        <v>-454249.83999999997</v>
      </c>
      <c r="H391" s="81"/>
      <c r="I391" s="82">
        <f>I87/I266</f>
        <v>0.29280356026710724</v>
      </c>
      <c r="J391" s="81"/>
      <c r="K391" s="82">
        <f t="shared" si="55"/>
        <v>-0.7071964397328927</v>
      </c>
    </row>
    <row r="392" spans="1:11" x14ac:dyDescent="0.85">
      <c r="A392" s="75" t="s">
        <v>361</v>
      </c>
      <c r="B392" s="82"/>
      <c r="C392" s="81">
        <f t="shared" si="67"/>
        <v>75500</v>
      </c>
      <c r="D392" s="82"/>
      <c r="E392" s="81">
        <f t="shared" si="69"/>
        <v>13542.06</v>
      </c>
      <c r="F392" s="82"/>
      <c r="G392" s="81">
        <f t="shared" si="68"/>
        <v>61957.94</v>
      </c>
      <c r="H392" s="81"/>
      <c r="I392" s="82">
        <f>I88/I267</f>
        <v>5.575222676609024</v>
      </c>
      <c r="J392" s="81"/>
      <c r="K392" s="82">
        <f t="shared" si="55"/>
        <v>4.575222676609024</v>
      </c>
    </row>
    <row r="393" spans="1:11" x14ac:dyDescent="0.85">
      <c r="A393" s="75" t="s">
        <v>362</v>
      </c>
      <c r="B393" s="82"/>
      <c r="C393" s="81">
        <f t="shared" si="67"/>
        <v>14427.399999999998</v>
      </c>
      <c r="D393" s="82"/>
      <c r="E393" s="81">
        <f t="shared" si="69"/>
        <v>16751.25</v>
      </c>
      <c r="F393" s="82"/>
      <c r="G393" s="81">
        <f t="shared" si="68"/>
        <v>-2323.8500000000022</v>
      </c>
      <c r="H393" s="81"/>
      <c r="I393" s="87">
        <v>0</v>
      </c>
      <c r="J393" s="81"/>
      <c r="K393" s="82">
        <f t="shared" si="55"/>
        <v>-1</v>
      </c>
    </row>
    <row r="394" spans="1:11" x14ac:dyDescent="0.85">
      <c r="A394" s="75" t="s">
        <v>400</v>
      </c>
      <c r="B394" s="82"/>
      <c r="C394" s="81">
        <f t="shared" si="67"/>
        <v>13455</v>
      </c>
      <c r="D394" s="82"/>
      <c r="E394" s="81">
        <f t="shared" si="69"/>
        <v>0</v>
      </c>
      <c r="F394" s="82"/>
      <c r="G394" s="81">
        <f t="shared" si="68"/>
        <v>13455</v>
      </c>
      <c r="H394" s="81"/>
      <c r="I394" s="87">
        <v>0</v>
      </c>
      <c r="J394" s="81"/>
      <c r="K394" s="82">
        <f t="shared" si="55"/>
        <v>-1</v>
      </c>
    </row>
    <row r="395" spans="1:11" x14ac:dyDescent="0.85">
      <c r="A395" s="75" t="s">
        <v>389</v>
      </c>
      <c r="B395" s="82"/>
      <c r="C395" s="81">
        <f t="shared" si="67"/>
        <v>3958.3399999999997</v>
      </c>
      <c r="D395" s="82"/>
      <c r="E395" s="81">
        <f t="shared" si="69"/>
        <v>0</v>
      </c>
      <c r="F395" s="82"/>
      <c r="G395" s="81">
        <f t="shared" si="68"/>
        <v>3958.3399999999997</v>
      </c>
      <c r="H395" s="81"/>
      <c r="I395" s="87">
        <v>0</v>
      </c>
      <c r="J395" s="81"/>
      <c r="K395" s="82">
        <f t="shared" si="55"/>
        <v>-1</v>
      </c>
    </row>
    <row r="396" spans="1:11" x14ac:dyDescent="0.85">
      <c r="A396" s="75" t="s">
        <v>255</v>
      </c>
      <c r="B396" s="82"/>
      <c r="C396" s="81">
        <f t="shared" si="67"/>
        <v>10124.620000000001</v>
      </c>
      <c r="D396" s="82"/>
      <c r="E396" s="81">
        <f t="shared" si="69"/>
        <v>7449.76</v>
      </c>
      <c r="F396" s="82"/>
      <c r="G396" s="81">
        <f t="shared" si="68"/>
        <v>2674.8600000000006</v>
      </c>
      <c r="H396" s="81"/>
      <c r="I396" s="82">
        <f>I92/I271</f>
        <v>1.3590531775520285</v>
      </c>
      <c r="J396" s="81"/>
      <c r="K396" s="82">
        <f t="shared" si="55"/>
        <v>0.35905317755202848</v>
      </c>
    </row>
    <row r="397" spans="1:11" x14ac:dyDescent="0.85">
      <c r="A397" s="75" t="s">
        <v>256</v>
      </c>
      <c r="B397" s="82"/>
      <c r="C397" s="81">
        <f t="shared" si="67"/>
        <v>19623.87</v>
      </c>
      <c r="D397" s="82"/>
      <c r="E397" s="81">
        <f t="shared" si="69"/>
        <v>49272.77</v>
      </c>
      <c r="F397" s="82"/>
      <c r="G397" s="81">
        <f t="shared" si="68"/>
        <v>-29648.899999999998</v>
      </c>
      <c r="H397" s="81"/>
      <c r="I397" s="82">
        <f>I93/I272</f>
        <v>0.3982700789908909</v>
      </c>
      <c r="J397" s="81"/>
      <c r="K397" s="82">
        <f t="shared" si="55"/>
        <v>-0.60172992100910916</v>
      </c>
    </row>
    <row r="398" spans="1:11" x14ac:dyDescent="0.85">
      <c r="A398" s="75" t="s">
        <v>257</v>
      </c>
      <c r="B398" s="82"/>
      <c r="C398" s="81">
        <f t="shared" si="67"/>
        <v>13431.93</v>
      </c>
      <c r="D398" s="82"/>
      <c r="E398" s="81">
        <f t="shared" si="69"/>
        <v>29498.560000000001</v>
      </c>
      <c r="F398" s="82"/>
      <c r="G398" s="81">
        <f t="shared" si="68"/>
        <v>-16066.630000000001</v>
      </c>
      <c r="H398" s="81"/>
      <c r="I398" s="87">
        <v>0</v>
      </c>
      <c r="J398" s="81"/>
      <c r="K398" s="82">
        <f t="shared" si="55"/>
        <v>-1</v>
      </c>
    </row>
    <row r="399" spans="1:11" x14ac:dyDescent="0.85">
      <c r="A399" s="75" t="s">
        <v>294</v>
      </c>
      <c r="B399" s="82"/>
      <c r="C399" s="81">
        <f t="shared" si="67"/>
        <v>1900</v>
      </c>
      <c r="D399" s="82"/>
      <c r="E399" s="81">
        <f t="shared" si="69"/>
        <v>5337.99</v>
      </c>
      <c r="F399" s="82"/>
      <c r="G399" s="81">
        <f t="shared" si="68"/>
        <v>-3437.99</v>
      </c>
      <c r="H399" s="81"/>
      <c r="I399" s="87">
        <v>0</v>
      </c>
      <c r="J399" s="81"/>
      <c r="K399" s="104">
        <v>0</v>
      </c>
    </row>
    <row r="400" spans="1:11" x14ac:dyDescent="0.85">
      <c r="A400" s="75" t="s">
        <v>375</v>
      </c>
      <c r="B400" s="82"/>
      <c r="C400" s="81">
        <f t="shared" si="67"/>
        <v>10329.9</v>
      </c>
      <c r="D400" s="82"/>
      <c r="E400" s="81">
        <f t="shared" si="69"/>
        <v>12151.36</v>
      </c>
      <c r="F400" s="82"/>
      <c r="G400" s="81">
        <f t="shared" si="68"/>
        <v>-1821.4600000000009</v>
      </c>
      <c r="H400" s="81"/>
      <c r="I400" s="82">
        <f>I96/I275</f>
        <v>0.85010237537197475</v>
      </c>
      <c r="J400" s="81"/>
      <c r="K400" s="104">
        <v>0</v>
      </c>
    </row>
    <row r="401" spans="1:11" x14ac:dyDescent="0.85">
      <c r="A401" s="75" t="s">
        <v>258</v>
      </c>
      <c r="B401" s="82"/>
      <c r="C401" s="81">
        <f t="shared" si="67"/>
        <v>13386.65</v>
      </c>
      <c r="D401" s="82"/>
      <c r="E401" s="81">
        <f t="shared" si="69"/>
        <v>53434.720000000001</v>
      </c>
      <c r="F401" s="82"/>
      <c r="G401" s="81">
        <f t="shared" si="68"/>
        <v>-40048.07</v>
      </c>
      <c r="H401" s="81"/>
      <c r="I401" s="87">
        <v>0</v>
      </c>
      <c r="J401" s="81"/>
      <c r="K401" s="82">
        <f>I401-1</f>
        <v>-1</v>
      </c>
    </row>
    <row r="402" spans="1:11" x14ac:dyDescent="0.85">
      <c r="A402" s="75" t="s">
        <v>259</v>
      </c>
      <c r="B402" s="82"/>
      <c r="C402" s="81">
        <f t="shared" si="67"/>
        <v>15545.650000000001</v>
      </c>
      <c r="D402" s="82"/>
      <c r="E402" s="81">
        <f t="shared" si="69"/>
        <v>0</v>
      </c>
      <c r="F402" s="82"/>
      <c r="G402" s="81">
        <f t="shared" si="68"/>
        <v>15545.650000000001</v>
      </c>
      <c r="H402" s="81"/>
      <c r="I402" s="87">
        <v>0</v>
      </c>
      <c r="J402" s="81"/>
      <c r="K402" s="104">
        <v>0</v>
      </c>
    </row>
    <row r="403" spans="1:11" x14ac:dyDescent="0.85">
      <c r="A403" s="75" t="s">
        <v>260</v>
      </c>
      <c r="B403" s="82"/>
      <c r="C403" s="81">
        <f t="shared" si="67"/>
        <v>3295.27</v>
      </c>
      <c r="D403" s="82"/>
      <c r="E403" s="81">
        <f t="shared" si="69"/>
        <v>21942.07</v>
      </c>
      <c r="F403" s="82"/>
      <c r="G403" s="81">
        <f t="shared" si="68"/>
        <v>-18646.8</v>
      </c>
      <c r="H403" s="81"/>
      <c r="I403" s="87">
        <v>0</v>
      </c>
      <c r="J403" s="81"/>
      <c r="K403" s="82">
        <f>I403-1</f>
        <v>-1</v>
      </c>
    </row>
    <row r="404" spans="1:11" x14ac:dyDescent="0.85">
      <c r="A404" s="75" t="s">
        <v>261</v>
      </c>
      <c r="B404" s="82"/>
      <c r="C404" s="81">
        <f t="shared" si="67"/>
        <v>8245.32</v>
      </c>
      <c r="D404" s="82"/>
      <c r="E404" s="81">
        <f t="shared" si="69"/>
        <v>0</v>
      </c>
      <c r="F404" s="82"/>
      <c r="G404" s="81">
        <f t="shared" si="68"/>
        <v>8245.32</v>
      </c>
      <c r="H404" s="81"/>
      <c r="I404" s="95">
        <v>0</v>
      </c>
      <c r="J404" s="81"/>
      <c r="K404" s="104">
        <v>0</v>
      </c>
    </row>
    <row r="405" spans="1:11" x14ac:dyDescent="0.85">
      <c r="A405" s="80" t="s">
        <v>263</v>
      </c>
      <c r="B405" s="85"/>
      <c r="C405" s="83">
        <f t="shared" si="67"/>
        <v>472150.8000000001</v>
      </c>
      <c r="D405" s="85"/>
      <c r="E405" s="83">
        <f t="shared" si="69"/>
        <v>1049263.77</v>
      </c>
      <c r="F405" s="85"/>
      <c r="G405" s="83">
        <f t="shared" si="68"/>
        <v>-577112.97</v>
      </c>
      <c r="H405" s="83"/>
      <c r="I405" s="105">
        <f>I101/I280</f>
        <v>0.44998294375493408</v>
      </c>
      <c r="J405" s="83"/>
      <c r="K405" s="84">
        <f>I405-1</f>
        <v>-0.55001705624506592</v>
      </c>
    </row>
    <row r="406" spans="1:11" x14ac:dyDescent="0.85">
      <c r="C406" s="81"/>
      <c r="E406" s="81">
        <f t="shared" si="69"/>
        <v>0</v>
      </c>
      <c r="G406" s="81"/>
      <c r="H406" s="81"/>
      <c r="I406" s="101"/>
      <c r="J406" s="81"/>
      <c r="K406" s="82"/>
    </row>
    <row r="407" spans="1:11" ht="58.5" thickBot="1" x14ac:dyDescent="0.9">
      <c r="A407" s="80" t="s">
        <v>264</v>
      </c>
      <c r="C407" s="86">
        <f>I103</f>
        <v>4454415.58</v>
      </c>
      <c r="E407" s="86">
        <f t="shared" si="69"/>
        <v>9682036.5099999979</v>
      </c>
      <c r="G407" s="86">
        <f>I103-I282</f>
        <v>-5227620.9299999978</v>
      </c>
      <c r="H407" s="86"/>
      <c r="I407" s="106">
        <f>I103/I282</f>
        <v>0.46007010770918905</v>
      </c>
      <c r="J407" s="86"/>
      <c r="K407" s="102">
        <v>0</v>
      </c>
    </row>
    <row r="408" spans="1:11" x14ac:dyDescent="0.85">
      <c r="A408" s="77"/>
      <c r="B408" s="120"/>
      <c r="C408" s="98"/>
      <c r="D408" s="120"/>
      <c r="E408" s="98"/>
      <c r="F408" s="120"/>
      <c r="G408" s="98"/>
      <c r="H408" s="98"/>
      <c r="I408" s="101"/>
      <c r="J408" s="98"/>
      <c r="K408" s="101"/>
    </row>
    <row r="409" spans="1:11" x14ac:dyDescent="0.85">
      <c r="B409" s="120"/>
      <c r="C409" s="120"/>
      <c r="D409" s="120"/>
      <c r="E409" s="120"/>
      <c r="F409" s="120"/>
      <c r="G409" s="120" t="s">
        <v>340</v>
      </c>
      <c r="H409" s="98"/>
      <c r="I409" s="100"/>
      <c r="J409" s="100"/>
      <c r="K409" s="100"/>
    </row>
    <row r="410" spans="1:11" x14ac:dyDescent="0.85">
      <c r="B410" s="120"/>
      <c r="C410" s="120">
        <v>2018</v>
      </c>
      <c r="D410" s="120"/>
      <c r="E410" s="120">
        <v>2017</v>
      </c>
      <c r="F410" s="120"/>
      <c r="G410" s="120" t="s">
        <v>341</v>
      </c>
      <c r="H410" s="81"/>
      <c r="I410" s="100"/>
      <c r="J410" s="100"/>
      <c r="K410" s="100"/>
    </row>
    <row r="411" spans="1:11" x14ac:dyDescent="0.85">
      <c r="B411" s="121"/>
      <c r="C411" s="78"/>
      <c r="D411" s="121"/>
      <c r="E411" s="78"/>
      <c r="F411" s="121"/>
      <c r="G411" s="78" t="s">
        <v>338</v>
      </c>
      <c r="H411" s="81"/>
      <c r="I411" s="100"/>
      <c r="J411" s="100"/>
      <c r="K411" s="100"/>
    </row>
    <row r="412" spans="1:11" x14ac:dyDescent="0.85">
      <c r="C412" s="98"/>
      <c r="E412" s="98">
        <f t="shared" ref="E412:E425" si="70">I288</f>
        <v>0</v>
      </c>
      <c r="G412" s="98"/>
      <c r="H412" s="81"/>
      <c r="I412" s="100"/>
      <c r="J412" s="100"/>
      <c r="K412" s="100"/>
    </row>
    <row r="413" spans="1:11" x14ac:dyDescent="0.85">
      <c r="A413" s="80" t="s">
        <v>462</v>
      </c>
      <c r="C413" s="98"/>
      <c r="E413" s="98">
        <f t="shared" si="70"/>
        <v>0</v>
      </c>
      <c r="G413" s="98"/>
      <c r="H413" s="81"/>
      <c r="I413" s="100"/>
      <c r="J413" s="100"/>
      <c r="K413" s="100"/>
    </row>
    <row r="414" spans="1:11" x14ac:dyDescent="0.85">
      <c r="A414" s="75" t="s">
        <v>267</v>
      </c>
      <c r="B414" s="82"/>
      <c r="C414" s="81">
        <f t="shared" ref="C414:C422" si="71">I106</f>
        <v>267500</v>
      </c>
      <c r="D414" s="82"/>
      <c r="E414" s="81">
        <f t="shared" si="70"/>
        <v>676025.61</v>
      </c>
      <c r="F414" s="82"/>
      <c r="G414" s="81">
        <f t="shared" ref="G414:G428" si="72">I106-I290</f>
        <v>-408525.61</v>
      </c>
      <c r="H414" s="81"/>
      <c r="I414" s="100"/>
      <c r="J414" s="100"/>
      <c r="K414" s="100"/>
    </row>
    <row r="415" spans="1:11" x14ac:dyDescent="0.85">
      <c r="A415" s="75" t="s">
        <v>268</v>
      </c>
      <c r="B415" s="82"/>
      <c r="C415" s="81">
        <f t="shared" si="71"/>
        <v>-692.20000000001164</v>
      </c>
      <c r="D415" s="82"/>
      <c r="E415" s="81">
        <f t="shared" si="70"/>
        <v>414056.25</v>
      </c>
      <c r="F415" s="82"/>
      <c r="G415" s="81">
        <f t="shared" si="72"/>
        <v>-414748.45</v>
      </c>
      <c r="H415" s="81"/>
      <c r="I415" s="100"/>
      <c r="J415" s="100"/>
      <c r="K415" s="100"/>
    </row>
    <row r="416" spans="1:11" x14ac:dyDescent="0.85">
      <c r="A416" s="75" t="s">
        <v>326</v>
      </c>
      <c r="B416" s="82"/>
      <c r="C416" s="81">
        <f t="shared" si="71"/>
        <v>692.20000000001164</v>
      </c>
      <c r="D416" s="82"/>
      <c r="E416" s="81">
        <f t="shared" si="70"/>
        <v>-412777.5</v>
      </c>
      <c r="F416" s="82"/>
      <c r="G416" s="81">
        <f t="shared" si="72"/>
        <v>413469.7</v>
      </c>
      <c r="H416" s="81"/>
      <c r="I416" s="100"/>
      <c r="J416" s="100"/>
      <c r="K416" s="100"/>
    </row>
    <row r="417" spans="1:11" x14ac:dyDescent="0.85">
      <c r="A417" s="75" t="s">
        <v>386</v>
      </c>
      <c r="B417" s="82"/>
      <c r="C417" s="81">
        <f t="shared" si="71"/>
        <v>0</v>
      </c>
      <c r="D417" s="82"/>
      <c r="E417" s="81">
        <f t="shared" si="70"/>
        <v>0</v>
      </c>
      <c r="F417" s="82"/>
      <c r="G417" s="81">
        <f t="shared" si="72"/>
        <v>0</v>
      </c>
      <c r="H417" s="81"/>
      <c r="I417" s="100"/>
      <c r="J417" s="100"/>
      <c r="K417" s="100"/>
    </row>
    <row r="418" spans="1:11" x14ac:dyDescent="0.85">
      <c r="A418" s="75" t="s">
        <v>269</v>
      </c>
      <c r="B418" s="82"/>
      <c r="C418" s="81">
        <f t="shared" si="71"/>
        <v>65930</v>
      </c>
      <c r="D418" s="82"/>
      <c r="E418" s="81">
        <f t="shared" si="70"/>
        <v>0</v>
      </c>
      <c r="F418" s="82"/>
      <c r="G418" s="81">
        <f t="shared" si="72"/>
        <v>65930</v>
      </c>
      <c r="H418" s="81"/>
      <c r="I418" s="100"/>
      <c r="J418" s="100"/>
      <c r="K418" s="100"/>
    </row>
    <row r="419" spans="1:11" x14ac:dyDescent="0.85">
      <c r="A419" s="75" t="s">
        <v>270</v>
      </c>
      <c r="B419" s="82"/>
      <c r="C419" s="81">
        <f t="shared" si="71"/>
        <v>170512.05</v>
      </c>
      <c r="D419" s="82"/>
      <c r="E419" s="81">
        <f t="shared" si="70"/>
        <v>509287.49</v>
      </c>
      <c r="F419" s="82"/>
      <c r="G419" s="81">
        <f t="shared" si="72"/>
        <v>-338775.44</v>
      </c>
      <c r="H419" s="81"/>
      <c r="I419" s="100"/>
      <c r="J419" s="100"/>
      <c r="K419" s="100"/>
    </row>
    <row r="420" spans="1:11" x14ac:dyDescent="0.85">
      <c r="A420" s="75" t="s">
        <v>271</v>
      </c>
      <c r="B420" s="82"/>
      <c r="C420" s="81">
        <f t="shared" si="71"/>
        <v>-132105.94</v>
      </c>
      <c r="D420" s="82"/>
      <c r="E420" s="81">
        <f t="shared" si="70"/>
        <v>-402718.26</v>
      </c>
      <c r="F420" s="82"/>
      <c r="G420" s="81">
        <f t="shared" si="72"/>
        <v>270612.32</v>
      </c>
      <c r="H420" s="81"/>
      <c r="I420" s="100"/>
      <c r="J420" s="100"/>
      <c r="K420" s="100"/>
    </row>
    <row r="421" spans="1:11" x14ac:dyDescent="0.85">
      <c r="A421" s="75" t="s">
        <v>272</v>
      </c>
      <c r="B421" s="82"/>
      <c r="C421" s="81">
        <f t="shared" si="71"/>
        <v>1834.1899999999998</v>
      </c>
      <c r="D421" s="82"/>
      <c r="E421" s="81">
        <f t="shared" si="70"/>
        <v>0</v>
      </c>
      <c r="F421" s="82"/>
      <c r="G421" s="81">
        <f t="shared" si="72"/>
        <v>1834.1899999999998</v>
      </c>
      <c r="H421" s="81"/>
      <c r="I421" s="100"/>
      <c r="J421" s="100"/>
      <c r="K421" s="100"/>
    </row>
    <row r="422" spans="1:11" x14ac:dyDescent="0.85">
      <c r="A422" s="75" t="s">
        <v>401</v>
      </c>
      <c r="B422" s="82"/>
      <c r="C422" s="81">
        <f t="shared" si="71"/>
        <v>2087.77</v>
      </c>
      <c r="D422" s="82"/>
      <c r="E422" s="81">
        <f t="shared" si="70"/>
        <v>0</v>
      </c>
      <c r="F422" s="82"/>
      <c r="G422" s="81">
        <f t="shared" si="72"/>
        <v>2087.77</v>
      </c>
      <c r="H422" s="127"/>
      <c r="I422" s="100"/>
      <c r="J422" s="100"/>
      <c r="K422" s="100"/>
    </row>
    <row r="423" spans="1:11" x14ac:dyDescent="0.85">
      <c r="A423" s="75" t="s">
        <v>438</v>
      </c>
      <c r="B423" s="82"/>
      <c r="C423" s="81">
        <v>0</v>
      </c>
      <c r="D423" s="82"/>
      <c r="E423" s="81">
        <f t="shared" si="70"/>
        <v>0</v>
      </c>
      <c r="F423" s="82"/>
      <c r="G423" s="81">
        <f t="shared" si="72"/>
        <v>0</v>
      </c>
      <c r="H423" s="127"/>
      <c r="I423" s="100"/>
      <c r="J423" s="100"/>
      <c r="K423" s="100"/>
    </row>
    <row r="424" spans="1:11" x14ac:dyDescent="0.85">
      <c r="A424" s="75" t="s">
        <v>439</v>
      </c>
      <c r="B424" s="82"/>
      <c r="C424" s="81">
        <v>0</v>
      </c>
      <c r="D424" s="82"/>
      <c r="E424" s="81">
        <f t="shared" si="70"/>
        <v>0</v>
      </c>
      <c r="F424" s="82"/>
      <c r="G424" s="81">
        <f t="shared" si="72"/>
        <v>0</v>
      </c>
      <c r="H424" s="127"/>
      <c r="I424" s="100"/>
      <c r="J424" s="100"/>
      <c r="K424" s="100"/>
    </row>
    <row r="425" spans="1:11" x14ac:dyDescent="0.85">
      <c r="A425" s="75" t="s">
        <v>403</v>
      </c>
      <c r="B425" s="82"/>
      <c r="C425" s="81">
        <f>I117</f>
        <v>7848.21</v>
      </c>
      <c r="D425" s="82"/>
      <c r="E425" s="81">
        <f t="shared" si="70"/>
        <v>0</v>
      </c>
      <c r="F425" s="82"/>
      <c r="G425" s="81">
        <f t="shared" si="72"/>
        <v>7848.21</v>
      </c>
      <c r="H425" s="127"/>
      <c r="I425" s="100"/>
      <c r="J425" s="100"/>
      <c r="K425" s="100"/>
    </row>
    <row r="426" spans="1:11" ht="70.5" x14ac:dyDescent="1.05">
      <c r="A426" s="75" t="s">
        <v>539</v>
      </c>
      <c r="B426" s="82"/>
      <c r="C426" s="81">
        <v>0</v>
      </c>
      <c r="D426" s="82"/>
      <c r="E426" s="81">
        <v>0</v>
      </c>
      <c r="F426" s="82"/>
      <c r="G426" s="81">
        <f t="shared" si="72"/>
        <v>80863.360000000001</v>
      </c>
      <c r="H426" s="128"/>
      <c r="I426" s="107"/>
      <c r="J426" s="107"/>
      <c r="K426" s="107"/>
    </row>
    <row r="427" spans="1:11" x14ac:dyDescent="0.85">
      <c r="A427" s="75" t="s">
        <v>449</v>
      </c>
      <c r="B427" s="82"/>
      <c r="C427" s="81">
        <v>0</v>
      </c>
      <c r="D427" s="82"/>
      <c r="E427" s="81">
        <f>I303</f>
        <v>0</v>
      </c>
      <c r="F427" s="82"/>
      <c r="G427" s="81">
        <f t="shared" si="72"/>
        <v>0</v>
      </c>
      <c r="H427" s="129"/>
      <c r="I427" s="100"/>
      <c r="J427" s="98"/>
      <c r="K427" s="100"/>
    </row>
    <row r="428" spans="1:11" x14ac:dyDescent="0.85">
      <c r="A428" s="80" t="s">
        <v>463</v>
      </c>
      <c r="B428" s="82"/>
      <c r="C428" s="83">
        <f>I120</f>
        <v>383606.28</v>
      </c>
      <c r="D428" s="82"/>
      <c r="E428" s="83">
        <f>I304</f>
        <v>703010.23</v>
      </c>
      <c r="F428" s="82"/>
      <c r="G428" s="83">
        <f t="shared" si="72"/>
        <v>-319403.94999999995</v>
      </c>
      <c r="H428" s="98"/>
      <c r="I428" s="95"/>
      <c r="J428" s="98"/>
      <c r="K428" s="95"/>
    </row>
    <row r="429" spans="1:11" x14ac:dyDescent="0.85">
      <c r="A429" s="80"/>
      <c r="B429" s="82"/>
      <c r="C429" s="81"/>
      <c r="D429" s="82"/>
      <c r="E429" s="81">
        <f>I305</f>
        <v>0</v>
      </c>
      <c r="F429" s="82"/>
      <c r="G429" s="81"/>
      <c r="H429" s="98"/>
      <c r="I429" s="95"/>
      <c r="J429" s="98"/>
      <c r="K429" s="95"/>
    </row>
    <row r="430" spans="1:11" ht="71.25" thickBot="1" x14ac:dyDescent="1.1000000000000001">
      <c r="A430" s="92" t="s">
        <v>266</v>
      </c>
      <c r="B430" s="90"/>
      <c r="C430" s="91">
        <f>I122</f>
        <v>606222.76999948092</v>
      </c>
      <c r="D430" s="90"/>
      <c r="E430" s="91">
        <f>I306</f>
        <v>-3240398.5199994007</v>
      </c>
      <c r="F430" s="90"/>
      <c r="G430" s="91">
        <f>I122-I306</f>
        <v>3846621.2899988815</v>
      </c>
    </row>
    <row r="431" spans="1:11" ht="58.5" thickTop="1" x14ac:dyDescent="0.85">
      <c r="G431" s="98"/>
    </row>
    <row r="432" spans="1:11" x14ac:dyDescent="0.85">
      <c r="A432" s="98"/>
      <c r="B432" s="98"/>
      <c r="C432" s="98"/>
      <c r="D432" s="98"/>
      <c r="E432" s="98"/>
      <c r="F432" s="98"/>
      <c r="G432" s="98"/>
    </row>
    <row r="433" spans="1:7" x14ac:dyDescent="0.85">
      <c r="A433" s="98"/>
      <c r="B433" s="98"/>
      <c r="C433" s="98"/>
      <c r="D433" s="98"/>
      <c r="E433" s="98"/>
      <c r="F433" s="98"/>
      <c r="G433" s="98"/>
    </row>
  </sheetData>
  <mergeCells count="8">
    <mergeCell ref="A184:J184"/>
    <mergeCell ref="A1:J1"/>
    <mergeCell ref="A181:J181"/>
    <mergeCell ref="A2:J2"/>
    <mergeCell ref="A182:J182"/>
    <mergeCell ref="A3:J3"/>
    <mergeCell ref="A183:J183"/>
    <mergeCell ref="A4:J4"/>
  </mergeCells>
  <pageMargins left="0.25" right="0.25" top="0.75" bottom="0.75" header="0.3" footer="0.3"/>
  <pageSetup scale="12" fitToHeight="0" orientation="landscape" r:id="rId1"/>
  <headerFooter>
    <oddFooter>&amp;C&amp;16Page &amp;P of &amp;N</oddFooter>
  </headerFooter>
  <rowBreaks count="7" manualBreakCount="7">
    <brk id="72" max="11" man="1"/>
    <brk id="180" max="11" man="1"/>
    <brk id="228" max="11" man="1"/>
    <brk id="283" max="11" man="1"/>
    <brk id="310" max="11" man="1"/>
    <brk id="354" max="11" man="1"/>
    <brk id="407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  <pageSetUpPr fitToPage="1"/>
  </sheetPr>
  <dimension ref="A1:O83"/>
  <sheetViews>
    <sheetView view="pageBreakPreview" zoomScale="60" zoomScaleNormal="100" workbookViewId="0">
      <pane ySplit="6" topLeftCell="A7" activePane="bottomLeft" state="frozen"/>
      <selection activeCell="C20" sqref="C20"/>
      <selection pane="bottomLeft" activeCell="N9" sqref="N9"/>
    </sheetView>
  </sheetViews>
  <sheetFormatPr defaultRowHeight="15" x14ac:dyDescent="0.25"/>
  <cols>
    <col min="1" max="1" width="44.42578125" bestFit="1" customWidth="1"/>
    <col min="2" max="2" width="13" style="5" bestFit="1" customWidth="1"/>
    <col min="3" max="3" width="11.5703125" style="5" bestFit="1" customWidth="1"/>
    <col min="4" max="4" width="13.42578125" style="5" bestFit="1" customWidth="1"/>
    <col min="5" max="13" width="13" style="5" bestFit="1" customWidth="1"/>
    <col min="14" max="14" width="13.42578125" style="5" bestFit="1" customWidth="1"/>
    <col min="15" max="15" width="8.85546875" style="5"/>
  </cols>
  <sheetData>
    <row r="1" spans="1:14" x14ac:dyDescent="0.25">
      <c r="A1" s="251" t="s">
        <v>273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 x14ac:dyDescent="0.25">
      <c r="A2" s="251" t="s">
        <v>274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</row>
    <row r="3" spans="1:14" x14ac:dyDescent="0.25">
      <c r="A3" s="251">
        <v>2018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</row>
    <row r="4" spans="1:14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B6" s="10" t="s">
        <v>301</v>
      </c>
      <c r="C6" s="10" t="s">
        <v>302</v>
      </c>
      <c r="D6" s="10" t="s">
        <v>303</v>
      </c>
      <c r="E6" s="10" t="s">
        <v>304</v>
      </c>
      <c r="F6" s="10" t="s">
        <v>378</v>
      </c>
      <c r="G6" s="10" t="s">
        <v>420</v>
      </c>
      <c r="H6" s="10" t="s">
        <v>440</v>
      </c>
      <c r="I6" s="10" t="s">
        <v>450</v>
      </c>
      <c r="J6" s="10" t="s">
        <v>464</v>
      </c>
      <c r="K6" s="10" t="s">
        <v>482</v>
      </c>
      <c r="L6" s="10" t="s">
        <v>485</v>
      </c>
      <c r="M6" s="10" t="s">
        <v>538</v>
      </c>
      <c r="N6" s="10" t="s">
        <v>207</v>
      </c>
    </row>
    <row r="7" spans="1:14" x14ac:dyDescent="0.25">
      <c r="A7" s="4" t="s">
        <v>62</v>
      </c>
    </row>
    <row r="8" spans="1:14" x14ac:dyDescent="0.25">
      <c r="A8" t="s">
        <v>275</v>
      </c>
      <c r="B8" s="5">
        <v>1007.48</v>
      </c>
      <c r="C8" s="5">
        <v>2880.98</v>
      </c>
      <c r="D8" s="5">
        <v>11848.57</v>
      </c>
      <c r="E8" s="5">
        <v>8277.67</v>
      </c>
      <c r="F8" s="5">
        <v>59.53</v>
      </c>
      <c r="G8" s="5">
        <f>1079.75-0.03</f>
        <v>1079.72</v>
      </c>
      <c r="H8" s="5">
        <f>1171.63+9</f>
        <v>1180.6300000000001</v>
      </c>
      <c r="I8" s="5">
        <v>294.82</v>
      </c>
      <c r="J8" s="5">
        <v>425.67</v>
      </c>
      <c r="K8" s="5">
        <v>497.99</v>
      </c>
      <c r="L8" s="5">
        <v>1117.45</v>
      </c>
      <c r="M8" s="5">
        <v>1332.43</v>
      </c>
      <c r="N8" s="5">
        <f>SUM(B8:F8)</f>
        <v>24074.229999999996</v>
      </c>
    </row>
    <row r="9" spans="1:14" x14ac:dyDescent="0.25">
      <c r="A9" t="s">
        <v>276</v>
      </c>
      <c r="B9" s="5">
        <v>1315</v>
      </c>
      <c r="C9" s="5">
        <v>690</v>
      </c>
      <c r="D9" s="5">
        <v>380</v>
      </c>
      <c r="E9" s="5">
        <v>0</v>
      </c>
      <c r="F9" s="5">
        <v>0</v>
      </c>
      <c r="G9" s="5">
        <v>0</v>
      </c>
      <c r="H9" s="5">
        <v>540</v>
      </c>
      <c r="I9" s="5">
        <v>830</v>
      </c>
      <c r="J9" s="5">
        <v>605</v>
      </c>
      <c r="K9" s="5">
        <v>530</v>
      </c>
      <c r="L9" s="5">
        <v>540</v>
      </c>
      <c r="M9" s="5">
        <v>2275</v>
      </c>
      <c r="N9" s="5">
        <f t="shared" ref="N9:N16" si="0">SUM(B9:F9)</f>
        <v>2385</v>
      </c>
    </row>
    <row r="10" spans="1:14" x14ac:dyDescent="0.25">
      <c r="A10" t="s">
        <v>333</v>
      </c>
      <c r="B10" s="5">
        <v>150</v>
      </c>
      <c r="C10" s="5">
        <v>100</v>
      </c>
      <c r="D10" s="5">
        <v>150</v>
      </c>
      <c r="E10" s="5">
        <v>0</v>
      </c>
      <c r="F10" s="5">
        <v>100</v>
      </c>
      <c r="G10" s="5">
        <v>50</v>
      </c>
      <c r="H10" s="5">
        <v>150</v>
      </c>
      <c r="I10" s="5">
        <v>50</v>
      </c>
      <c r="J10" s="5">
        <v>50</v>
      </c>
      <c r="K10" s="5">
        <v>150</v>
      </c>
      <c r="L10" s="5">
        <v>0</v>
      </c>
      <c r="M10" s="5">
        <v>0</v>
      </c>
      <c r="N10" s="5">
        <f t="shared" si="0"/>
        <v>500</v>
      </c>
    </row>
    <row r="11" spans="1:14" x14ac:dyDescent="0.25">
      <c r="A11" t="s">
        <v>277</v>
      </c>
      <c r="B11" s="5">
        <v>74672.5</v>
      </c>
      <c r="C11" s="5">
        <v>77307.5</v>
      </c>
      <c r="D11" s="5">
        <v>85637.5</v>
      </c>
      <c r="E11" s="5">
        <v>107355</v>
      </c>
      <c r="F11" s="5">
        <v>119340</v>
      </c>
      <c r="G11" s="5">
        <v>128860</v>
      </c>
      <c r="H11" s="5">
        <v>158737.5</v>
      </c>
      <c r="I11" s="5">
        <v>200812.5</v>
      </c>
      <c r="J11" s="5">
        <v>220447.5</v>
      </c>
      <c r="K11" s="5">
        <v>134002.5</v>
      </c>
      <c r="L11" s="5">
        <v>145690</v>
      </c>
      <c r="M11" s="5">
        <v>187127.5</v>
      </c>
      <c r="N11" s="5">
        <f t="shared" si="0"/>
        <v>464312.5</v>
      </c>
    </row>
    <row r="12" spans="1:14" x14ac:dyDescent="0.25">
      <c r="A12" t="s">
        <v>305</v>
      </c>
      <c r="B12" s="5">
        <v>29225</v>
      </c>
      <c r="C12" s="5">
        <v>0</v>
      </c>
      <c r="D12" s="5">
        <v>67262</v>
      </c>
      <c r="E12" s="5">
        <v>0</v>
      </c>
      <c r="F12" s="5">
        <v>109042</v>
      </c>
      <c r="G12" s="5">
        <v>21090</v>
      </c>
      <c r="H12" s="5">
        <v>26700</v>
      </c>
      <c r="I12" s="5">
        <v>19838</v>
      </c>
      <c r="J12" s="5">
        <v>527275</v>
      </c>
      <c r="K12" s="5">
        <v>238875</v>
      </c>
      <c r="L12" s="5">
        <v>50050</v>
      </c>
      <c r="M12" s="5">
        <v>258825</v>
      </c>
      <c r="N12" s="5">
        <f t="shared" si="0"/>
        <v>205529</v>
      </c>
    </row>
    <row r="13" spans="1:14" x14ac:dyDescent="0.25">
      <c r="A13" t="s">
        <v>278</v>
      </c>
      <c r="B13" s="5">
        <v>3474</v>
      </c>
      <c r="C13" s="5">
        <v>3440.25</v>
      </c>
      <c r="D13" s="5">
        <v>3440.25</v>
      </c>
      <c r="E13" s="5">
        <v>5316.75</v>
      </c>
      <c r="F13" s="5">
        <v>5316.75</v>
      </c>
      <c r="G13" s="5">
        <v>7155.5</v>
      </c>
      <c r="H13" s="5">
        <v>7110.5</v>
      </c>
      <c r="I13" s="5">
        <v>7819.25</v>
      </c>
      <c r="J13" s="5">
        <v>6844.25</v>
      </c>
      <c r="K13" s="5">
        <v>6810.5</v>
      </c>
      <c r="L13" s="5">
        <v>6810.5</v>
      </c>
      <c r="M13" s="5">
        <v>6810.5</v>
      </c>
      <c r="N13" s="5">
        <f t="shared" si="0"/>
        <v>20988</v>
      </c>
    </row>
    <row r="14" spans="1:14" x14ac:dyDescent="0.25">
      <c r="A14" t="s">
        <v>423</v>
      </c>
      <c r="B14" s="5">
        <v>39424.43</v>
      </c>
      <c r="C14" s="5">
        <v>30082.99</v>
      </c>
      <c r="D14" s="5">
        <v>37907.64</v>
      </c>
      <c r="E14" s="5">
        <v>44830.54</v>
      </c>
      <c r="F14" s="5">
        <v>40289.01</v>
      </c>
      <c r="G14" s="5">
        <v>22639.5</v>
      </c>
      <c r="H14" s="5">
        <v>36972.589999999997</v>
      </c>
      <c r="I14" s="5">
        <v>37608.94</v>
      </c>
      <c r="J14" s="5">
        <v>39991</v>
      </c>
      <c r="K14" s="5">
        <v>40484.660000000003</v>
      </c>
      <c r="L14" s="5">
        <v>31427.23</v>
      </c>
      <c r="M14" s="5">
        <v>31333.83</v>
      </c>
      <c r="N14" s="5">
        <f t="shared" si="0"/>
        <v>192534.61000000002</v>
      </c>
    </row>
    <row r="15" spans="1:14" x14ac:dyDescent="0.25">
      <c r="A15" t="s">
        <v>424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8000</v>
      </c>
      <c r="H15" s="5">
        <v>1333.33</v>
      </c>
      <c r="I15" s="5">
        <v>1333.33</v>
      </c>
      <c r="J15" s="5">
        <v>1333.33</v>
      </c>
      <c r="K15" s="5">
        <v>1333.33</v>
      </c>
      <c r="L15" s="5">
        <v>1333.34</v>
      </c>
      <c r="M15" s="5">
        <v>1333.34</v>
      </c>
      <c r="N15" s="5">
        <f t="shared" si="0"/>
        <v>0</v>
      </c>
    </row>
    <row r="16" spans="1:14" x14ac:dyDescent="0.25">
      <c r="A16" t="s">
        <v>425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38415.89</v>
      </c>
      <c r="H16" s="5">
        <v>6304.08</v>
      </c>
      <c r="I16" s="5">
        <v>6205.45</v>
      </c>
      <c r="J16" s="5">
        <v>5848.28</v>
      </c>
      <c r="K16" s="5">
        <v>6050.97</v>
      </c>
      <c r="L16" s="5">
        <v>5781.92</v>
      </c>
      <c r="M16" s="5">
        <v>5948.1</v>
      </c>
      <c r="N16" s="5">
        <f t="shared" si="0"/>
        <v>0</v>
      </c>
    </row>
    <row r="17" spans="1:14" x14ac:dyDescent="0.25">
      <c r="A17" s="4" t="s">
        <v>223</v>
      </c>
      <c r="B17" s="7">
        <f t="shared" ref="B17:N17" si="1">SUM(B8:B16)</f>
        <v>149268.41</v>
      </c>
      <c r="C17" s="7">
        <f t="shared" si="1"/>
        <v>114501.72</v>
      </c>
      <c r="D17" s="7">
        <f t="shared" si="1"/>
        <v>206625.96000000002</v>
      </c>
      <c r="E17" s="7">
        <f t="shared" si="1"/>
        <v>165779.96</v>
      </c>
      <c r="F17" s="7">
        <f t="shared" si="1"/>
        <v>274147.28999999998</v>
      </c>
      <c r="G17" s="7">
        <f t="shared" ref="G17:L17" si="2">SUM(G8:G16)</f>
        <v>227290.61</v>
      </c>
      <c r="H17" s="7">
        <f t="shared" si="2"/>
        <v>239028.62999999998</v>
      </c>
      <c r="I17" s="7">
        <f t="shared" si="2"/>
        <v>274792.29000000004</v>
      </c>
      <c r="J17" s="7">
        <f t="shared" si="2"/>
        <v>802820.03</v>
      </c>
      <c r="K17" s="7">
        <f t="shared" si="2"/>
        <v>428734.95</v>
      </c>
      <c r="L17" s="7">
        <f t="shared" si="2"/>
        <v>242750.44000000003</v>
      </c>
      <c r="M17" s="7">
        <f t="shared" si="1"/>
        <v>494985.7</v>
      </c>
      <c r="N17" s="7">
        <f>SUM(N8:N16)</f>
        <v>910323.34</v>
      </c>
    </row>
    <row r="19" spans="1:14" x14ac:dyDescent="0.25">
      <c r="A19" s="4" t="s">
        <v>279</v>
      </c>
      <c r="N19" s="5">
        <f>SUM(B19:F19)</f>
        <v>0</v>
      </c>
    </row>
    <row r="20" spans="1:14" x14ac:dyDescent="0.25">
      <c r="A20" t="s">
        <v>281</v>
      </c>
      <c r="B20" s="5">
        <v>1052.68</v>
      </c>
      <c r="C20" s="5">
        <v>7138.13</v>
      </c>
      <c r="D20" s="5">
        <v>9184.15</v>
      </c>
      <c r="E20" s="5">
        <v>19400.439999999999</v>
      </c>
      <c r="F20" s="5">
        <v>36.549999999999997</v>
      </c>
      <c r="G20" s="5">
        <v>15295.31</v>
      </c>
      <c r="H20" s="5">
        <v>15289.72</v>
      </c>
      <c r="I20" s="5">
        <v>12182.21</v>
      </c>
      <c r="J20" s="5">
        <v>24364.43</v>
      </c>
      <c r="K20" s="5">
        <v>0</v>
      </c>
      <c r="L20" s="5">
        <v>0</v>
      </c>
      <c r="M20" s="5">
        <v>24948.880000000001</v>
      </c>
      <c r="N20" s="5">
        <f t="shared" ref="N20:N22" si="3">SUM(B20:F20)</f>
        <v>36811.949999999997</v>
      </c>
    </row>
    <row r="21" spans="1:14" x14ac:dyDescent="0.25">
      <c r="A21" t="s">
        <v>280</v>
      </c>
      <c r="B21" s="5">
        <v>45325</v>
      </c>
      <c r="C21" s="5">
        <v>0</v>
      </c>
      <c r="D21" s="5">
        <v>11772.5</v>
      </c>
      <c r="E21" s="5">
        <v>11772.5</v>
      </c>
      <c r="F21" s="5">
        <v>0</v>
      </c>
      <c r="G21" s="5">
        <v>26350</v>
      </c>
      <c r="H21" s="5">
        <v>0</v>
      </c>
      <c r="I21" s="5">
        <v>36548.32</v>
      </c>
      <c r="J21" s="5">
        <v>36546.639999999999</v>
      </c>
      <c r="K21" s="5">
        <v>72983.460000000006</v>
      </c>
      <c r="L21" s="5">
        <v>17340</v>
      </c>
      <c r="M21" s="5">
        <v>121062.71</v>
      </c>
      <c r="N21" s="5">
        <f t="shared" si="3"/>
        <v>68870</v>
      </c>
    </row>
    <row r="22" spans="1:14" x14ac:dyDescent="0.25">
      <c r="A22" t="s">
        <v>426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4534.2</v>
      </c>
      <c r="H22" s="5">
        <v>0</v>
      </c>
      <c r="I22" s="5">
        <v>1400.86</v>
      </c>
      <c r="J22" s="5">
        <v>0</v>
      </c>
      <c r="K22" s="5">
        <v>4448.28</v>
      </c>
      <c r="L22" s="5">
        <v>0</v>
      </c>
      <c r="M22" s="5">
        <v>850.84</v>
      </c>
      <c r="N22" s="5">
        <f t="shared" si="3"/>
        <v>0</v>
      </c>
    </row>
    <row r="23" spans="1:14" x14ac:dyDescent="0.25">
      <c r="A23" s="4" t="s">
        <v>282</v>
      </c>
      <c r="B23" s="7">
        <f t="shared" ref="B23:N23" si="4">SUM(B20:B22)</f>
        <v>46377.68</v>
      </c>
      <c r="C23" s="7">
        <f t="shared" si="4"/>
        <v>7138.13</v>
      </c>
      <c r="D23" s="7">
        <f t="shared" si="4"/>
        <v>20956.650000000001</v>
      </c>
      <c r="E23" s="7">
        <f t="shared" si="4"/>
        <v>31172.94</v>
      </c>
      <c r="F23" s="7">
        <f t="shared" si="4"/>
        <v>36.549999999999997</v>
      </c>
      <c r="G23" s="7">
        <f t="shared" si="4"/>
        <v>46179.509999999995</v>
      </c>
      <c r="H23" s="7">
        <f t="shared" si="4"/>
        <v>15289.72</v>
      </c>
      <c r="I23" s="7">
        <f t="shared" si="4"/>
        <v>50131.39</v>
      </c>
      <c r="J23" s="7">
        <f t="shared" si="4"/>
        <v>60911.07</v>
      </c>
      <c r="K23" s="7">
        <f t="shared" si="4"/>
        <v>77431.740000000005</v>
      </c>
      <c r="L23" s="7">
        <f t="shared" si="4"/>
        <v>17340</v>
      </c>
      <c r="M23" s="7">
        <f t="shared" si="4"/>
        <v>146862.43</v>
      </c>
      <c r="N23" s="7">
        <f t="shared" si="4"/>
        <v>105681.95</v>
      </c>
    </row>
    <row r="25" spans="1:14" ht="15.75" thickBot="1" x14ac:dyDescent="0.3">
      <c r="A25" s="4" t="s">
        <v>211</v>
      </c>
      <c r="B25" s="8">
        <f t="shared" ref="B25:N25" si="5">B17-B23</f>
        <v>102890.73000000001</v>
      </c>
      <c r="C25" s="8">
        <f t="shared" si="5"/>
        <v>107363.59</v>
      </c>
      <c r="D25" s="8">
        <f t="shared" si="5"/>
        <v>185669.31000000003</v>
      </c>
      <c r="E25" s="8">
        <f t="shared" si="5"/>
        <v>134607.01999999999</v>
      </c>
      <c r="F25" s="8">
        <f t="shared" si="5"/>
        <v>274110.74</v>
      </c>
      <c r="G25" s="8">
        <f t="shared" si="5"/>
        <v>181111.09999999998</v>
      </c>
      <c r="H25" s="8">
        <f t="shared" si="5"/>
        <v>223738.90999999997</v>
      </c>
      <c r="I25" s="8">
        <f t="shared" si="5"/>
        <v>224660.90000000002</v>
      </c>
      <c r="J25" s="8">
        <f t="shared" si="5"/>
        <v>741908.96000000008</v>
      </c>
      <c r="K25" s="8">
        <f t="shared" si="5"/>
        <v>351303.21</v>
      </c>
      <c r="L25" s="8">
        <f t="shared" si="5"/>
        <v>225410.44000000003</v>
      </c>
      <c r="M25" s="8">
        <f t="shared" si="5"/>
        <v>348123.27</v>
      </c>
      <c r="N25" s="8">
        <f t="shared" si="5"/>
        <v>804641.39</v>
      </c>
    </row>
    <row r="27" spans="1:14" x14ac:dyDescent="0.25">
      <c r="A27" s="4" t="s">
        <v>209</v>
      </c>
    </row>
    <row r="28" spans="1:14" x14ac:dyDescent="0.25">
      <c r="A28" t="s">
        <v>225</v>
      </c>
      <c r="N28" s="5">
        <f>SUM(B28:F28)</f>
        <v>0</v>
      </c>
    </row>
    <row r="29" spans="1:14" x14ac:dyDescent="0.25">
      <c r="A29" t="s">
        <v>283</v>
      </c>
      <c r="B29" s="5">
        <v>8738.67</v>
      </c>
      <c r="C29" s="5">
        <v>7542.86</v>
      </c>
      <c r="D29" s="5">
        <v>8498.8799999999992</v>
      </c>
      <c r="E29" s="5">
        <v>8584.34</v>
      </c>
      <c r="F29" s="5">
        <v>9426.1</v>
      </c>
      <c r="G29" s="5">
        <v>8607.9500000000007</v>
      </c>
      <c r="H29" s="5">
        <v>8988.25</v>
      </c>
      <c r="I29" s="5">
        <v>9405.7800000000007</v>
      </c>
      <c r="J29" s="5">
        <v>485631.04</v>
      </c>
      <c r="K29" s="5">
        <v>84237.75</v>
      </c>
      <c r="L29" s="5">
        <v>67313.05</v>
      </c>
      <c r="M29" s="5">
        <v>141862.74</v>
      </c>
      <c r="N29" s="5">
        <f>SUM(B29:F29)</f>
        <v>42790.85</v>
      </c>
    </row>
    <row r="30" spans="1:14" x14ac:dyDescent="0.25">
      <c r="A30" t="s">
        <v>284</v>
      </c>
      <c r="B30" s="5">
        <v>1485.28</v>
      </c>
      <c r="C30" s="5">
        <v>1185.3900000000001</v>
      </c>
      <c r="D30" s="5">
        <v>1307.2</v>
      </c>
      <c r="E30" s="5">
        <v>729.18</v>
      </c>
      <c r="F30" s="5">
        <v>687.56</v>
      </c>
      <c r="G30" s="5">
        <v>659.18</v>
      </c>
      <c r="H30" s="5">
        <v>670.69</v>
      </c>
      <c r="I30" s="5">
        <v>720.28</v>
      </c>
      <c r="J30" s="5">
        <v>40654.26</v>
      </c>
      <c r="K30" s="5">
        <v>4895.8900000000003</v>
      </c>
      <c r="L30" s="5">
        <v>3981.11</v>
      </c>
      <c r="M30" s="5">
        <v>8758.99</v>
      </c>
      <c r="N30" s="5">
        <f t="shared" ref="N30:N35" si="6">SUM(B30:F30)</f>
        <v>5394.6100000000006</v>
      </c>
    </row>
    <row r="31" spans="1:14" x14ac:dyDescent="0.25">
      <c r="A31" t="s">
        <v>285</v>
      </c>
      <c r="B31" s="5">
        <v>3064.68</v>
      </c>
      <c r="C31" s="5">
        <v>3064.68</v>
      </c>
      <c r="D31" s="5">
        <v>3580.55</v>
      </c>
      <c r="E31" s="5">
        <v>3064.68</v>
      </c>
      <c r="F31" s="5">
        <v>3064.68</v>
      </c>
      <c r="G31" s="5">
        <v>3064.68</v>
      </c>
      <c r="H31" s="5">
        <v>3064.68</v>
      </c>
      <c r="I31" s="5">
        <v>3064.68</v>
      </c>
      <c r="J31" s="5">
        <v>51772.85</v>
      </c>
      <c r="K31" s="5">
        <v>8213.7800000000007</v>
      </c>
      <c r="L31" s="5">
        <v>8596.84</v>
      </c>
      <c r="M31" s="5">
        <v>7382.35</v>
      </c>
      <c r="N31" s="5">
        <f t="shared" si="6"/>
        <v>15839.27</v>
      </c>
    </row>
    <row r="32" spans="1:14" x14ac:dyDescent="0.25">
      <c r="A32" t="s">
        <v>286</v>
      </c>
      <c r="B32" s="5">
        <v>216.98</v>
      </c>
      <c r="C32" s="5">
        <v>216.98</v>
      </c>
      <c r="D32" s="5">
        <v>216.98</v>
      </c>
      <c r="E32" s="5">
        <v>216.98</v>
      </c>
      <c r="F32" s="5">
        <v>216.98</v>
      </c>
      <c r="G32" s="5">
        <v>216.98</v>
      </c>
      <c r="H32" s="5">
        <v>216.98</v>
      </c>
      <c r="I32" s="5">
        <v>216.98</v>
      </c>
      <c r="J32" s="5">
        <v>216.98</v>
      </c>
      <c r="K32" s="5">
        <v>959.03</v>
      </c>
      <c r="L32" s="5">
        <v>993.66</v>
      </c>
      <c r="M32" s="5">
        <v>805.6</v>
      </c>
      <c r="N32" s="5">
        <f t="shared" si="6"/>
        <v>1084.8999999999999</v>
      </c>
    </row>
    <row r="33" spans="1:14" x14ac:dyDescent="0.25">
      <c r="A33" t="s">
        <v>332</v>
      </c>
      <c r="B33" s="5">
        <v>400</v>
      </c>
      <c r="C33" s="5">
        <v>400</v>
      </c>
      <c r="D33" s="5">
        <v>400</v>
      </c>
      <c r="E33" s="5">
        <v>400</v>
      </c>
      <c r="F33" s="5">
        <v>400</v>
      </c>
      <c r="G33" s="5">
        <v>200</v>
      </c>
      <c r="H33" s="5">
        <v>200</v>
      </c>
      <c r="I33" s="5">
        <v>200</v>
      </c>
      <c r="J33" s="5">
        <v>14455.95</v>
      </c>
      <c r="K33" s="5">
        <v>1779.8</v>
      </c>
      <c r="L33" s="5">
        <v>1831.57</v>
      </c>
      <c r="M33" s="5">
        <v>1308.04</v>
      </c>
      <c r="N33" s="5">
        <f t="shared" si="6"/>
        <v>2000</v>
      </c>
    </row>
    <row r="34" spans="1:14" x14ac:dyDescent="0.25">
      <c r="A34" t="s">
        <v>287</v>
      </c>
      <c r="B34" s="5">
        <v>64.989999999999995</v>
      </c>
      <c r="C34" s="5">
        <v>64.989999999999995</v>
      </c>
      <c r="D34" s="5">
        <v>64.989999999999995</v>
      </c>
      <c r="E34" s="5">
        <v>419.95</v>
      </c>
      <c r="F34" s="5">
        <v>65.09</v>
      </c>
      <c r="G34" s="5">
        <f>64.99+50.66</f>
        <v>115.64999999999999</v>
      </c>
      <c r="H34" s="5">
        <f>64.99+66.92</f>
        <v>131.91</v>
      </c>
      <c r="I34" s="5">
        <v>64.989999999999995</v>
      </c>
      <c r="J34" s="5">
        <f>64.99+83.46+340</f>
        <v>488.45</v>
      </c>
      <c r="K34" s="5">
        <v>64.989999999999995</v>
      </c>
      <c r="L34" s="5">
        <v>64.989999999999995</v>
      </c>
      <c r="M34" s="5">
        <f>-7.65+510</f>
        <v>502.35</v>
      </c>
      <c r="N34" s="5">
        <f t="shared" si="6"/>
        <v>680.01</v>
      </c>
    </row>
    <row r="35" spans="1:14" x14ac:dyDescent="0.25">
      <c r="A35" t="s">
        <v>246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11412.18</v>
      </c>
      <c r="K35" s="5">
        <v>1250</v>
      </c>
      <c r="L35" s="5">
        <v>1250</v>
      </c>
      <c r="M35" s="5">
        <v>1250</v>
      </c>
      <c r="N35" s="5">
        <f t="shared" si="6"/>
        <v>0</v>
      </c>
    </row>
    <row r="36" spans="1:14" x14ac:dyDescent="0.25">
      <c r="A36" s="4" t="s">
        <v>233</v>
      </c>
      <c r="B36" s="7">
        <f t="shared" ref="B36:M36" si="7">SUM(B29:B35)</f>
        <v>13970.6</v>
      </c>
      <c r="C36" s="7">
        <f t="shared" si="7"/>
        <v>12474.9</v>
      </c>
      <c r="D36" s="7">
        <f t="shared" si="7"/>
        <v>14068.6</v>
      </c>
      <c r="E36" s="7">
        <f t="shared" si="7"/>
        <v>13415.130000000001</v>
      </c>
      <c r="F36" s="7">
        <f t="shared" si="7"/>
        <v>13860.41</v>
      </c>
      <c r="G36" s="7">
        <f t="shared" si="7"/>
        <v>12864.44</v>
      </c>
      <c r="H36" s="7">
        <f t="shared" si="7"/>
        <v>13272.51</v>
      </c>
      <c r="I36" s="7">
        <f t="shared" si="7"/>
        <v>13672.710000000001</v>
      </c>
      <c r="J36" s="7">
        <f t="shared" ref="J36:L36" si="8">SUM(J29:J35)</f>
        <v>604631.70999999985</v>
      </c>
      <c r="K36" s="7">
        <f t="shared" si="8"/>
        <v>101401.24</v>
      </c>
      <c r="L36" s="7">
        <f t="shared" si="8"/>
        <v>84031.220000000016</v>
      </c>
      <c r="M36" s="7">
        <f t="shared" si="7"/>
        <v>161870.07</v>
      </c>
      <c r="N36" s="7">
        <f>SUM(N29:N35)</f>
        <v>67789.64</v>
      </c>
    </row>
    <row r="37" spans="1:14" x14ac:dyDescent="0.25">
      <c r="A37" t="s">
        <v>61</v>
      </c>
    </row>
    <row r="38" spans="1:14" x14ac:dyDescent="0.25">
      <c r="A38" s="4" t="s">
        <v>288</v>
      </c>
    </row>
    <row r="39" spans="1:14" x14ac:dyDescent="0.25">
      <c r="A39" t="s">
        <v>234</v>
      </c>
      <c r="B39" s="5">
        <f t="shared" ref="B39:G39" si="9">25000+12500</f>
        <v>37500</v>
      </c>
      <c r="C39" s="5">
        <f t="shared" si="9"/>
        <v>37500</v>
      </c>
      <c r="D39" s="5">
        <f t="shared" si="9"/>
        <v>37500</v>
      </c>
      <c r="E39" s="5">
        <f t="shared" si="9"/>
        <v>37500</v>
      </c>
      <c r="F39" s="5">
        <f t="shared" si="9"/>
        <v>37500</v>
      </c>
      <c r="G39" s="5">
        <f t="shared" si="9"/>
        <v>37500</v>
      </c>
      <c r="H39" s="5">
        <f t="shared" ref="H39:M39" si="10">25000+12500</f>
        <v>37500</v>
      </c>
      <c r="I39" s="5">
        <f t="shared" si="10"/>
        <v>37500</v>
      </c>
      <c r="J39" s="5">
        <f t="shared" si="10"/>
        <v>37500</v>
      </c>
      <c r="K39" s="5">
        <f t="shared" si="10"/>
        <v>37500</v>
      </c>
      <c r="L39" s="5">
        <f t="shared" si="10"/>
        <v>37500</v>
      </c>
      <c r="M39" s="5">
        <f t="shared" si="10"/>
        <v>37500</v>
      </c>
      <c r="N39" s="5">
        <f>SUM(B39:F39)</f>
        <v>187500</v>
      </c>
    </row>
    <row r="40" spans="1:14" x14ac:dyDescent="0.25">
      <c r="A40" t="s">
        <v>289</v>
      </c>
      <c r="B40" s="5">
        <v>8518.2800000000007</v>
      </c>
      <c r="C40" s="5">
        <v>5856.39</v>
      </c>
      <c r="D40" s="5">
        <v>8346.2199999999993</v>
      </c>
      <c r="E40" s="5">
        <v>4857.8599999999997</v>
      </c>
      <c r="F40" s="5">
        <f>5661.41+210.04</f>
        <v>5871.45</v>
      </c>
      <c r="G40" s="5">
        <v>5979.18</v>
      </c>
      <c r="H40" s="5">
        <v>7652.61</v>
      </c>
      <c r="I40" s="5">
        <v>7388.57</v>
      </c>
      <c r="J40" s="5">
        <v>7702.5</v>
      </c>
      <c r="K40" s="5">
        <f>7137.19+152.4</f>
        <v>7289.5899999999992</v>
      </c>
      <c r="L40" s="5">
        <v>7249.21</v>
      </c>
      <c r="M40" s="5">
        <v>6010.63</v>
      </c>
      <c r="N40" s="5">
        <f t="shared" ref="N40:N53" si="11">SUM(B40:F40)</f>
        <v>33450.199999999997</v>
      </c>
    </row>
    <row r="41" spans="1:14" x14ac:dyDescent="0.25">
      <c r="A41" t="s">
        <v>290</v>
      </c>
      <c r="B41" s="5">
        <v>150</v>
      </c>
      <c r="C41" s="5">
        <v>150</v>
      </c>
      <c r="D41" s="5">
        <v>150</v>
      </c>
      <c r="E41" s="5">
        <v>150</v>
      </c>
      <c r="F41" s="5">
        <v>150</v>
      </c>
      <c r="G41" s="5">
        <v>150</v>
      </c>
      <c r="H41" s="5">
        <v>150</v>
      </c>
      <c r="I41" s="5">
        <v>150</v>
      </c>
      <c r="J41" s="5">
        <v>150</v>
      </c>
      <c r="K41" s="5">
        <v>150</v>
      </c>
      <c r="L41" s="5">
        <v>150</v>
      </c>
      <c r="M41" s="5">
        <v>150</v>
      </c>
      <c r="N41" s="5">
        <f t="shared" si="11"/>
        <v>750</v>
      </c>
    </row>
    <row r="42" spans="1:14" x14ac:dyDescent="0.25">
      <c r="A42" t="s">
        <v>445</v>
      </c>
      <c r="B42" s="5">
        <v>3575</v>
      </c>
      <c r="C42" s="5">
        <v>0</v>
      </c>
      <c r="D42" s="5">
        <v>1210</v>
      </c>
      <c r="E42" s="5">
        <v>1875</v>
      </c>
      <c r="F42" s="5">
        <v>0</v>
      </c>
      <c r="G42" s="5">
        <v>3844.35</v>
      </c>
      <c r="H42" s="5">
        <v>5810</v>
      </c>
      <c r="I42" s="5">
        <v>3409.85</v>
      </c>
      <c r="J42" s="5">
        <v>0</v>
      </c>
      <c r="K42" s="5">
        <v>7190</v>
      </c>
      <c r="L42" s="5">
        <v>2095</v>
      </c>
      <c r="M42" s="5">
        <v>0</v>
      </c>
      <c r="N42" s="5">
        <f t="shared" si="11"/>
        <v>6660</v>
      </c>
    </row>
    <row r="43" spans="1:14" x14ac:dyDescent="0.25">
      <c r="A43" t="s">
        <v>291</v>
      </c>
      <c r="B43" s="5">
        <v>959.14</v>
      </c>
      <c r="C43" s="5">
        <v>519.59</v>
      </c>
      <c r="D43" s="5">
        <v>1411.26</v>
      </c>
      <c r="E43" s="5">
        <v>2829.73</v>
      </c>
      <c r="F43" s="5">
        <v>1685.25</v>
      </c>
      <c r="G43" s="5">
        <v>10130.58</v>
      </c>
      <c r="H43" s="5">
        <v>1273.76</v>
      </c>
      <c r="I43" s="5">
        <v>6783.81</v>
      </c>
      <c r="J43" s="5">
        <f>2446.62-1505</f>
        <v>941.61999999999989</v>
      </c>
      <c r="K43" s="5">
        <v>9829.01</v>
      </c>
      <c r="L43" s="5">
        <v>1402.74</v>
      </c>
      <c r="M43" s="5">
        <v>8264.5400000000009</v>
      </c>
      <c r="N43" s="5">
        <f t="shared" si="11"/>
        <v>7404.9699999999993</v>
      </c>
    </row>
    <row r="44" spans="1:14" x14ac:dyDescent="0.25">
      <c r="A44" t="s">
        <v>239</v>
      </c>
      <c r="B44" s="5">
        <v>5394.18</v>
      </c>
      <c r="C44" s="5">
        <v>5394.18</v>
      </c>
      <c r="D44" s="5">
        <v>5394.18</v>
      </c>
      <c r="E44" s="5">
        <v>5394.18</v>
      </c>
      <c r="F44" s="5">
        <v>5394.18</v>
      </c>
      <c r="G44" s="5">
        <v>5394.18</v>
      </c>
      <c r="H44" s="5">
        <v>5019.7700000000004</v>
      </c>
      <c r="I44" s="5">
        <v>5471.33</v>
      </c>
      <c r="J44" s="5">
        <v>5019.7700000000004</v>
      </c>
      <c r="K44" s="5">
        <v>5019.7700000000004</v>
      </c>
      <c r="L44" s="5">
        <v>5019.76</v>
      </c>
      <c r="M44" s="5">
        <v>5019.76</v>
      </c>
      <c r="N44" s="5">
        <f t="shared" si="11"/>
        <v>26970.9</v>
      </c>
    </row>
    <row r="45" spans="1:14" x14ac:dyDescent="0.25">
      <c r="A45" t="s">
        <v>240</v>
      </c>
      <c r="B45" s="5">
        <v>1568.56</v>
      </c>
      <c r="C45" s="5">
        <v>2423.8000000000002</v>
      </c>
      <c r="D45" s="5">
        <v>2122.8000000000002</v>
      </c>
      <c r="E45" s="5">
        <v>2200</v>
      </c>
      <c r="F45" s="5">
        <v>-1041.1199999999999</v>
      </c>
      <c r="G45" s="5">
        <v>2297.7600000000002</v>
      </c>
      <c r="H45" s="5">
        <v>1026.78</v>
      </c>
      <c r="I45" s="5">
        <v>603.67999999999995</v>
      </c>
      <c r="J45" s="5">
        <v>603.67999999999995</v>
      </c>
      <c r="K45" s="5">
        <v>605.98</v>
      </c>
      <c r="L45" s="5">
        <v>606.07000000000005</v>
      </c>
      <c r="M45" s="5">
        <v>1351.56</v>
      </c>
      <c r="N45" s="5">
        <f t="shared" si="11"/>
        <v>7274.04</v>
      </c>
    </row>
    <row r="46" spans="1:14" x14ac:dyDescent="0.25">
      <c r="A46" t="s">
        <v>238</v>
      </c>
      <c r="B46" s="5">
        <v>18020.830000000002</v>
      </c>
      <c r="C46" s="5">
        <v>18020.84</v>
      </c>
      <c r="D46" s="5">
        <v>18020.84</v>
      </c>
      <c r="E46" s="5">
        <v>18020.82</v>
      </c>
      <c r="F46" s="5">
        <v>18020.830000000002</v>
      </c>
      <c r="G46" s="5">
        <v>4868.74</v>
      </c>
      <c r="H46" s="5">
        <v>18020.830000000002</v>
      </c>
      <c r="I46" s="5">
        <v>18020.84</v>
      </c>
      <c r="J46" s="5">
        <v>18020.84</v>
      </c>
      <c r="K46" s="5">
        <v>18020.84</v>
      </c>
      <c r="L46" s="5">
        <v>25576.66</v>
      </c>
      <c r="M46" s="5">
        <v>25051.66</v>
      </c>
      <c r="N46" s="5">
        <f t="shared" si="11"/>
        <v>90104.159999999989</v>
      </c>
    </row>
    <row r="47" spans="1:14" x14ac:dyDescent="0.25">
      <c r="A47" t="s">
        <v>241</v>
      </c>
      <c r="B47" s="5">
        <v>5.49</v>
      </c>
      <c r="C47" s="5">
        <v>0</v>
      </c>
      <c r="D47" s="5">
        <v>100.81</v>
      </c>
      <c r="E47" s="5">
        <v>0</v>
      </c>
      <c r="F47" s="5">
        <v>46.17</v>
      </c>
      <c r="G47" s="5">
        <v>0</v>
      </c>
      <c r="H47" s="5">
        <v>0</v>
      </c>
      <c r="I47" s="5">
        <v>0</v>
      </c>
      <c r="J47" s="5">
        <v>35.520000000000003</v>
      </c>
      <c r="K47" s="5">
        <v>84.43</v>
      </c>
      <c r="L47" s="5">
        <v>73.95</v>
      </c>
      <c r="M47" s="5">
        <v>51.99</v>
      </c>
      <c r="N47" s="5">
        <f t="shared" si="11"/>
        <v>152.47</v>
      </c>
    </row>
    <row r="48" spans="1:14" x14ac:dyDescent="0.25">
      <c r="A48" t="s">
        <v>248</v>
      </c>
      <c r="B48" s="5">
        <v>7320.8</v>
      </c>
      <c r="C48" s="5">
        <v>7321.95</v>
      </c>
      <c r="D48" s="5">
        <v>6956.8</v>
      </c>
      <c r="E48" s="5">
        <v>7611.52</v>
      </c>
      <c r="F48" s="5">
        <v>7241.42</v>
      </c>
      <c r="G48" s="5">
        <v>7612.47</v>
      </c>
      <c r="H48" s="5">
        <v>6608</v>
      </c>
      <c r="I48" s="5">
        <v>7367.7</v>
      </c>
      <c r="J48" s="5">
        <v>6608.09</v>
      </c>
      <c r="K48" s="5">
        <v>7337.47</v>
      </c>
      <c r="L48" s="5">
        <v>8150.65</v>
      </c>
      <c r="M48" s="5">
        <v>7372.89</v>
      </c>
      <c r="N48" s="5">
        <f t="shared" si="11"/>
        <v>36452.49</v>
      </c>
    </row>
    <row r="49" spans="1:14" x14ac:dyDescent="0.25">
      <c r="A49" t="s">
        <v>242</v>
      </c>
      <c r="B49" s="5">
        <v>649.54999999999995</v>
      </c>
      <c r="C49" s="5">
        <v>160.78</v>
      </c>
      <c r="D49" s="5">
        <v>278.7</v>
      </c>
      <c r="E49" s="5">
        <v>536.80999999999995</v>
      </c>
      <c r="F49" s="5">
        <v>160.78</v>
      </c>
      <c r="G49" s="5">
        <v>160.78</v>
      </c>
      <c r="H49" s="5">
        <v>436.05</v>
      </c>
      <c r="I49" s="5">
        <v>686.41</v>
      </c>
      <c r="J49" s="5">
        <v>235.54</v>
      </c>
      <c r="K49" s="5">
        <v>416.41</v>
      </c>
      <c r="L49" s="5">
        <v>347.74</v>
      </c>
      <c r="M49" s="5">
        <v>382.08</v>
      </c>
      <c r="N49" s="5">
        <f t="shared" si="11"/>
        <v>1786.62</v>
      </c>
    </row>
    <row r="50" spans="1:14" x14ac:dyDescent="0.25">
      <c r="A50" t="s">
        <v>292</v>
      </c>
      <c r="B50" s="5">
        <v>9962.11</v>
      </c>
      <c r="C50" s="5">
        <v>10391.68</v>
      </c>
      <c r="D50" s="5">
        <v>10391.68</v>
      </c>
      <c r="E50" s="5">
        <v>10391.68</v>
      </c>
      <c r="F50" s="5">
        <v>10581.56</v>
      </c>
      <c r="G50" s="5">
        <v>10811.59</v>
      </c>
      <c r="H50" s="5">
        <v>10493.31</v>
      </c>
      <c r="I50" s="5">
        <v>10587.39</v>
      </c>
      <c r="J50" s="5">
        <v>10587.39</v>
      </c>
      <c r="K50" s="5">
        <v>10587.39</v>
      </c>
      <c r="L50" s="5">
        <v>10723.34</v>
      </c>
      <c r="M50" s="5">
        <v>10672.37</v>
      </c>
      <c r="N50" s="5">
        <f t="shared" si="11"/>
        <v>51718.71</v>
      </c>
    </row>
    <row r="51" spans="1:14" x14ac:dyDescent="0.25">
      <c r="A51" t="s">
        <v>295</v>
      </c>
      <c r="B51" s="5">
        <v>1351.56</v>
      </c>
      <c r="C51" s="5">
        <v>1938.84</v>
      </c>
      <c r="D51" s="5">
        <v>1938.84</v>
      </c>
      <c r="E51" s="5">
        <v>1937.28</v>
      </c>
      <c r="F51" s="5">
        <v>1939.84</v>
      </c>
      <c r="G51" s="5">
        <v>1568.58</v>
      </c>
      <c r="H51" s="5">
        <v>836.4</v>
      </c>
      <c r="I51" s="5">
        <v>1730.97</v>
      </c>
      <c r="J51" s="5">
        <v>1819.66</v>
      </c>
      <c r="K51" s="5">
        <v>1490.62</v>
      </c>
      <c r="L51" s="5">
        <v>1490.6</v>
      </c>
      <c r="M51" s="5">
        <v>745.02</v>
      </c>
      <c r="N51" s="5">
        <f t="shared" si="11"/>
        <v>9106.3599999999988</v>
      </c>
    </row>
    <row r="52" spans="1:14" x14ac:dyDescent="0.25">
      <c r="A52" t="s">
        <v>262</v>
      </c>
      <c r="B52" s="5">
        <v>1018.09</v>
      </c>
      <c r="C52" s="5">
        <v>1018.09</v>
      </c>
      <c r="D52" s="5">
        <v>1018.09</v>
      </c>
      <c r="E52" s="5">
        <v>1049.5999999999999</v>
      </c>
      <c r="F52" s="5">
        <v>316.17</v>
      </c>
      <c r="G52" s="5">
        <v>236.46</v>
      </c>
      <c r="H52" s="5">
        <v>2820.43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f t="shared" si="11"/>
        <v>4420.04</v>
      </c>
    </row>
    <row r="53" spans="1:14" x14ac:dyDescent="0.25">
      <c r="A53" t="s">
        <v>387</v>
      </c>
      <c r="B53" s="5">
        <v>0</v>
      </c>
      <c r="C53" s="5">
        <v>0</v>
      </c>
      <c r="D53" s="5">
        <v>0</v>
      </c>
      <c r="E53" s="5">
        <v>0</v>
      </c>
      <c r="F53" s="5">
        <v>920.12</v>
      </c>
      <c r="G53" s="5">
        <v>3023.66</v>
      </c>
      <c r="H53" s="5">
        <v>560.84</v>
      </c>
      <c r="I53" s="5">
        <v>560.86</v>
      </c>
      <c r="J53" s="5">
        <v>1884.49</v>
      </c>
      <c r="K53" s="5">
        <v>1014.56</v>
      </c>
      <c r="L53" s="5">
        <v>1174.83</v>
      </c>
      <c r="M53" s="5">
        <v>1057.06</v>
      </c>
      <c r="N53" s="5">
        <f t="shared" si="11"/>
        <v>920.12</v>
      </c>
    </row>
    <row r="54" spans="1:14" x14ac:dyDescent="0.25">
      <c r="A54" s="4" t="s">
        <v>334</v>
      </c>
      <c r="B54" s="7">
        <f t="shared" ref="B54:F54" si="12">SUM(B39:B53)</f>
        <v>95993.59</v>
      </c>
      <c r="C54" s="7">
        <f t="shared" si="12"/>
        <v>90696.139999999985</v>
      </c>
      <c r="D54" s="7">
        <f t="shared" si="12"/>
        <v>94840.22</v>
      </c>
      <c r="E54" s="7">
        <f t="shared" si="12"/>
        <v>94354.48000000001</v>
      </c>
      <c r="F54" s="7">
        <f t="shared" si="12"/>
        <v>88786.64999999998</v>
      </c>
      <c r="G54" s="7">
        <f t="shared" ref="G54:M54" si="13">SUM(G39:G53)</f>
        <v>93578.330000000016</v>
      </c>
      <c r="H54" s="7">
        <f t="shared" si="13"/>
        <v>98208.779999999984</v>
      </c>
      <c r="I54" s="7">
        <f t="shared" si="13"/>
        <v>100261.41</v>
      </c>
      <c r="J54" s="7">
        <f t="shared" si="13"/>
        <v>91109.1</v>
      </c>
      <c r="K54" s="7">
        <f t="shared" si="13"/>
        <v>106536.06999999998</v>
      </c>
      <c r="L54" s="7">
        <f t="shared" ref="L54" si="14">SUM(L39:L53)</f>
        <v>101560.55</v>
      </c>
      <c r="M54" s="7">
        <f t="shared" si="13"/>
        <v>103629.56</v>
      </c>
      <c r="N54" s="7">
        <f>SUM(N39:N53)</f>
        <v>464671.0799999999</v>
      </c>
    </row>
    <row r="56" spans="1:14" x14ac:dyDescent="0.25">
      <c r="A56" s="4" t="s">
        <v>293</v>
      </c>
    </row>
    <row r="57" spans="1:14" x14ac:dyDescent="0.25">
      <c r="A57" t="s">
        <v>251</v>
      </c>
      <c r="B57" s="5">
        <v>231.6</v>
      </c>
      <c r="C57" s="5">
        <v>181.9</v>
      </c>
      <c r="D57" s="5">
        <v>151.94999999999999</v>
      </c>
      <c r="E57" s="5">
        <v>135.54</v>
      </c>
      <c r="F57" s="5">
        <v>147.36000000000001</v>
      </c>
      <c r="G57" s="5">
        <v>135.63999999999999</v>
      </c>
      <c r="H57" s="5">
        <v>141.44999999999999</v>
      </c>
      <c r="I57" s="5">
        <v>154.02000000000001</v>
      </c>
      <c r="J57" s="5">
        <v>129.82</v>
      </c>
      <c r="K57" s="5">
        <v>140.52000000000001</v>
      </c>
      <c r="L57" s="5">
        <v>154.94999999999999</v>
      </c>
      <c r="M57" s="5">
        <v>125.3</v>
      </c>
      <c r="N57" s="5">
        <f>SUM(B57:F57)</f>
        <v>848.35</v>
      </c>
    </row>
    <row r="58" spans="1:14" x14ac:dyDescent="0.25">
      <c r="A58" t="s">
        <v>252</v>
      </c>
      <c r="B58" s="5">
        <v>763.06</v>
      </c>
      <c r="C58" s="5">
        <v>700.02</v>
      </c>
      <c r="D58" s="5">
        <v>701.8</v>
      </c>
      <c r="E58" s="5">
        <v>709.3</v>
      </c>
      <c r="F58" s="5">
        <v>754.79</v>
      </c>
      <c r="G58" s="5">
        <v>696.33</v>
      </c>
      <c r="H58" s="5">
        <v>758.24</v>
      </c>
      <c r="I58" s="5">
        <v>745.68</v>
      </c>
      <c r="J58" s="5">
        <v>728.84</v>
      </c>
      <c r="K58" s="5">
        <v>821.1</v>
      </c>
      <c r="L58" s="5">
        <v>696.83</v>
      </c>
      <c r="M58" s="5">
        <v>676.24</v>
      </c>
      <c r="N58" s="5">
        <f t="shared" ref="N58:N70" si="15">SUM(B58:F58)</f>
        <v>3628.9700000000003</v>
      </c>
    </row>
    <row r="59" spans="1:14" x14ac:dyDescent="0.25">
      <c r="A59" t="s">
        <v>294</v>
      </c>
      <c r="B59" s="5">
        <v>0</v>
      </c>
      <c r="C59" s="5">
        <v>0</v>
      </c>
      <c r="D59" s="5">
        <v>0</v>
      </c>
      <c r="E59" s="5">
        <v>300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5010.59</v>
      </c>
      <c r="N59" s="5">
        <f t="shared" si="15"/>
        <v>300</v>
      </c>
    </row>
    <row r="60" spans="1:14" x14ac:dyDescent="0.25">
      <c r="A60" t="s">
        <v>306</v>
      </c>
      <c r="B60" s="5">
        <v>0</v>
      </c>
      <c r="C60" s="5">
        <v>1250</v>
      </c>
      <c r="D60" s="5">
        <v>0</v>
      </c>
      <c r="E60" s="5">
        <v>0</v>
      </c>
      <c r="F60" s="5">
        <v>0</v>
      </c>
      <c r="G60" s="5">
        <v>0</v>
      </c>
      <c r="H60" s="5">
        <v>4000</v>
      </c>
      <c r="I60" s="5">
        <v>0</v>
      </c>
      <c r="J60" s="5">
        <v>23420.78</v>
      </c>
      <c r="K60" s="5">
        <v>14264.01</v>
      </c>
      <c r="L60" s="5">
        <v>18684.79</v>
      </c>
      <c r="M60" s="5">
        <v>924</v>
      </c>
      <c r="N60" s="5">
        <f t="shared" si="15"/>
        <v>1250</v>
      </c>
    </row>
    <row r="61" spans="1:14" x14ac:dyDescent="0.25">
      <c r="A61" t="s">
        <v>362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-5776.56</v>
      </c>
      <c r="H61" s="5">
        <v>0</v>
      </c>
      <c r="I61" s="5">
        <v>0</v>
      </c>
      <c r="J61" s="5">
        <v>5375.34</v>
      </c>
      <c r="K61" s="5">
        <v>0</v>
      </c>
      <c r="L61" s="5">
        <v>1187.3599999999999</v>
      </c>
      <c r="M61" s="5">
        <v>16062.38</v>
      </c>
      <c r="N61" s="5">
        <f t="shared" si="15"/>
        <v>0</v>
      </c>
    </row>
    <row r="62" spans="1:14" x14ac:dyDescent="0.25">
      <c r="A62" t="s">
        <v>388</v>
      </c>
      <c r="B62" s="5">
        <v>5000</v>
      </c>
      <c r="C62" s="5">
        <v>5000</v>
      </c>
      <c r="D62" s="5">
        <v>5000</v>
      </c>
      <c r="E62" s="5">
        <v>5000</v>
      </c>
      <c r="F62" s="5">
        <v>5000</v>
      </c>
      <c r="G62" s="5">
        <v>4000</v>
      </c>
      <c r="H62" s="5">
        <v>4000</v>
      </c>
      <c r="I62" s="5">
        <v>4000</v>
      </c>
      <c r="J62" s="5">
        <v>4000</v>
      </c>
      <c r="K62" s="5">
        <v>4000</v>
      </c>
      <c r="L62" s="5">
        <v>4000</v>
      </c>
      <c r="M62" s="5">
        <v>1400</v>
      </c>
      <c r="N62" s="5">
        <f t="shared" si="15"/>
        <v>25000</v>
      </c>
    </row>
    <row r="63" spans="1:14" x14ac:dyDescent="0.25">
      <c r="A63" t="s">
        <v>361</v>
      </c>
      <c r="B63" s="5">
        <v>2250</v>
      </c>
      <c r="C63" s="5">
        <v>2250</v>
      </c>
      <c r="D63" s="5">
        <v>2250</v>
      </c>
      <c r="E63" s="5">
        <v>2250</v>
      </c>
      <c r="F63" s="5">
        <v>2250</v>
      </c>
      <c r="G63" s="5">
        <v>2250</v>
      </c>
      <c r="H63" s="5">
        <v>2250</v>
      </c>
      <c r="I63" s="5">
        <v>2250</v>
      </c>
      <c r="J63" s="5">
        <v>2250</v>
      </c>
      <c r="K63" s="5">
        <v>2250</v>
      </c>
      <c r="L63" s="5">
        <v>2250</v>
      </c>
      <c r="M63" s="5">
        <v>2250</v>
      </c>
      <c r="N63" s="5">
        <f t="shared" si="15"/>
        <v>11250</v>
      </c>
    </row>
    <row r="64" spans="1:14" x14ac:dyDescent="0.25">
      <c r="A64" t="s">
        <v>389</v>
      </c>
      <c r="B64" s="5">
        <v>791.67</v>
      </c>
      <c r="C64" s="5">
        <v>791.67</v>
      </c>
      <c r="D64" s="5">
        <v>791.67</v>
      </c>
      <c r="E64" s="5">
        <v>791.67</v>
      </c>
      <c r="F64" s="5">
        <f>8791.67-8000.01</f>
        <v>791.65999999999985</v>
      </c>
      <c r="G64" s="5">
        <v>666.67</v>
      </c>
      <c r="H64" s="5">
        <v>666.67</v>
      </c>
      <c r="I64" s="5">
        <v>666.67</v>
      </c>
      <c r="J64" s="5">
        <v>666.67</v>
      </c>
      <c r="K64" s="5">
        <v>666.67</v>
      </c>
      <c r="L64" s="5">
        <v>666.67</v>
      </c>
      <c r="M64" s="5">
        <v>666.67</v>
      </c>
      <c r="N64" s="5">
        <f t="shared" si="15"/>
        <v>3958.3399999999997</v>
      </c>
    </row>
    <row r="65" spans="1:15" x14ac:dyDescent="0.25">
      <c r="A65" t="s">
        <v>400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9838.1299999999992</v>
      </c>
      <c r="K65" s="5">
        <v>1780.88</v>
      </c>
      <c r="L65" s="5">
        <v>163.13</v>
      </c>
      <c r="M65" s="5">
        <v>1196.04</v>
      </c>
      <c r="N65" s="5">
        <f t="shared" si="15"/>
        <v>0</v>
      </c>
    </row>
    <row r="66" spans="1:15" x14ac:dyDescent="0.25">
      <c r="A66" t="s">
        <v>475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6690.94</v>
      </c>
      <c r="K66" s="5">
        <v>0</v>
      </c>
      <c r="L66" s="5">
        <v>0</v>
      </c>
      <c r="M66" s="5">
        <v>0</v>
      </c>
      <c r="N66" s="5">
        <f t="shared" si="15"/>
        <v>0</v>
      </c>
    </row>
    <row r="67" spans="1:15" x14ac:dyDescent="0.25">
      <c r="A67" t="s">
        <v>257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6496.38</v>
      </c>
      <c r="K67" s="5">
        <v>721.32</v>
      </c>
      <c r="L67" s="5">
        <v>721.32</v>
      </c>
      <c r="M67" s="5">
        <v>721.32</v>
      </c>
      <c r="N67" s="5">
        <f t="shared" si="15"/>
        <v>0</v>
      </c>
    </row>
    <row r="68" spans="1:15" x14ac:dyDescent="0.25">
      <c r="A68" t="s">
        <v>253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899.5</v>
      </c>
      <c r="L68" s="5">
        <v>5881.56</v>
      </c>
      <c r="M68" s="5">
        <v>2451.5100000000002</v>
      </c>
      <c r="N68" s="5">
        <f t="shared" si="15"/>
        <v>0</v>
      </c>
    </row>
    <row r="69" spans="1:15" x14ac:dyDescent="0.25">
      <c r="A69" t="s">
        <v>390</v>
      </c>
      <c r="B69" s="5">
        <v>109</v>
      </c>
      <c r="C69" s="5">
        <v>0</v>
      </c>
      <c r="D69" s="5">
        <v>40</v>
      </c>
      <c r="E69" s="5">
        <v>0</v>
      </c>
      <c r="F69" s="5">
        <v>0</v>
      </c>
      <c r="G69" s="5">
        <v>0</v>
      </c>
      <c r="H69" s="5">
        <v>0</v>
      </c>
      <c r="I69" s="5">
        <v>300</v>
      </c>
      <c r="J69" s="5">
        <v>0</v>
      </c>
      <c r="K69" s="5">
        <v>0</v>
      </c>
      <c r="L69" s="5">
        <v>0</v>
      </c>
      <c r="M69" s="5">
        <v>0</v>
      </c>
      <c r="N69" s="5">
        <f t="shared" si="15"/>
        <v>149</v>
      </c>
    </row>
    <row r="70" spans="1:15" x14ac:dyDescent="0.25">
      <c r="A70" t="s">
        <v>256</v>
      </c>
      <c r="B70" s="5">
        <v>225</v>
      </c>
      <c r="C70" s="5">
        <v>352.5</v>
      </c>
      <c r="D70" s="5">
        <v>0</v>
      </c>
      <c r="E70" s="5">
        <v>0</v>
      </c>
      <c r="F70" s="5">
        <v>0</v>
      </c>
      <c r="G70" s="5">
        <v>650</v>
      </c>
      <c r="H70" s="5">
        <v>0</v>
      </c>
      <c r="I70" s="5">
        <v>1250</v>
      </c>
      <c r="J70" s="5">
        <v>0</v>
      </c>
      <c r="K70" s="5">
        <v>0</v>
      </c>
      <c r="L70" s="5">
        <v>0</v>
      </c>
      <c r="M70" s="5">
        <v>0</v>
      </c>
      <c r="N70" s="5">
        <f t="shared" si="15"/>
        <v>577.5</v>
      </c>
    </row>
    <row r="71" spans="1:15" x14ac:dyDescent="0.25">
      <c r="A71" s="4" t="s">
        <v>296</v>
      </c>
      <c r="B71" s="7">
        <f>SUM(B57:B70)</f>
        <v>9370.33</v>
      </c>
      <c r="C71" s="7">
        <f t="shared" ref="C71:F71" si="16">SUM(C57:C70)</f>
        <v>10526.09</v>
      </c>
      <c r="D71" s="7">
        <f t="shared" si="16"/>
        <v>8935.42</v>
      </c>
      <c r="E71" s="7">
        <f>SUM(E57:E70)</f>
        <v>9186.51</v>
      </c>
      <c r="F71" s="7">
        <f t="shared" si="16"/>
        <v>8943.81</v>
      </c>
      <c r="G71" s="7">
        <f t="shared" ref="G71:M71" si="17">SUM(G57:G70)</f>
        <v>2622.08</v>
      </c>
      <c r="H71" s="7">
        <f t="shared" si="17"/>
        <v>11816.36</v>
      </c>
      <c r="I71" s="7">
        <f t="shared" si="17"/>
        <v>9366.369999999999</v>
      </c>
      <c r="J71" s="7">
        <f t="shared" si="17"/>
        <v>59596.899999999994</v>
      </c>
      <c r="K71" s="7">
        <f t="shared" si="17"/>
        <v>25544</v>
      </c>
      <c r="L71" s="7">
        <f t="shared" ref="L71" si="18">SUM(L57:L70)</f>
        <v>34406.61</v>
      </c>
      <c r="M71" s="7">
        <f t="shared" si="17"/>
        <v>31484.049999999996</v>
      </c>
      <c r="N71" s="7">
        <f>SUM(N57:N70)</f>
        <v>46962.159999999996</v>
      </c>
    </row>
    <row r="72" spans="1:15" x14ac:dyDescent="0.25">
      <c r="A72" t="s">
        <v>245</v>
      </c>
    </row>
    <row r="73" spans="1:15" ht="15.75" thickBot="1" x14ac:dyDescent="0.3">
      <c r="A73" s="4" t="s">
        <v>210</v>
      </c>
      <c r="B73" s="8">
        <f t="shared" ref="B73:F73" si="19">B36+B54+B71</f>
        <v>119334.52</v>
      </c>
      <c r="C73" s="8">
        <f t="shared" si="19"/>
        <v>113697.12999999998</v>
      </c>
      <c r="D73" s="8">
        <f t="shared" si="19"/>
        <v>117844.24</v>
      </c>
      <c r="E73" s="8">
        <f t="shared" si="19"/>
        <v>116956.12000000001</v>
      </c>
      <c r="F73" s="8">
        <f t="shared" si="19"/>
        <v>111590.86999999998</v>
      </c>
      <c r="G73" s="8">
        <f t="shared" ref="G73:M73" si="20">G36+G54+G71</f>
        <v>109064.85000000002</v>
      </c>
      <c r="H73" s="8">
        <f t="shared" si="20"/>
        <v>123297.64999999998</v>
      </c>
      <c r="I73" s="8">
        <f t="shared" si="20"/>
        <v>123300.49</v>
      </c>
      <c r="J73" s="8">
        <f t="shared" si="20"/>
        <v>755337.70999999985</v>
      </c>
      <c r="K73" s="8">
        <f t="shared" si="20"/>
        <v>233481.31</v>
      </c>
      <c r="L73" s="8">
        <f t="shared" ref="L73" si="21">L36+L54+L71</f>
        <v>219998.38</v>
      </c>
      <c r="M73" s="8">
        <f t="shared" si="20"/>
        <v>296983.67999999999</v>
      </c>
      <c r="N73" s="8">
        <f>N36+N54+N71</f>
        <v>579422.87999999989</v>
      </c>
    </row>
    <row r="75" spans="1:15" x14ac:dyDescent="0.25">
      <c r="A75" s="4" t="s">
        <v>297</v>
      </c>
    </row>
    <row r="76" spans="1:15" x14ac:dyDescent="0.25">
      <c r="A76" t="s">
        <v>298</v>
      </c>
      <c r="B76" s="5">
        <v>12500</v>
      </c>
      <c r="C76" s="5">
        <v>12500</v>
      </c>
      <c r="D76" s="5">
        <v>12500</v>
      </c>
      <c r="E76" s="5">
        <v>12500</v>
      </c>
      <c r="F76" s="5">
        <v>12500</v>
      </c>
      <c r="G76" s="5">
        <v>12500</v>
      </c>
      <c r="H76" s="5">
        <v>12500</v>
      </c>
      <c r="I76" s="5">
        <v>12500</v>
      </c>
      <c r="J76" s="5">
        <v>12500</v>
      </c>
      <c r="K76" s="5">
        <v>12500</v>
      </c>
      <c r="L76" s="5">
        <v>12500</v>
      </c>
      <c r="M76" s="5">
        <v>12500</v>
      </c>
      <c r="N76" s="5">
        <f>SUM(B76:F76)</f>
        <v>62500</v>
      </c>
    </row>
    <row r="77" spans="1:15" x14ac:dyDescent="0.25">
      <c r="A77" t="s">
        <v>270</v>
      </c>
      <c r="B77" s="5">
        <v>2109.7199999999998</v>
      </c>
      <c r="C77" s="5">
        <v>2488.89</v>
      </c>
      <c r="D77" s="5">
        <v>2770.21</v>
      </c>
      <c r="E77" s="5">
        <v>2666.67</v>
      </c>
      <c r="F77" s="5">
        <v>2755.56</v>
      </c>
      <c r="G77" s="5">
        <v>2666.67</v>
      </c>
      <c r="H77" s="5">
        <v>2755.56</v>
      </c>
      <c r="I77" s="5">
        <v>3000</v>
      </c>
      <c r="J77" s="5">
        <v>3333.33</v>
      </c>
      <c r="K77" s="5">
        <v>3444.44</v>
      </c>
      <c r="L77" s="5">
        <v>3333.33</v>
      </c>
      <c r="M77" s="5">
        <v>3461.11</v>
      </c>
      <c r="N77" s="5">
        <f>SUM(B77:F77)</f>
        <v>12791.05</v>
      </c>
    </row>
    <row r="78" spans="1:15" x14ac:dyDescent="0.25">
      <c r="A78" s="4" t="s">
        <v>299</v>
      </c>
      <c r="B78" s="7">
        <f>SUM(B76:B77)</f>
        <v>14609.72</v>
      </c>
      <c r="C78" s="7">
        <f t="shared" ref="C78:F78" si="22">SUM(C76:C77)</f>
        <v>14988.89</v>
      </c>
      <c r="D78" s="7">
        <f t="shared" si="22"/>
        <v>15270.21</v>
      </c>
      <c r="E78" s="7">
        <f>SUM(E76:E77)</f>
        <v>15166.67</v>
      </c>
      <c r="F78" s="7">
        <f t="shared" si="22"/>
        <v>15255.56</v>
      </c>
      <c r="G78" s="7">
        <f t="shared" ref="G78:M78" si="23">SUM(G76:G77)</f>
        <v>15166.67</v>
      </c>
      <c r="H78" s="7">
        <f t="shared" si="23"/>
        <v>15255.56</v>
      </c>
      <c r="I78" s="7">
        <f t="shared" si="23"/>
        <v>15500</v>
      </c>
      <c r="J78" s="7">
        <f t="shared" si="23"/>
        <v>15833.33</v>
      </c>
      <c r="K78" s="7">
        <f t="shared" si="23"/>
        <v>15944.44</v>
      </c>
      <c r="L78" s="7">
        <f t="shared" ref="L78" si="24">SUM(L76:L77)</f>
        <v>15833.33</v>
      </c>
      <c r="M78" s="7">
        <f t="shared" si="23"/>
        <v>15961.11</v>
      </c>
      <c r="N78" s="7">
        <f>SUM(N76:N77)</f>
        <v>75291.05</v>
      </c>
    </row>
    <row r="80" spans="1:15" ht="15.75" thickBot="1" x14ac:dyDescent="0.3">
      <c r="A80" s="4" t="s">
        <v>300</v>
      </c>
      <c r="B80" s="9">
        <f t="shared" ref="B80:N80" si="25">B25-B73+B78</f>
        <v>-1834.0699999999943</v>
      </c>
      <c r="C80" s="9">
        <f t="shared" si="25"/>
        <v>8655.3500000000204</v>
      </c>
      <c r="D80" s="9">
        <f t="shared" si="25"/>
        <v>83095.280000000028</v>
      </c>
      <c r="E80" s="9">
        <f t="shared" si="25"/>
        <v>32817.569999999978</v>
      </c>
      <c r="F80" s="9">
        <f t="shared" si="25"/>
        <v>177775.43</v>
      </c>
      <c r="G80" s="9">
        <f t="shared" si="25"/>
        <v>87212.919999999955</v>
      </c>
      <c r="H80" s="9">
        <f t="shared" si="25"/>
        <v>115696.81999999999</v>
      </c>
      <c r="I80" s="9">
        <f t="shared" si="25"/>
        <v>116860.41000000002</v>
      </c>
      <c r="J80" s="9">
        <f t="shared" ref="J80:L80" si="26">J25-J73+J78</f>
        <v>2404.5800000002328</v>
      </c>
      <c r="K80" s="9">
        <f t="shared" si="26"/>
        <v>133766.34000000003</v>
      </c>
      <c r="L80" s="9">
        <f t="shared" si="26"/>
        <v>21245.390000000029</v>
      </c>
      <c r="M80" s="9">
        <f t="shared" si="25"/>
        <v>67100.700000000026</v>
      </c>
      <c r="N80" s="9">
        <f t="shared" si="25"/>
        <v>300509.56000000011</v>
      </c>
      <c r="O80"/>
    </row>
    <row r="81" spans="2:14" ht="15.75" thickTop="1" x14ac:dyDescent="0.25"/>
    <row r="82" spans="2:14" x14ac:dyDescent="0.25">
      <c r="B82" s="5">
        <v>-1834.07</v>
      </c>
      <c r="C82" s="5">
        <v>8655.35</v>
      </c>
      <c r="D82" s="5">
        <v>83095.28</v>
      </c>
      <c r="E82" s="5">
        <v>32817.57</v>
      </c>
      <c r="F82" s="5">
        <v>177775.43</v>
      </c>
      <c r="G82" s="5">
        <v>87212.92</v>
      </c>
      <c r="H82" s="5">
        <v>115696.82</v>
      </c>
      <c r="I82" s="5">
        <v>116860.41</v>
      </c>
      <c r="J82" s="5">
        <v>2404.58</v>
      </c>
      <c r="K82" s="5">
        <v>133766.34</v>
      </c>
      <c r="L82" s="5">
        <v>21245.39</v>
      </c>
      <c r="M82" s="5">
        <v>67100.7</v>
      </c>
      <c r="N82" s="5">
        <v>844796.72</v>
      </c>
    </row>
    <row r="83" spans="2:14" x14ac:dyDescent="0.25">
      <c r="B83" s="63">
        <f>ROUND((B82-B80),2)</f>
        <v>0</v>
      </c>
      <c r="C83" s="63">
        <f t="shared" ref="C83:N83" si="27">ROUND((C82-C80),2)</f>
        <v>0</v>
      </c>
      <c r="D83" s="63">
        <f t="shared" si="27"/>
        <v>0</v>
      </c>
      <c r="E83" s="63">
        <f t="shared" si="27"/>
        <v>0</v>
      </c>
      <c r="F83" s="63">
        <f t="shared" si="27"/>
        <v>0</v>
      </c>
      <c r="G83" s="63">
        <f t="shared" ref="G83:J83" si="28">ROUND((G82-G80),2)</f>
        <v>0</v>
      </c>
      <c r="H83" s="63">
        <f t="shared" si="28"/>
        <v>0</v>
      </c>
      <c r="I83" s="63">
        <f t="shared" si="28"/>
        <v>0</v>
      </c>
      <c r="J83" s="63">
        <f t="shared" si="28"/>
        <v>0</v>
      </c>
      <c r="K83" s="63">
        <f>ROUND((K82-K80),2)</f>
        <v>0</v>
      </c>
      <c r="L83" s="63">
        <f>ROUND((L82-L80),2)</f>
        <v>0</v>
      </c>
      <c r="M83" s="63">
        <f>ROUND((M82-M80),2)</f>
        <v>0</v>
      </c>
      <c r="N83" s="63">
        <f t="shared" si="27"/>
        <v>544287.16</v>
      </c>
    </row>
  </sheetData>
  <mergeCells count="3">
    <mergeCell ref="A1:N1"/>
    <mergeCell ref="A2:N2"/>
    <mergeCell ref="A3:N3"/>
  </mergeCells>
  <pageMargins left="0.25" right="0.25" top="0.75" bottom="0.75" header="0.3" footer="0.3"/>
  <pageSetup paperSize="5" scale="81" fitToHeight="0" orientation="landscape" r:id="rId1"/>
  <rowBreaks count="2" manualBreakCount="2">
    <brk id="37" max="13" man="1"/>
    <brk id="73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  <pageSetUpPr fitToPage="1"/>
  </sheetPr>
  <dimension ref="A1:Q81"/>
  <sheetViews>
    <sheetView view="pageBreakPreview" zoomScaleNormal="100" zoomScaleSheetLayoutView="100" workbookViewId="0">
      <pane ySplit="6" topLeftCell="A67" activePane="bottomLeft" state="frozen"/>
      <selection activeCell="C20" sqref="C20"/>
      <selection pane="bottomLeft" activeCell="G89" sqref="G89"/>
    </sheetView>
  </sheetViews>
  <sheetFormatPr defaultRowHeight="15" x14ac:dyDescent="0.25"/>
  <cols>
    <col min="1" max="1" width="41.28515625" bestFit="1" customWidth="1"/>
    <col min="2" max="2" width="14.140625" style="5" bestFit="1" customWidth="1"/>
    <col min="3" max="3" width="14.42578125" style="5" customWidth="1"/>
    <col min="4" max="4" width="15.140625" style="5" bestFit="1" customWidth="1"/>
    <col min="5" max="6" width="14.7109375" style="5" bestFit="1" customWidth="1"/>
    <col min="7" max="13" width="15.28515625" style="5" bestFit="1" customWidth="1"/>
    <col min="14" max="14" width="15.42578125" style="5" bestFit="1" customWidth="1"/>
    <col min="15" max="15" width="8.85546875" style="5"/>
    <col min="16" max="17" width="11.5703125" bestFit="1" customWidth="1"/>
  </cols>
  <sheetData>
    <row r="1" spans="1:14" x14ac:dyDescent="0.25">
      <c r="A1" s="251" t="s">
        <v>336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 x14ac:dyDescent="0.25">
      <c r="A2" s="251" t="s">
        <v>274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</row>
    <row r="3" spans="1:14" x14ac:dyDescent="0.25">
      <c r="A3" s="251">
        <v>2018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</row>
    <row r="4" spans="1:14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B6" s="10" t="s">
        <v>301</v>
      </c>
      <c r="C6" s="10" t="s">
        <v>302</v>
      </c>
      <c r="D6" s="10" t="s">
        <v>303</v>
      </c>
      <c r="E6" s="10" t="s">
        <v>304</v>
      </c>
      <c r="F6" s="10" t="s">
        <v>378</v>
      </c>
      <c r="G6" s="10" t="s">
        <v>420</v>
      </c>
      <c r="H6" s="10" t="s">
        <v>440</v>
      </c>
      <c r="I6" s="10" t="s">
        <v>450</v>
      </c>
      <c r="J6" s="10" t="s">
        <v>464</v>
      </c>
      <c r="K6" s="10" t="s">
        <v>482</v>
      </c>
      <c r="L6" s="10" t="s">
        <v>485</v>
      </c>
      <c r="M6" s="10" t="s">
        <v>538</v>
      </c>
      <c r="N6" s="10" t="s">
        <v>207</v>
      </c>
    </row>
    <row r="7" spans="1:14" x14ac:dyDescent="0.25">
      <c r="A7" s="4" t="s">
        <v>62</v>
      </c>
    </row>
    <row r="8" spans="1:14" x14ac:dyDescent="0.25">
      <c r="A8" t="s">
        <v>308</v>
      </c>
      <c r="B8" s="5">
        <v>1259181.27</v>
      </c>
      <c r="C8" s="5">
        <v>3842825.02</v>
      </c>
      <c r="D8" s="5">
        <v>6380777.25</v>
      </c>
      <c r="E8" s="5">
        <v>7202321.2999999998</v>
      </c>
      <c r="F8" s="5">
        <v>8920930.5899999999</v>
      </c>
      <c r="G8" s="5">
        <v>10255749.529999999</v>
      </c>
      <c r="H8" s="5">
        <v>11726637.460000001</v>
      </c>
      <c r="I8" s="5">
        <v>8087466.0499999998</v>
      </c>
      <c r="J8" s="5">
        <v>266656.84999999998</v>
      </c>
      <c r="K8" s="5">
        <v>7236728.5999999996</v>
      </c>
      <c r="L8" s="5">
        <f>6653510.11-618</f>
        <v>6652892.1100000003</v>
      </c>
      <c r="M8" s="5">
        <v>5914854.3899999997</v>
      </c>
      <c r="N8" s="5">
        <f>SUM(B8:F8)</f>
        <v>27606035.43</v>
      </c>
    </row>
    <row r="9" spans="1:14" x14ac:dyDescent="0.25">
      <c r="A9" t="s">
        <v>316</v>
      </c>
      <c r="B9" s="5">
        <v>236007.94</v>
      </c>
      <c r="C9" s="5">
        <v>379397.28</v>
      </c>
      <c r="D9" s="5">
        <v>545988.51</v>
      </c>
      <c r="E9" s="5">
        <v>295631.26</v>
      </c>
      <c r="F9" s="5">
        <v>282253.62</v>
      </c>
      <c r="G9" s="5">
        <v>179199.65</v>
      </c>
      <c r="H9" s="5">
        <v>396933.84</v>
      </c>
      <c r="I9" s="5">
        <v>338757.5</v>
      </c>
      <c r="J9" s="5">
        <v>109856.97</v>
      </c>
      <c r="K9" s="5">
        <v>773074.05</v>
      </c>
      <c r="L9" s="5">
        <f>762136.19-149.8</f>
        <v>761986.3899999999</v>
      </c>
      <c r="M9" s="5">
        <v>623086.11</v>
      </c>
      <c r="N9" s="5">
        <f t="shared" ref="N9:N16" si="0">SUM(B9:F9)</f>
        <v>1739278.6099999999</v>
      </c>
    </row>
    <row r="10" spans="1:14" x14ac:dyDescent="0.25">
      <c r="A10" t="s">
        <v>317</v>
      </c>
      <c r="B10" s="5">
        <v>61335.59</v>
      </c>
      <c r="C10" s="5">
        <v>17413.54</v>
      </c>
      <c r="D10" s="5">
        <v>27676.38</v>
      </c>
      <c r="E10" s="5">
        <v>53826.559999999998</v>
      </c>
      <c r="F10" s="5">
        <v>37554.74</v>
      </c>
      <c r="G10" s="5">
        <v>14783.41</v>
      </c>
      <c r="H10" s="5">
        <v>26033.31</v>
      </c>
      <c r="I10" s="5">
        <v>26281.37</v>
      </c>
      <c r="J10" s="5">
        <v>10456.31</v>
      </c>
      <c r="K10" s="5">
        <v>57531.01</v>
      </c>
      <c r="L10" s="5">
        <v>9296.07</v>
      </c>
      <c r="M10" s="5">
        <v>119326.73</v>
      </c>
      <c r="N10" s="5">
        <f t="shared" si="0"/>
        <v>197806.81</v>
      </c>
    </row>
    <row r="11" spans="1:14" x14ac:dyDescent="0.25">
      <c r="A11" t="s">
        <v>379</v>
      </c>
      <c r="B11" s="5">
        <v>0</v>
      </c>
      <c r="C11" s="5">
        <v>0</v>
      </c>
      <c r="D11" s="5">
        <v>0</v>
      </c>
      <c r="E11" s="5">
        <v>0</v>
      </c>
      <c r="F11" s="5">
        <v>3310.3</v>
      </c>
      <c r="G11" s="5">
        <v>3202.6</v>
      </c>
      <c r="H11" s="5">
        <v>6393.6</v>
      </c>
      <c r="I11" s="5">
        <v>4616.5</v>
      </c>
      <c r="J11" s="5">
        <v>3544.5</v>
      </c>
      <c r="K11" s="5">
        <v>0</v>
      </c>
      <c r="L11" s="5">
        <v>0</v>
      </c>
      <c r="M11" s="5">
        <v>17609.3</v>
      </c>
      <c r="N11" s="5">
        <f t="shared" si="0"/>
        <v>3310.3</v>
      </c>
    </row>
    <row r="12" spans="1:14" x14ac:dyDescent="0.25">
      <c r="A12" t="s">
        <v>458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1473</v>
      </c>
      <c r="I12" s="5">
        <v>132.97999999999999</v>
      </c>
      <c r="J12" s="5">
        <v>433.84</v>
      </c>
      <c r="K12" s="5">
        <v>0</v>
      </c>
      <c r="L12" s="5">
        <v>2013.81</v>
      </c>
      <c r="M12" s="5">
        <v>586.38</v>
      </c>
      <c r="N12" s="5">
        <f t="shared" si="0"/>
        <v>0</v>
      </c>
    </row>
    <row r="13" spans="1:14" x14ac:dyDescent="0.25">
      <c r="A13" t="s">
        <v>318</v>
      </c>
      <c r="B13" s="5">
        <v>658</v>
      </c>
      <c r="C13" s="5">
        <v>1919</v>
      </c>
      <c r="D13" s="5">
        <v>477</v>
      </c>
      <c r="E13" s="5">
        <v>592.5</v>
      </c>
      <c r="F13" s="5">
        <f>1227.5</f>
        <v>1227.5</v>
      </c>
      <c r="G13" s="5">
        <v>268</v>
      </c>
      <c r="H13" s="5">
        <v>1265</v>
      </c>
      <c r="I13" s="5">
        <v>175</v>
      </c>
      <c r="J13" s="5">
        <v>180</v>
      </c>
      <c r="K13" s="5">
        <v>0</v>
      </c>
      <c r="L13" s="5">
        <v>7165.12</v>
      </c>
      <c r="M13" s="5">
        <v>5068</v>
      </c>
      <c r="N13" s="5">
        <f t="shared" si="0"/>
        <v>4874</v>
      </c>
    </row>
    <row r="14" spans="1:14" x14ac:dyDescent="0.25">
      <c r="A14" t="s">
        <v>319</v>
      </c>
      <c r="B14" s="5">
        <v>59302.75</v>
      </c>
      <c r="C14" s="5">
        <v>176078.5</v>
      </c>
      <c r="D14" s="5">
        <v>289922.25</v>
      </c>
      <c r="E14" s="5">
        <v>364686</v>
      </c>
      <c r="F14" s="5">
        <v>414150.75</v>
      </c>
      <c r="G14" s="5">
        <v>437152</v>
      </c>
      <c r="H14" s="5">
        <v>559001.75</v>
      </c>
      <c r="I14" s="5">
        <v>304574.5</v>
      </c>
      <c r="J14" s="5">
        <v>0</v>
      </c>
      <c r="K14" s="5">
        <v>382210.5</v>
      </c>
      <c r="L14" s="5">
        <v>298757.5</v>
      </c>
      <c r="M14" s="5">
        <v>256829.5</v>
      </c>
      <c r="N14" s="5">
        <f t="shared" si="0"/>
        <v>1304140.25</v>
      </c>
    </row>
    <row r="15" spans="1:14" x14ac:dyDescent="0.25">
      <c r="A15" t="s">
        <v>320</v>
      </c>
      <c r="B15" s="5">
        <v>-878.76</v>
      </c>
      <c r="C15" s="5">
        <v>0</v>
      </c>
      <c r="D15" s="5">
        <v>0</v>
      </c>
      <c r="E15" s="5">
        <v>-5916</v>
      </c>
      <c r="F15" s="5">
        <v>0</v>
      </c>
      <c r="G15" s="5">
        <v>-50883.01</v>
      </c>
      <c r="H15" s="5">
        <v>-5495.2</v>
      </c>
      <c r="I15" s="5">
        <f>-11900</f>
        <v>-11900</v>
      </c>
      <c r="J15" s="5">
        <v>0</v>
      </c>
      <c r="K15" s="5">
        <v>0</v>
      </c>
      <c r="L15" s="5">
        <v>0</v>
      </c>
      <c r="M15" s="5">
        <v>0</v>
      </c>
      <c r="N15" s="5">
        <f t="shared" si="0"/>
        <v>-6794.76</v>
      </c>
    </row>
    <row r="16" spans="1:14" x14ac:dyDescent="0.25">
      <c r="A16" t="s">
        <v>457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-22111.39</v>
      </c>
      <c r="J16" s="5">
        <v>0</v>
      </c>
      <c r="K16" s="5">
        <v>0</v>
      </c>
      <c r="L16" s="5">
        <v>0</v>
      </c>
      <c r="M16" s="5">
        <v>-190.2</v>
      </c>
      <c r="N16" s="5">
        <f t="shared" si="0"/>
        <v>0</v>
      </c>
    </row>
    <row r="17" spans="1:14" x14ac:dyDescent="0.25">
      <c r="A17" s="4" t="s">
        <v>223</v>
      </c>
      <c r="B17" s="7">
        <f t="shared" ref="B17:N17" si="1">SUM(B8:B16)</f>
        <v>1615606.79</v>
      </c>
      <c r="C17" s="7">
        <f t="shared" si="1"/>
        <v>4417633.34</v>
      </c>
      <c r="D17" s="7">
        <f t="shared" si="1"/>
        <v>7244841.3899999997</v>
      </c>
      <c r="E17" s="7">
        <f t="shared" si="1"/>
        <v>7911141.6199999992</v>
      </c>
      <c r="F17" s="7">
        <f t="shared" si="1"/>
        <v>9659427.5</v>
      </c>
      <c r="G17" s="7">
        <f t="shared" si="1"/>
        <v>10839472.18</v>
      </c>
      <c r="H17" s="7">
        <f t="shared" si="1"/>
        <v>12712242.760000002</v>
      </c>
      <c r="I17" s="7">
        <f t="shared" ref="I17:L17" si="2">SUM(I8:I16)</f>
        <v>8727992.5099999998</v>
      </c>
      <c r="J17" s="7">
        <f t="shared" si="2"/>
        <v>391128.47</v>
      </c>
      <c r="K17" s="7">
        <f t="shared" si="2"/>
        <v>8449544.1600000001</v>
      </c>
      <c r="L17" s="7">
        <f t="shared" si="2"/>
        <v>7732111</v>
      </c>
      <c r="M17" s="7">
        <f t="shared" si="1"/>
        <v>6937170.21</v>
      </c>
      <c r="N17" s="7">
        <f t="shared" si="1"/>
        <v>30848650.639999997</v>
      </c>
    </row>
    <row r="19" spans="1:14" x14ac:dyDescent="0.25">
      <c r="A19" s="4" t="s">
        <v>279</v>
      </c>
      <c r="N19" s="5">
        <f t="shared" ref="N19" si="3">SUM(B19:M19)</f>
        <v>0</v>
      </c>
    </row>
    <row r="20" spans="1:14" x14ac:dyDescent="0.25">
      <c r="A20" t="s">
        <v>309</v>
      </c>
      <c r="B20" s="5">
        <v>1244716.24</v>
      </c>
      <c r="C20" s="5">
        <v>3821573.32</v>
      </c>
      <c r="D20" s="5">
        <v>6368245.5999999996</v>
      </c>
      <c r="E20" s="5">
        <v>7185367.1200000001</v>
      </c>
      <c r="F20" s="5">
        <v>8899243.3100000005</v>
      </c>
      <c r="G20" s="5">
        <v>10161491.619999999</v>
      </c>
      <c r="H20" s="5">
        <v>11745247.939999999</v>
      </c>
      <c r="I20" s="5">
        <v>8041925.0800000001</v>
      </c>
      <c r="J20" s="5">
        <v>234231.39</v>
      </c>
      <c r="K20" s="5">
        <v>7164460.5999999996</v>
      </c>
      <c r="L20" s="5">
        <v>6581297.7800000003</v>
      </c>
      <c r="M20" s="5">
        <v>5870948.3899999997</v>
      </c>
      <c r="N20" s="5">
        <f t="shared" ref="N20:N35" si="4">SUM(B20:F20)</f>
        <v>27519145.590000004</v>
      </c>
    </row>
    <row r="21" spans="1:14" x14ac:dyDescent="0.25">
      <c r="A21" t="s">
        <v>310</v>
      </c>
      <c r="B21" s="5">
        <v>220469.8</v>
      </c>
      <c r="C21" s="5">
        <v>359444.27</v>
      </c>
      <c r="D21" s="5">
        <v>528840.88</v>
      </c>
      <c r="E21" s="5">
        <v>274773.03000000003</v>
      </c>
      <c r="F21" s="5">
        <v>264969.81</v>
      </c>
      <c r="G21" s="5">
        <v>165716.99</v>
      </c>
      <c r="H21" s="5">
        <v>318210.40000000002</v>
      </c>
      <c r="I21" s="5">
        <v>291283.06</v>
      </c>
      <c r="J21" s="5">
        <v>95156.13</v>
      </c>
      <c r="K21" s="5">
        <v>746391.81</v>
      </c>
      <c r="L21" s="5">
        <v>733624.47</v>
      </c>
      <c r="M21" s="5">
        <v>599161.54</v>
      </c>
      <c r="N21" s="5">
        <f t="shared" si="4"/>
        <v>1648497.7900000003</v>
      </c>
    </row>
    <row r="22" spans="1:14" x14ac:dyDescent="0.25">
      <c r="A22" t="s">
        <v>311</v>
      </c>
      <c r="B22" s="5">
        <v>58837.5</v>
      </c>
      <c r="C22" s="5">
        <v>16027.01</v>
      </c>
      <c r="D22" s="5">
        <v>26000.22</v>
      </c>
      <c r="E22" s="5">
        <v>51375.17</v>
      </c>
      <c r="F22" s="5">
        <v>34978.86</v>
      </c>
      <c r="G22" s="5">
        <v>13617.04</v>
      </c>
      <c r="H22" s="5">
        <v>23523.99</v>
      </c>
      <c r="I22" s="5">
        <v>22699.23</v>
      </c>
      <c r="J22" s="5">
        <v>9288.81</v>
      </c>
      <c r="K22" s="5">
        <v>55962.09</v>
      </c>
      <c r="L22" s="5">
        <v>8451.02</v>
      </c>
      <c r="M22" s="5">
        <v>116740.04</v>
      </c>
      <c r="N22" s="5">
        <f t="shared" si="4"/>
        <v>187218.76</v>
      </c>
    </row>
    <row r="23" spans="1:14" x14ac:dyDescent="0.25">
      <c r="A23" t="s">
        <v>380</v>
      </c>
      <c r="B23" s="5">
        <v>0</v>
      </c>
      <c r="C23" s="5">
        <v>0</v>
      </c>
      <c r="D23" s="5">
        <v>0</v>
      </c>
      <c r="E23" s="5">
        <v>0</v>
      </c>
      <c r="F23" s="5">
        <v>2079</v>
      </c>
      <c r="G23" s="5">
        <v>2011</v>
      </c>
      <c r="H23" s="5">
        <v>4004</v>
      </c>
      <c r="I23" s="5">
        <v>2894</v>
      </c>
      <c r="J23" s="5">
        <v>2154</v>
      </c>
      <c r="K23" s="5">
        <v>0</v>
      </c>
      <c r="L23" s="5">
        <v>0</v>
      </c>
      <c r="M23" s="5">
        <v>17656</v>
      </c>
      <c r="N23" s="5">
        <f t="shared" si="4"/>
        <v>2079</v>
      </c>
    </row>
    <row r="24" spans="1:14" x14ac:dyDescent="0.25">
      <c r="A24" t="s">
        <v>312</v>
      </c>
      <c r="B24" s="5">
        <v>658</v>
      </c>
      <c r="C24" s="5">
        <v>1919</v>
      </c>
      <c r="D24" s="5">
        <v>477</v>
      </c>
      <c r="E24" s="5">
        <v>592.5</v>
      </c>
      <c r="F24" s="5">
        <v>1227.5</v>
      </c>
      <c r="G24" s="5">
        <v>268</v>
      </c>
      <c r="H24" s="5">
        <v>1265</v>
      </c>
      <c r="I24" s="5">
        <v>175</v>
      </c>
      <c r="J24" s="5">
        <v>180</v>
      </c>
      <c r="K24" s="5">
        <v>0</v>
      </c>
      <c r="L24" s="5">
        <v>7165.12</v>
      </c>
      <c r="M24" s="5">
        <v>5068</v>
      </c>
      <c r="N24" s="5">
        <f t="shared" si="4"/>
        <v>4874</v>
      </c>
    </row>
    <row r="25" spans="1:14" x14ac:dyDescent="0.25">
      <c r="A25" t="s">
        <v>444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350</v>
      </c>
      <c r="I25" s="5">
        <v>132.93</v>
      </c>
      <c r="J25" s="5">
        <v>433.62</v>
      </c>
      <c r="K25" s="5">
        <v>0</v>
      </c>
      <c r="L25" s="5">
        <v>2013.62</v>
      </c>
      <c r="M25" s="5">
        <v>586.33000000000004</v>
      </c>
      <c r="N25" s="5">
        <f t="shared" si="4"/>
        <v>0</v>
      </c>
    </row>
    <row r="26" spans="1:14" x14ac:dyDescent="0.25">
      <c r="A26" t="s">
        <v>281</v>
      </c>
      <c r="B26" s="5">
        <v>19986.22</v>
      </c>
      <c r="C26" s="5">
        <v>12338.52</v>
      </c>
      <c r="D26" s="5">
        <v>39850.800000000003</v>
      </c>
      <c r="E26" s="5">
        <v>28631.47</v>
      </c>
      <c r="F26" s="5">
        <v>35548.99</v>
      </c>
      <c r="G26" s="5">
        <v>67302.78</v>
      </c>
      <c r="H26" s="5">
        <v>60835.25</v>
      </c>
      <c r="I26" s="5">
        <v>56171.75</v>
      </c>
      <c r="J26" s="5">
        <v>9266.6299999999992</v>
      </c>
      <c r="K26" s="5">
        <v>41962.28</v>
      </c>
      <c r="L26" s="5">
        <v>50487.98</v>
      </c>
      <c r="M26" s="5">
        <v>46830.64</v>
      </c>
      <c r="N26" s="5">
        <f t="shared" si="4"/>
        <v>136356</v>
      </c>
    </row>
    <row r="27" spans="1:14" x14ac:dyDescent="0.25">
      <c r="A27" t="s">
        <v>313</v>
      </c>
      <c r="B27" s="5">
        <v>-3444.15</v>
      </c>
      <c r="C27" s="5">
        <v>79.5</v>
      </c>
      <c r="D27" s="5">
        <v>-574</v>
      </c>
      <c r="E27" s="5">
        <v>602.98</v>
      </c>
      <c r="F27" s="5">
        <v>-2955.7</v>
      </c>
      <c r="G27" s="5">
        <v>-1504.23</v>
      </c>
      <c r="H27" s="5">
        <v>-2531.09</v>
      </c>
      <c r="I27" s="5">
        <v>-5366.91</v>
      </c>
      <c r="J27" s="5">
        <v>20032.54</v>
      </c>
      <c r="K27" s="5">
        <v>441.51</v>
      </c>
      <c r="L27" s="5">
        <v>-77.849999999999994</v>
      </c>
      <c r="M27" s="5">
        <v>3674.05</v>
      </c>
      <c r="N27" s="5">
        <f t="shared" si="4"/>
        <v>-6291.37</v>
      </c>
    </row>
    <row r="28" spans="1:14" x14ac:dyDescent="0.25">
      <c r="A28" t="s">
        <v>426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4018.23</v>
      </c>
      <c r="I28" s="5">
        <v>0</v>
      </c>
      <c r="J28" s="5">
        <v>-3033.23</v>
      </c>
      <c r="K28" s="5">
        <v>0</v>
      </c>
      <c r="L28" s="5">
        <v>0</v>
      </c>
      <c r="M28" s="5">
        <v>0</v>
      </c>
      <c r="N28" s="5">
        <f t="shared" si="4"/>
        <v>0</v>
      </c>
    </row>
    <row r="29" spans="1:14" x14ac:dyDescent="0.25">
      <c r="A29" t="s">
        <v>382</v>
      </c>
      <c r="B29" s="5">
        <v>0</v>
      </c>
      <c r="C29" s="5">
        <v>0</v>
      </c>
      <c r="D29" s="5">
        <v>0</v>
      </c>
      <c r="E29" s="5">
        <v>820.8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f t="shared" si="4"/>
        <v>820.8</v>
      </c>
    </row>
    <row r="30" spans="1:14" x14ac:dyDescent="0.25">
      <c r="A30" t="s">
        <v>383</v>
      </c>
      <c r="B30" s="5">
        <v>0</v>
      </c>
      <c r="C30" s="5">
        <v>1.92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f t="shared" si="4"/>
        <v>1.92</v>
      </c>
    </row>
    <row r="31" spans="1:14" x14ac:dyDescent="0.25">
      <c r="A31" t="s">
        <v>314</v>
      </c>
      <c r="B31" s="5">
        <v>720.74</v>
      </c>
      <c r="C31" s="5">
        <f>-1643.32</f>
        <v>-1643.32</v>
      </c>
      <c r="D31" s="5">
        <v>3077.78</v>
      </c>
      <c r="E31" s="5">
        <v>0</v>
      </c>
      <c r="F31" s="5">
        <f>-173.2</f>
        <v>-173.2</v>
      </c>
      <c r="G31" s="5">
        <v>1377.51</v>
      </c>
      <c r="H31" s="5">
        <v>0</v>
      </c>
      <c r="I31" s="5">
        <v>0</v>
      </c>
      <c r="J31" s="5">
        <v>0</v>
      </c>
      <c r="K31" s="5">
        <v>42</v>
      </c>
      <c r="L31" s="5">
        <v>383.88</v>
      </c>
      <c r="M31" s="5">
        <v>1117.83</v>
      </c>
      <c r="N31" s="5">
        <f t="shared" si="4"/>
        <v>1982.0000000000002</v>
      </c>
    </row>
    <row r="32" spans="1:14" x14ac:dyDescent="0.25">
      <c r="A32" t="s">
        <v>325</v>
      </c>
      <c r="B32" s="5">
        <v>0</v>
      </c>
      <c r="C32" s="5">
        <v>0</v>
      </c>
      <c r="D32" s="5">
        <v>-3.34</v>
      </c>
      <c r="E32" s="5">
        <v>0</v>
      </c>
      <c r="F32" s="5">
        <v>-38.909999999999997</v>
      </c>
      <c r="G32" s="5">
        <v>0</v>
      </c>
      <c r="H32" s="5">
        <v>-14.22</v>
      </c>
      <c r="I32" s="5">
        <v>81</v>
      </c>
      <c r="J32" s="5">
        <v>0</v>
      </c>
      <c r="K32" s="5">
        <v>0</v>
      </c>
      <c r="L32" s="5">
        <v>-22.15</v>
      </c>
      <c r="M32" s="5">
        <v>-8.6300000000000008</v>
      </c>
      <c r="N32" s="5">
        <f t="shared" si="4"/>
        <v>-42.25</v>
      </c>
    </row>
    <row r="33" spans="1:17" x14ac:dyDescent="0.25">
      <c r="A33" t="s">
        <v>381</v>
      </c>
      <c r="B33" s="5">
        <v>0</v>
      </c>
      <c r="C33" s="5">
        <v>0</v>
      </c>
      <c r="D33" s="5">
        <v>0</v>
      </c>
      <c r="E33" s="5">
        <v>0</v>
      </c>
      <c r="F33" s="5">
        <v>-4.2</v>
      </c>
      <c r="G33" s="5">
        <v>0</v>
      </c>
      <c r="H33" s="5">
        <v>-74.81</v>
      </c>
      <c r="I33" s="5">
        <v>0</v>
      </c>
      <c r="J33" s="5">
        <v>0</v>
      </c>
      <c r="K33" s="5">
        <v>0</v>
      </c>
      <c r="L33" s="5">
        <v>32</v>
      </c>
      <c r="M33" s="5">
        <v>0</v>
      </c>
      <c r="N33" s="5">
        <f t="shared" si="4"/>
        <v>-4.2</v>
      </c>
    </row>
    <row r="34" spans="1:17" x14ac:dyDescent="0.25">
      <c r="A34" t="s">
        <v>335</v>
      </c>
      <c r="B34" s="5">
        <v>34120.78</v>
      </c>
      <c r="C34" s="5">
        <v>75014.87</v>
      </c>
      <c r="D34" s="5">
        <v>138492.9</v>
      </c>
      <c r="E34" s="5">
        <v>140698.1</v>
      </c>
      <c r="F34" s="5">
        <v>179668.82</v>
      </c>
      <c r="G34" s="5">
        <v>186806.24</v>
      </c>
      <c r="H34" s="5">
        <v>212480.24</v>
      </c>
      <c r="I34" s="5">
        <v>145987.63</v>
      </c>
      <c r="J34" s="5">
        <v>15830.18</v>
      </c>
      <c r="K34" s="5">
        <v>150449.95000000001</v>
      </c>
      <c r="L34" s="5">
        <v>144675.84</v>
      </c>
      <c r="M34" s="5">
        <v>117659.55</v>
      </c>
      <c r="N34" s="5">
        <f t="shared" si="4"/>
        <v>567995.47</v>
      </c>
    </row>
    <row r="35" spans="1:17" x14ac:dyDescent="0.25">
      <c r="A35" t="s">
        <v>315</v>
      </c>
      <c r="B35" s="5">
        <v>38830.42</v>
      </c>
      <c r="C35" s="5">
        <v>54101.21</v>
      </c>
      <c r="D35" s="5">
        <v>74590.929999999993</v>
      </c>
      <c r="E35" s="5">
        <v>87541.119999999995</v>
      </c>
      <c r="F35" s="5">
        <v>119335.27</v>
      </c>
      <c r="G35" s="5">
        <v>112054.49</v>
      </c>
      <c r="H35" s="5">
        <v>145061.98000000001</v>
      </c>
      <c r="I35" s="5">
        <v>93104.73</v>
      </c>
      <c r="J35" s="5">
        <v>4132.43</v>
      </c>
      <c r="K35" s="5">
        <v>75452.13</v>
      </c>
      <c r="L35" s="5">
        <v>53898.69</v>
      </c>
      <c r="M35" s="5">
        <v>37841.97</v>
      </c>
      <c r="N35" s="5">
        <f t="shared" si="4"/>
        <v>374398.95</v>
      </c>
      <c r="P35" s="5"/>
      <c r="Q35" s="64"/>
    </row>
    <row r="36" spans="1:17" x14ac:dyDescent="0.25">
      <c r="A36" s="4" t="s">
        <v>282</v>
      </c>
      <c r="B36" s="7">
        <f t="shared" ref="B36:N36" si="5">SUM(B20:B35)</f>
        <v>1614895.55</v>
      </c>
      <c r="C36" s="7">
        <f t="shared" si="5"/>
        <v>4338856.2999999989</v>
      </c>
      <c r="D36" s="7">
        <f t="shared" si="5"/>
        <v>7178998.7699999996</v>
      </c>
      <c r="E36" s="7">
        <f t="shared" si="5"/>
        <v>7770402.29</v>
      </c>
      <c r="F36" s="7">
        <f t="shared" si="5"/>
        <v>9533879.5500000026</v>
      </c>
      <c r="G36" s="7">
        <f t="shared" si="5"/>
        <v>10709141.439999998</v>
      </c>
      <c r="H36" s="7">
        <f t="shared" si="5"/>
        <v>12512376.91</v>
      </c>
      <c r="I36" s="7">
        <f t="shared" ref="I36:L36" si="6">SUM(I20:I35)</f>
        <v>8649087.5000000019</v>
      </c>
      <c r="J36" s="7">
        <f t="shared" si="6"/>
        <v>387672.5</v>
      </c>
      <c r="K36" s="7">
        <f t="shared" si="6"/>
        <v>8235162.3700000001</v>
      </c>
      <c r="L36" s="7">
        <f t="shared" si="6"/>
        <v>7581930.4000000004</v>
      </c>
      <c r="M36" s="7">
        <f t="shared" si="5"/>
        <v>6817275.709999999</v>
      </c>
      <c r="N36" s="7">
        <f t="shared" si="5"/>
        <v>30437032.460000005</v>
      </c>
    </row>
    <row r="38" spans="1:17" ht="15.75" thickBot="1" x14ac:dyDescent="0.3">
      <c r="A38" s="4" t="s">
        <v>211</v>
      </c>
      <c r="B38" s="8">
        <f t="shared" ref="B38:H38" si="7">B17-B36</f>
        <v>711.23999999999069</v>
      </c>
      <c r="C38" s="8">
        <f t="shared" si="7"/>
        <v>78777.040000000969</v>
      </c>
      <c r="D38" s="8">
        <f t="shared" si="7"/>
        <v>65842.620000000112</v>
      </c>
      <c r="E38" s="8">
        <f t="shared" si="7"/>
        <v>140739.32999999914</v>
      </c>
      <c r="F38" s="8">
        <f t="shared" si="7"/>
        <v>125547.94999999739</v>
      </c>
      <c r="G38" s="8">
        <f t="shared" si="7"/>
        <v>130330.74000000209</v>
      </c>
      <c r="H38" s="8">
        <f t="shared" si="7"/>
        <v>199865.85000000149</v>
      </c>
      <c r="I38" s="8">
        <f t="shared" ref="I38" si="8">I17-I36</f>
        <v>78905.009999997914</v>
      </c>
      <c r="J38" s="8">
        <f>J17-J36</f>
        <v>3455.9699999999721</v>
      </c>
      <c r="K38" s="8">
        <f>K17-K36</f>
        <v>214381.79000000004</v>
      </c>
      <c r="L38" s="8">
        <f>L17-L36</f>
        <v>150180.59999999963</v>
      </c>
      <c r="M38" s="8">
        <f>M17-M36</f>
        <v>119894.50000000093</v>
      </c>
      <c r="N38" s="8">
        <f>N17-N36</f>
        <v>411618.17999999225</v>
      </c>
    </row>
    <row r="40" spans="1:17" x14ac:dyDescent="0.25">
      <c r="A40" s="4" t="s">
        <v>209</v>
      </c>
    </row>
    <row r="41" spans="1:17" x14ac:dyDescent="0.25">
      <c r="A41" s="4"/>
    </row>
    <row r="42" spans="1:17" x14ac:dyDescent="0.25">
      <c r="A42" s="4" t="s">
        <v>476</v>
      </c>
    </row>
    <row r="43" spans="1:17" x14ac:dyDescent="0.25">
      <c r="A43" t="s">
        <v>477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469372.33</v>
      </c>
      <c r="K43" s="5">
        <v>69208.52</v>
      </c>
      <c r="L43" s="5">
        <v>55700.959999999999</v>
      </c>
      <c r="M43" s="5">
        <v>107677.89</v>
      </c>
      <c r="N43" s="5">
        <f t="shared" ref="N43:N48" si="9">SUM(B43:F43)</f>
        <v>0</v>
      </c>
    </row>
    <row r="44" spans="1:17" x14ac:dyDescent="0.25">
      <c r="A44" t="s">
        <v>284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40004.019999999997</v>
      </c>
      <c r="K44" s="5">
        <v>4581.62</v>
      </c>
      <c r="L44" s="5">
        <v>3595.28</v>
      </c>
      <c r="M44" s="5">
        <v>7577.65</v>
      </c>
      <c r="N44" s="5">
        <f t="shared" si="9"/>
        <v>0</v>
      </c>
    </row>
    <row r="45" spans="1:17" x14ac:dyDescent="0.25">
      <c r="A45" t="s">
        <v>478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26663.29</v>
      </c>
      <c r="K45" s="5">
        <v>3025.85</v>
      </c>
      <c r="L45" s="5">
        <v>3179.07</v>
      </c>
      <c r="M45" s="5">
        <v>3295.91</v>
      </c>
      <c r="N45" s="5">
        <f t="shared" si="9"/>
        <v>0</v>
      </c>
    </row>
    <row r="46" spans="1:17" x14ac:dyDescent="0.25">
      <c r="A46" t="s">
        <v>484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6794.01</v>
      </c>
      <c r="K46" s="5">
        <v>762.78</v>
      </c>
      <c r="L46" s="5">
        <v>776.63</v>
      </c>
      <c r="M46" s="5">
        <v>791.1</v>
      </c>
      <c r="N46" s="5">
        <f t="shared" si="9"/>
        <v>0</v>
      </c>
    </row>
    <row r="47" spans="1:17" x14ac:dyDescent="0.25">
      <c r="A47" t="s">
        <v>479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13656.46</v>
      </c>
      <c r="K47" s="5">
        <v>1399.01</v>
      </c>
      <c r="L47" s="5">
        <v>1469.63</v>
      </c>
      <c r="M47" s="5">
        <v>1782.72</v>
      </c>
      <c r="N47" s="5">
        <f t="shared" si="9"/>
        <v>0</v>
      </c>
    </row>
    <row r="48" spans="1:17" x14ac:dyDescent="0.25">
      <c r="A48" t="s">
        <v>246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4564.87</v>
      </c>
      <c r="K48" s="5">
        <v>500</v>
      </c>
      <c r="L48" s="5">
        <v>500</v>
      </c>
      <c r="M48" s="5">
        <v>500</v>
      </c>
      <c r="N48" s="5">
        <f t="shared" si="9"/>
        <v>0</v>
      </c>
    </row>
    <row r="49" spans="1:14" x14ac:dyDescent="0.25">
      <c r="A49" s="4" t="s">
        <v>548</v>
      </c>
      <c r="B49" s="7">
        <f t="shared" ref="B49:E49" si="10">SUM(B43:B48)</f>
        <v>0</v>
      </c>
      <c r="C49" s="7">
        <f t="shared" si="10"/>
        <v>0</v>
      </c>
      <c r="D49" s="7">
        <f t="shared" si="10"/>
        <v>0</v>
      </c>
      <c r="E49" s="7">
        <f t="shared" si="10"/>
        <v>0</v>
      </c>
      <c r="F49" s="7">
        <f>SUM(F43:F48)</f>
        <v>0</v>
      </c>
      <c r="G49" s="7">
        <f>SUM(G43:G48)</f>
        <v>0</v>
      </c>
      <c r="H49" s="7">
        <f t="shared" ref="H49:M49" si="11">SUM(H43:H48)</f>
        <v>0</v>
      </c>
      <c r="I49" s="7">
        <f t="shared" si="11"/>
        <v>0</v>
      </c>
      <c r="J49" s="7">
        <f t="shared" ref="J49:L49" si="12">SUM(J43:J48)</f>
        <v>561054.98</v>
      </c>
      <c r="K49" s="7">
        <f t="shared" si="12"/>
        <v>79477.78</v>
      </c>
      <c r="L49" s="7">
        <f t="shared" si="12"/>
        <v>65221.569999999992</v>
      </c>
      <c r="M49" s="7">
        <f t="shared" si="11"/>
        <v>121625.27</v>
      </c>
      <c r="N49" s="7">
        <f>SUM(N43:N48)</f>
        <v>0</v>
      </c>
    </row>
    <row r="50" spans="1:14" x14ac:dyDescent="0.25">
      <c r="A50" s="4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</row>
    <row r="51" spans="1:14" x14ac:dyDescent="0.25">
      <c r="A51" s="4" t="s">
        <v>288</v>
      </c>
    </row>
    <row r="52" spans="1:14" x14ac:dyDescent="0.25">
      <c r="A52" t="s">
        <v>234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45000</v>
      </c>
      <c r="K52" s="5">
        <v>5000</v>
      </c>
      <c r="L52" s="5">
        <v>5000</v>
      </c>
      <c r="M52" s="5">
        <v>5000</v>
      </c>
      <c r="N52" s="5">
        <f t="shared" ref="N52:N55" si="13">SUM(B52:F52)</f>
        <v>0</v>
      </c>
    </row>
    <row r="53" spans="1:14" x14ac:dyDescent="0.25">
      <c r="A53" t="s">
        <v>291</v>
      </c>
      <c r="B53" s="5">
        <v>838.82</v>
      </c>
      <c r="C53" s="5">
        <v>672.84</v>
      </c>
      <c r="D53" s="5">
        <v>0</v>
      </c>
      <c r="E53" s="5">
        <v>0</v>
      </c>
      <c r="F53" s="5">
        <v>0</v>
      </c>
      <c r="G53" s="5">
        <v>0</v>
      </c>
      <c r="H53" s="5">
        <v>1208.07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f t="shared" si="13"/>
        <v>1511.66</v>
      </c>
    </row>
    <row r="54" spans="1:14" x14ac:dyDescent="0.25">
      <c r="A54" t="s">
        <v>238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4557.83</v>
      </c>
      <c r="K54" s="5">
        <v>502.34</v>
      </c>
      <c r="L54" s="5">
        <v>440.47</v>
      </c>
      <c r="M54" s="5">
        <v>440.47</v>
      </c>
      <c r="N54" s="5">
        <f t="shared" si="13"/>
        <v>0</v>
      </c>
    </row>
    <row r="55" spans="1:14" x14ac:dyDescent="0.25">
      <c r="A55" t="s">
        <v>292</v>
      </c>
      <c r="B55" s="5">
        <v>142.41999999999999</v>
      </c>
      <c r="C55" s="5">
        <v>418.29</v>
      </c>
      <c r="D55" s="5">
        <v>418.29</v>
      </c>
      <c r="E55" s="5">
        <v>418.29</v>
      </c>
      <c r="F55" s="5">
        <v>418.29</v>
      </c>
      <c r="G55" s="5">
        <v>418.29</v>
      </c>
      <c r="H55" s="5">
        <v>418.29</v>
      </c>
      <c r="I55" s="5">
        <v>418.29</v>
      </c>
      <c r="J55" s="5">
        <v>418.29</v>
      </c>
      <c r="K55" s="5">
        <v>418.29</v>
      </c>
      <c r="L55" s="5">
        <v>418.29</v>
      </c>
      <c r="M55" s="5">
        <v>418.29</v>
      </c>
      <c r="N55" s="5">
        <f t="shared" si="13"/>
        <v>1815.58</v>
      </c>
    </row>
    <row r="56" spans="1:14" x14ac:dyDescent="0.25">
      <c r="A56" s="4" t="s">
        <v>334</v>
      </c>
      <c r="B56" s="7">
        <f t="shared" ref="B56:M56" si="14">SUM(B52:B55)</f>
        <v>981.24</v>
      </c>
      <c r="C56" s="7">
        <f t="shared" si="14"/>
        <v>1091.1300000000001</v>
      </c>
      <c r="D56" s="7">
        <f t="shared" si="14"/>
        <v>418.29</v>
      </c>
      <c r="E56" s="7">
        <f t="shared" si="14"/>
        <v>418.29</v>
      </c>
      <c r="F56" s="7">
        <f>SUM(F52:F55)</f>
        <v>418.29</v>
      </c>
      <c r="G56" s="7">
        <f>SUM(G52:G55)</f>
        <v>418.29</v>
      </c>
      <c r="H56" s="7">
        <f t="shared" ref="H56:L56" si="15">SUM(H52:H55)</f>
        <v>1626.36</v>
      </c>
      <c r="I56" s="7">
        <f t="shared" si="15"/>
        <v>418.29</v>
      </c>
      <c r="J56" s="7">
        <f t="shared" si="15"/>
        <v>49976.12</v>
      </c>
      <c r="K56" s="7">
        <f t="shared" si="15"/>
        <v>5920.63</v>
      </c>
      <c r="L56" s="7">
        <f t="shared" si="15"/>
        <v>5858.76</v>
      </c>
      <c r="M56" s="7">
        <f t="shared" si="14"/>
        <v>5858.76</v>
      </c>
      <c r="N56" s="7">
        <f>SUM(N52:N55)</f>
        <v>3327.24</v>
      </c>
    </row>
    <row r="58" spans="1:14" x14ac:dyDescent="0.25">
      <c r="A58" s="4" t="s">
        <v>293</v>
      </c>
    </row>
    <row r="59" spans="1:14" x14ac:dyDescent="0.25">
      <c r="A59" t="s">
        <v>252</v>
      </c>
      <c r="B59" s="5">
        <v>699.09</v>
      </c>
      <c r="C59" s="5">
        <v>609.66</v>
      </c>
      <c r="D59" s="5">
        <v>670.54</v>
      </c>
      <c r="E59" s="5">
        <v>716.49</v>
      </c>
      <c r="F59" s="5">
        <v>816.61</v>
      </c>
      <c r="G59" s="5">
        <v>992.7</v>
      </c>
      <c r="H59" s="5">
        <v>1326.01</v>
      </c>
      <c r="I59" s="5">
        <v>1343.92</v>
      </c>
      <c r="J59" s="5">
        <v>562.4</v>
      </c>
      <c r="K59" s="5">
        <v>820.72</v>
      </c>
      <c r="L59" s="5">
        <v>722.29</v>
      </c>
      <c r="M59" s="5">
        <v>706.17</v>
      </c>
      <c r="N59" s="5">
        <f t="shared" ref="N59:N69" si="16">SUM(B59:F59)</f>
        <v>3512.39</v>
      </c>
    </row>
    <row r="60" spans="1:14" x14ac:dyDescent="0.25">
      <c r="A60" t="s">
        <v>256</v>
      </c>
      <c r="B60" s="5">
        <v>0</v>
      </c>
      <c r="C60" s="5">
        <v>587.5</v>
      </c>
      <c r="D60" s="5">
        <v>0</v>
      </c>
      <c r="E60" s="5">
        <v>0</v>
      </c>
      <c r="F60" s="5">
        <v>0</v>
      </c>
      <c r="G60" s="5">
        <v>99.99</v>
      </c>
      <c r="H60" s="5">
        <v>0</v>
      </c>
      <c r="I60" s="5">
        <v>225</v>
      </c>
      <c r="J60" s="5">
        <v>0</v>
      </c>
      <c r="K60" s="93" t="s">
        <v>483</v>
      </c>
      <c r="L60" s="93">
        <v>0</v>
      </c>
      <c r="M60" s="93">
        <v>0</v>
      </c>
      <c r="N60" s="5">
        <f t="shared" si="16"/>
        <v>587.5</v>
      </c>
    </row>
    <row r="61" spans="1:14" x14ac:dyDescent="0.25">
      <c r="A61" t="s">
        <v>262</v>
      </c>
      <c r="B61" s="5">
        <v>0</v>
      </c>
      <c r="C61" s="5">
        <v>0</v>
      </c>
      <c r="D61" s="5">
        <v>672.84</v>
      </c>
      <c r="E61" s="5">
        <v>672.82</v>
      </c>
      <c r="F61" s="5">
        <v>672.82</v>
      </c>
      <c r="G61" s="5">
        <v>672.82</v>
      </c>
      <c r="H61" s="5">
        <v>1390.99</v>
      </c>
      <c r="I61" s="5">
        <v>637.99</v>
      </c>
      <c r="J61" s="5">
        <v>698.79</v>
      </c>
      <c r="K61" s="5">
        <v>713.83</v>
      </c>
      <c r="L61" s="5">
        <f>698.79+60.1</f>
        <v>758.89</v>
      </c>
      <c r="M61" s="5">
        <f>-60.1+426.2</f>
        <v>366.09999999999997</v>
      </c>
      <c r="N61" s="5">
        <f t="shared" si="16"/>
        <v>2018.48</v>
      </c>
    </row>
    <row r="62" spans="1:14" x14ac:dyDescent="0.25">
      <c r="A62" t="s">
        <v>248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18056.97</v>
      </c>
      <c r="K62" s="5">
        <v>1560.44</v>
      </c>
      <c r="L62" s="5">
        <v>1560.44</v>
      </c>
      <c r="M62" s="5">
        <v>1560.43</v>
      </c>
      <c r="N62" s="5">
        <f t="shared" si="16"/>
        <v>0</v>
      </c>
    </row>
    <row r="63" spans="1:14" x14ac:dyDescent="0.25">
      <c r="A63" t="s">
        <v>362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f>5375.34+-59.98+0.1</f>
        <v>5315.4600000000009</v>
      </c>
      <c r="K63" s="5">
        <v>1024.25</v>
      </c>
      <c r="L63" s="5">
        <v>1187.3599999999999</v>
      </c>
      <c r="M63" s="5">
        <v>0</v>
      </c>
      <c r="N63" s="5">
        <f t="shared" si="16"/>
        <v>0</v>
      </c>
    </row>
    <row r="64" spans="1:14" x14ac:dyDescent="0.25">
      <c r="A64" t="s">
        <v>384</v>
      </c>
      <c r="B64" s="5">
        <v>3000</v>
      </c>
      <c r="C64" s="5">
        <v>3000</v>
      </c>
      <c r="D64" s="5">
        <v>3000</v>
      </c>
      <c r="E64" s="5">
        <v>3000</v>
      </c>
      <c r="F64" s="5">
        <v>3000</v>
      </c>
      <c r="G64" s="5">
        <v>2000</v>
      </c>
      <c r="H64" s="5">
        <v>2000</v>
      </c>
      <c r="I64" s="5">
        <v>2000</v>
      </c>
      <c r="J64" s="5">
        <v>-10897</v>
      </c>
      <c r="K64" s="5">
        <v>318.75</v>
      </c>
      <c r="L64" s="5">
        <v>318.75</v>
      </c>
      <c r="M64" s="5">
        <v>1351.39</v>
      </c>
      <c r="N64" s="5">
        <f t="shared" si="16"/>
        <v>15000</v>
      </c>
    </row>
    <row r="65" spans="1:15" x14ac:dyDescent="0.25">
      <c r="A65" t="s">
        <v>361</v>
      </c>
      <c r="B65" s="5">
        <v>3750</v>
      </c>
      <c r="C65" s="5">
        <v>3750</v>
      </c>
      <c r="D65" s="5">
        <v>3750</v>
      </c>
      <c r="E65" s="5">
        <v>3750</v>
      </c>
      <c r="F65" s="5">
        <v>3750</v>
      </c>
      <c r="G65" s="5">
        <v>3750</v>
      </c>
      <c r="H65" s="5">
        <v>3750</v>
      </c>
      <c r="I65" s="5">
        <v>3750</v>
      </c>
      <c r="J65" s="5">
        <v>3750</v>
      </c>
      <c r="K65" s="5">
        <v>3750</v>
      </c>
      <c r="L65" s="5">
        <v>3750</v>
      </c>
      <c r="M65" s="5">
        <v>3810.1</v>
      </c>
      <c r="N65" s="5">
        <f t="shared" si="16"/>
        <v>18750</v>
      </c>
    </row>
    <row r="66" spans="1:15" x14ac:dyDescent="0.25">
      <c r="A66" t="s">
        <v>480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3935.25</v>
      </c>
      <c r="K66" s="5">
        <v>712.35</v>
      </c>
      <c r="L66" s="5">
        <v>65.25</v>
      </c>
      <c r="M66" s="5">
        <v>478.49</v>
      </c>
      <c r="N66" s="5">
        <f t="shared" si="16"/>
        <v>0</v>
      </c>
    </row>
    <row r="67" spans="1:15" x14ac:dyDescent="0.25">
      <c r="A67" t="s">
        <v>385</v>
      </c>
      <c r="B67" s="5">
        <v>109</v>
      </c>
      <c r="C67" s="5">
        <v>29.99</v>
      </c>
      <c r="D67" s="5">
        <v>29.99</v>
      </c>
      <c r="E67" s="5">
        <v>29.99</v>
      </c>
      <c r="F67" s="5">
        <v>0</v>
      </c>
      <c r="G67" s="5">
        <v>29.99</v>
      </c>
      <c r="H67" s="5">
        <v>29.99</v>
      </c>
      <c r="I67" s="5">
        <v>29.99</v>
      </c>
      <c r="J67" s="93">
        <v>119.96</v>
      </c>
      <c r="K67" s="93">
        <v>0</v>
      </c>
      <c r="L67" s="93">
        <v>29.99</v>
      </c>
      <c r="M67" s="93">
        <v>29.99</v>
      </c>
      <c r="N67" s="5">
        <f t="shared" si="16"/>
        <v>198.97000000000003</v>
      </c>
    </row>
    <row r="68" spans="1:15" x14ac:dyDescent="0.25">
      <c r="A68" t="s">
        <v>247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2299.5300000000002</v>
      </c>
      <c r="K68" s="5">
        <v>159.06</v>
      </c>
      <c r="L68" s="5">
        <v>202.73</v>
      </c>
      <c r="M68" s="5">
        <v>159.06</v>
      </c>
      <c r="N68" s="5">
        <f t="shared" si="16"/>
        <v>0</v>
      </c>
    </row>
    <row r="69" spans="1:15" x14ac:dyDescent="0.25">
      <c r="A69" t="s">
        <v>475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7140.03</v>
      </c>
      <c r="K69" s="5">
        <v>0</v>
      </c>
      <c r="L69" s="5">
        <v>0</v>
      </c>
      <c r="M69" s="5">
        <v>0</v>
      </c>
      <c r="N69" s="5">
        <f t="shared" si="16"/>
        <v>0</v>
      </c>
    </row>
    <row r="70" spans="1:15" x14ac:dyDescent="0.25">
      <c r="A70" s="4" t="s">
        <v>296</v>
      </c>
      <c r="B70" s="7">
        <f t="shared" ref="B70:N70" si="17">SUM(B59:B69)</f>
        <v>7558.09</v>
      </c>
      <c r="C70" s="7">
        <f t="shared" si="17"/>
        <v>7977.15</v>
      </c>
      <c r="D70" s="7">
        <f t="shared" si="17"/>
        <v>8123.37</v>
      </c>
      <c r="E70" s="7">
        <f t="shared" si="17"/>
        <v>8169.2999999999993</v>
      </c>
      <c r="F70" s="7">
        <f t="shared" si="17"/>
        <v>8239.43</v>
      </c>
      <c r="G70" s="7">
        <f t="shared" si="17"/>
        <v>7545.5</v>
      </c>
      <c r="H70" s="7">
        <f t="shared" si="17"/>
        <v>8496.99</v>
      </c>
      <c r="I70" s="7">
        <f t="shared" si="17"/>
        <v>7986.9</v>
      </c>
      <c r="J70" s="7">
        <f t="shared" ref="J70:L70" si="18">SUM(J59:J69)</f>
        <v>30981.39</v>
      </c>
      <c r="K70" s="7">
        <f t="shared" si="18"/>
        <v>9059.4</v>
      </c>
      <c r="L70" s="7">
        <f t="shared" si="18"/>
        <v>8595.6999999999989</v>
      </c>
      <c r="M70" s="7">
        <f t="shared" si="17"/>
        <v>8461.73</v>
      </c>
      <c r="N70" s="7">
        <f t="shared" si="17"/>
        <v>40067.339999999997</v>
      </c>
    </row>
    <row r="71" spans="1:15" x14ac:dyDescent="0.25">
      <c r="A71" t="s">
        <v>245</v>
      </c>
    </row>
    <row r="72" spans="1:15" x14ac:dyDescent="0.25">
      <c r="A72" s="4" t="s">
        <v>321</v>
      </c>
    </row>
    <row r="73" spans="1:15" x14ac:dyDescent="0.25">
      <c r="A73" t="s">
        <v>322</v>
      </c>
      <c r="B73" s="5">
        <v>34022.5</v>
      </c>
      <c r="C73" s="5">
        <v>34265</v>
      </c>
      <c r="D73" s="5">
        <v>34451.25</v>
      </c>
      <c r="E73" s="5">
        <v>34845</v>
      </c>
      <c r="F73" s="5">
        <v>34565</v>
      </c>
      <c r="G73" s="5">
        <v>34906.25</v>
      </c>
      <c r="H73" s="5">
        <v>36258.75</v>
      </c>
      <c r="I73" s="5">
        <v>35423.75</v>
      </c>
      <c r="J73" s="5">
        <v>-278737.5</v>
      </c>
      <c r="K73" s="5">
        <v>0</v>
      </c>
      <c r="L73" s="5">
        <v>0</v>
      </c>
      <c r="M73" s="5">
        <v>0</v>
      </c>
      <c r="N73" s="5">
        <f t="shared" ref="N73:N75" si="19">SUM(B73:F73)</f>
        <v>172148.75</v>
      </c>
    </row>
    <row r="74" spans="1:15" x14ac:dyDescent="0.25">
      <c r="A74" s="4" t="s">
        <v>386</v>
      </c>
      <c r="B74" s="5">
        <v>0</v>
      </c>
      <c r="C74" s="5">
        <v>0</v>
      </c>
      <c r="D74" s="5">
        <v>0</v>
      </c>
      <c r="E74" s="5">
        <v>0</v>
      </c>
      <c r="F74" s="5">
        <v>31752.38</v>
      </c>
      <c r="G74" s="5">
        <v>5625.56</v>
      </c>
      <c r="H74" s="5">
        <v>4645.78</v>
      </c>
      <c r="I74" s="5">
        <v>3846.94</v>
      </c>
      <c r="J74" s="5">
        <v>3326.21</v>
      </c>
      <c r="K74" s="5">
        <v>3245.67</v>
      </c>
      <c r="L74" s="5">
        <v>3067.11</v>
      </c>
      <c r="M74" s="5">
        <v>2688.81</v>
      </c>
      <c r="N74" s="5">
        <f t="shared" si="19"/>
        <v>31752.38</v>
      </c>
    </row>
    <row r="75" spans="1:15" x14ac:dyDescent="0.25">
      <c r="A75" s="4" t="s">
        <v>270</v>
      </c>
      <c r="B75" s="5">
        <v>0</v>
      </c>
      <c r="C75" s="5">
        <v>0</v>
      </c>
      <c r="D75" s="5">
        <v>0</v>
      </c>
      <c r="E75" s="5">
        <v>-219.74</v>
      </c>
      <c r="F75" s="5">
        <v>-5033.32</v>
      </c>
      <c r="G75" s="5">
        <v>-1000</v>
      </c>
      <c r="H75" s="5">
        <v>-1033.33</v>
      </c>
      <c r="I75" s="5">
        <v>-1033.33</v>
      </c>
      <c r="J75" s="5">
        <v>-1319.44</v>
      </c>
      <c r="K75" s="5">
        <v>-1463.89</v>
      </c>
      <c r="L75" s="5">
        <v>-1416.67</v>
      </c>
      <c r="M75" s="5">
        <v>-1475</v>
      </c>
      <c r="N75" s="5">
        <f t="shared" si="19"/>
        <v>-5253.0599999999995</v>
      </c>
    </row>
    <row r="76" spans="1:15" x14ac:dyDescent="0.25">
      <c r="A76" s="4" t="s">
        <v>323</v>
      </c>
      <c r="B76" s="7">
        <f>SUM(B73:B75)</f>
        <v>34022.5</v>
      </c>
      <c r="C76" s="7">
        <f t="shared" ref="C76:M76" si="20">SUM(C73:C75)</f>
        <v>34265</v>
      </c>
      <c r="D76" s="7">
        <f t="shared" si="20"/>
        <v>34451.25</v>
      </c>
      <c r="E76" s="7">
        <f t="shared" si="20"/>
        <v>34625.26</v>
      </c>
      <c r="F76" s="7">
        <f>SUM(F73:F75)</f>
        <v>61284.060000000005</v>
      </c>
      <c r="G76" s="7">
        <f>SUM(G73:G75)</f>
        <v>39531.81</v>
      </c>
      <c r="H76" s="7">
        <f t="shared" ref="H76:L76" si="21">SUM(H73:H75)</f>
        <v>39871.199999999997</v>
      </c>
      <c r="I76" s="7">
        <f t="shared" si="21"/>
        <v>38237.360000000001</v>
      </c>
      <c r="J76" s="7">
        <f t="shared" si="21"/>
        <v>-276730.73</v>
      </c>
      <c r="K76" s="7">
        <f t="shared" si="21"/>
        <v>1781.78</v>
      </c>
      <c r="L76" s="7">
        <f t="shared" si="21"/>
        <v>1650.44</v>
      </c>
      <c r="M76" s="7">
        <f t="shared" si="20"/>
        <v>1213.81</v>
      </c>
      <c r="N76" s="7">
        <f>SUM(N73:N75)</f>
        <v>198648.07</v>
      </c>
    </row>
    <row r="78" spans="1:15" ht="15.75" thickBot="1" x14ac:dyDescent="0.3">
      <c r="A78" s="4" t="s">
        <v>210</v>
      </c>
      <c r="B78" s="8">
        <f t="shared" ref="B78:I78" si="22">B56+B70+B76+B49</f>
        <v>42561.83</v>
      </c>
      <c r="C78" s="8">
        <f t="shared" si="22"/>
        <v>43333.279999999999</v>
      </c>
      <c r="D78" s="8">
        <f t="shared" si="22"/>
        <v>42992.91</v>
      </c>
      <c r="E78" s="8">
        <f t="shared" si="22"/>
        <v>43212.850000000006</v>
      </c>
      <c r="F78" s="8">
        <f t="shared" si="22"/>
        <v>69941.78</v>
      </c>
      <c r="G78" s="8">
        <f t="shared" si="22"/>
        <v>47495.6</v>
      </c>
      <c r="H78" s="8">
        <f t="shared" si="22"/>
        <v>49994.549999999996</v>
      </c>
      <c r="I78" s="8">
        <f t="shared" si="22"/>
        <v>46642.55</v>
      </c>
      <c r="J78" s="8">
        <f>J56+J70+J76+J49</f>
        <v>365281.76</v>
      </c>
      <c r="K78" s="8">
        <f>K56+K70+K76+K49</f>
        <v>96239.59</v>
      </c>
      <c r="L78" s="8">
        <f>L56+L70+L76+L49</f>
        <v>81326.469999999987</v>
      </c>
      <c r="M78" s="8">
        <f>M56+M70+M76+M49</f>
        <v>137159.57</v>
      </c>
      <c r="N78" s="8">
        <f>N56+N70+N76+N49</f>
        <v>242042.65</v>
      </c>
    </row>
    <row r="80" spans="1:15" ht="15.75" thickBot="1" x14ac:dyDescent="0.3">
      <c r="A80" s="4" t="s">
        <v>300</v>
      </c>
      <c r="B80" s="9">
        <f t="shared" ref="B80:N80" si="23">B38-B78</f>
        <v>-41850.590000000011</v>
      </c>
      <c r="C80" s="9">
        <f t="shared" si="23"/>
        <v>35443.76000000097</v>
      </c>
      <c r="D80" s="9">
        <f t="shared" si="23"/>
        <v>22849.710000000108</v>
      </c>
      <c r="E80" s="9">
        <f t="shared" si="23"/>
        <v>97526.479999999137</v>
      </c>
      <c r="F80" s="9">
        <f t="shared" si="23"/>
        <v>55606.169999997393</v>
      </c>
      <c r="G80" s="9">
        <f t="shared" si="23"/>
        <v>82835.14000000208</v>
      </c>
      <c r="H80" s="9">
        <f t="shared" si="23"/>
        <v>149871.3000000015</v>
      </c>
      <c r="I80" s="9">
        <f t="shared" si="23"/>
        <v>32262.459999997911</v>
      </c>
      <c r="J80" s="9">
        <f t="shared" ref="J80:L80" si="24">J38-J78</f>
        <v>-361825.79000000004</v>
      </c>
      <c r="K80" s="9">
        <f t="shared" si="24"/>
        <v>118142.20000000004</v>
      </c>
      <c r="L80" s="9">
        <f t="shared" si="24"/>
        <v>68854.129999999641</v>
      </c>
      <c r="M80" s="9">
        <f>M38-M78</f>
        <v>-17265.069999999076</v>
      </c>
      <c r="N80" s="9">
        <f t="shared" si="23"/>
        <v>169575.52999999226</v>
      </c>
      <c r="O80"/>
    </row>
    <row r="81" ht="15.75" thickTop="1" x14ac:dyDescent="0.25"/>
  </sheetData>
  <mergeCells count="3">
    <mergeCell ref="A1:N1"/>
    <mergeCell ref="A2:N2"/>
    <mergeCell ref="A3:N3"/>
  </mergeCells>
  <pageMargins left="0.7" right="0.7" top="0.75" bottom="0.75" header="0.3" footer="0.3"/>
  <pageSetup paperSize="5" scale="68" fitToHeight="0" orientation="landscape" r:id="rId1"/>
  <rowBreaks count="1" manualBreakCount="1">
    <brk id="5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  <pageSetUpPr fitToPage="1"/>
  </sheetPr>
  <dimension ref="A1:O22"/>
  <sheetViews>
    <sheetView zoomScaleNormal="100" workbookViewId="0">
      <pane ySplit="6" topLeftCell="A7" activePane="bottomLeft" state="frozen"/>
      <selection activeCell="C20" sqref="C20"/>
      <selection pane="bottomLeft" activeCell="I29" sqref="I29"/>
    </sheetView>
  </sheetViews>
  <sheetFormatPr defaultRowHeight="15" x14ac:dyDescent="0.25"/>
  <cols>
    <col min="1" max="1" width="41.28515625" bestFit="1" customWidth="1"/>
    <col min="2" max="13" width="13.28515625" style="5" bestFit="1" customWidth="1"/>
    <col min="14" max="14" width="14.28515625" style="5" bestFit="1" customWidth="1"/>
    <col min="15" max="15" width="9.140625" style="5" customWidth="1"/>
  </cols>
  <sheetData>
    <row r="1" spans="1:14" x14ac:dyDescent="0.25">
      <c r="A1" s="251" t="s">
        <v>327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 x14ac:dyDescent="0.25">
      <c r="A2" s="251" t="s">
        <v>274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</row>
    <row r="3" spans="1:14" x14ac:dyDescent="0.25">
      <c r="A3" s="251">
        <v>2018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</row>
    <row r="4" spans="1:14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B6" s="10" t="s">
        <v>301</v>
      </c>
      <c r="C6" s="10" t="s">
        <v>302</v>
      </c>
      <c r="D6" s="10" t="s">
        <v>303</v>
      </c>
      <c r="E6" s="10" t="s">
        <v>304</v>
      </c>
      <c r="F6" s="10" t="s">
        <v>378</v>
      </c>
      <c r="G6" s="10" t="s">
        <v>420</v>
      </c>
      <c r="H6" s="10" t="s">
        <v>440</v>
      </c>
      <c r="I6" s="10" t="s">
        <v>450</v>
      </c>
      <c r="J6" s="10" t="s">
        <v>464</v>
      </c>
      <c r="K6" s="10" t="s">
        <v>482</v>
      </c>
      <c r="L6" s="10" t="s">
        <v>485</v>
      </c>
      <c r="M6" s="10" t="s">
        <v>538</v>
      </c>
      <c r="N6" s="10" t="s">
        <v>207</v>
      </c>
    </row>
    <row r="8" spans="1:14" s="5" customFormat="1" x14ac:dyDescent="0.25">
      <c r="A8" s="4" t="s">
        <v>293</v>
      </c>
    </row>
    <row r="9" spans="1:14" s="5" customFormat="1" x14ac:dyDescent="0.25">
      <c r="A9" t="s">
        <v>545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4281.26</v>
      </c>
      <c r="N9" s="5">
        <f>SUM(B9:F9)</f>
        <v>0</v>
      </c>
    </row>
    <row r="10" spans="1:14" s="5" customFormat="1" x14ac:dyDescent="0.25">
      <c r="A10" t="s">
        <v>252</v>
      </c>
      <c r="B10" s="5">
        <v>218.79</v>
      </c>
      <c r="C10" s="5">
        <v>218.72</v>
      </c>
      <c r="D10" s="5">
        <v>219.51</v>
      </c>
      <c r="E10" s="5">
        <v>218.41</v>
      </c>
      <c r="F10" s="5">
        <v>216.38</v>
      </c>
      <c r="G10" s="5">
        <v>185.13</v>
      </c>
      <c r="H10" s="5">
        <v>185.13</v>
      </c>
      <c r="I10" s="5">
        <v>185.13</v>
      </c>
      <c r="J10" s="5">
        <v>186.01</v>
      </c>
      <c r="K10" s="5">
        <v>196.3</v>
      </c>
      <c r="L10" s="5">
        <v>185.36</v>
      </c>
      <c r="M10" s="5">
        <v>204.12</v>
      </c>
      <c r="N10" s="5">
        <f t="shared" ref="N10:N13" si="0">SUM(B10:F10)</f>
        <v>1091.81</v>
      </c>
    </row>
    <row r="11" spans="1:14" s="5" customFormat="1" x14ac:dyDescent="0.25">
      <c r="A11" t="s">
        <v>328</v>
      </c>
      <c r="B11" s="5">
        <v>109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f t="shared" si="0"/>
        <v>109</v>
      </c>
    </row>
    <row r="12" spans="1:14" s="5" customFormat="1" x14ac:dyDescent="0.25">
      <c r="A12" t="s">
        <v>362</v>
      </c>
      <c r="B12" s="5">
        <v>0</v>
      </c>
      <c r="C12" s="5">
        <v>0</v>
      </c>
      <c r="D12" s="5">
        <v>0</v>
      </c>
      <c r="E12" s="5">
        <v>0</v>
      </c>
      <c r="F12" s="5">
        <v>1250</v>
      </c>
      <c r="G12" s="5">
        <v>1250</v>
      </c>
      <c r="H12" s="5">
        <v>1250</v>
      </c>
      <c r="I12" s="5">
        <v>3750</v>
      </c>
      <c r="J12" s="5">
        <v>3750</v>
      </c>
      <c r="K12" s="5">
        <v>3750</v>
      </c>
      <c r="L12" s="5">
        <v>3750</v>
      </c>
      <c r="M12" s="5">
        <v>3750</v>
      </c>
      <c r="N12" s="5">
        <f t="shared" si="0"/>
        <v>1250</v>
      </c>
    </row>
    <row r="13" spans="1:14" s="5" customFormat="1" x14ac:dyDescent="0.25">
      <c r="A13" t="s">
        <v>422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270</v>
      </c>
      <c r="H13" s="5">
        <v>384.17</v>
      </c>
      <c r="I13" s="5">
        <v>384.17</v>
      </c>
      <c r="J13" s="5">
        <v>384.17</v>
      </c>
      <c r="K13" s="5">
        <v>384.17</v>
      </c>
      <c r="L13" s="5">
        <v>384.17</v>
      </c>
      <c r="M13" s="5">
        <v>384.15</v>
      </c>
      <c r="N13" s="5">
        <f t="shared" si="0"/>
        <v>0</v>
      </c>
    </row>
    <row r="14" spans="1:14" s="5" customFormat="1" x14ac:dyDescent="0.25">
      <c r="A14" s="4" t="s">
        <v>296</v>
      </c>
      <c r="B14" s="7">
        <f t="shared" ref="B14:N14" si="1">SUM(B9:B13)</f>
        <v>327.78999999999996</v>
      </c>
      <c r="C14" s="7">
        <f t="shared" si="1"/>
        <v>218.72</v>
      </c>
      <c r="D14" s="7">
        <f t="shared" si="1"/>
        <v>219.51</v>
      </c>
      <c r="E14" s="7">
        <f t="shared" si="1"/>
        <v>218.41</v>
      </c>
      <c r="F14" s="7">
        <f t="shared" si="1"/>
        <v>1466.38</v>
      </c>
      <c r="G14" s="7">
        <f t="shared" si="1"/>
        <v>1705.13</v>
      </c>
      <c r="H14" s="7">
        <f t="shared" si="1"/>
        <v>1819.3000000000002</v>
      </c>
      <c r="I14" s="7">
        <f t="shared" si="1"/>
        <v>4319.3</v>
      </c>
      <c r="J14" s="7">
        <f t="shared" si="1"/>
        <v>4320.18</v>
      </c>
      <c r="K14" s="7">
        <f t="shared" si="1"/>
        <v>4330.47</v>
      </c>
      <c r="L14" s="7">
        <f t="shared" si="1"/>
        <v>4319.53</v>
      </c>
      <c r="M14" s="7">
        <f t="shared" si="1"/>
        <v>8619.5300000000007</v>
      </c>
      <c r="N14" s="7">
        <f t="shared" si="1"/>
        <v>2450.81</v>
      </c>
    </row>
    <row r="15" spans="1:14" s="5" customFormat="1" x14ac:dyDescent="0.25">
      <c r="A15" t="s">
        <v>245</v>
      </c>
    </row>
    <row r="16" spans="1:14" s="5" customFormat="1" x14ac:dyDescent="0.25">
      <c r="A16" s="4" t="s">
        <v>321</v>
      </c>
    </row>
    <row r="17" spans="1:15" s="5" customFormat="1" x14ac:dyDescent="0.25">
      <c r="A17" t="s">
        <v>270</v>
      </c>
      <c r="B17" s="5">
        <v>3744.3</v>
      </c>
      <c r="C17" s="5">
        <v>2815.01</v>
      </c>
      <c r="D17" s="5">
        <v>3116.6</v>
      </c>
      <c r="E17" s="5">
        <v>2687.25</v>
      </c>
      <c r="F17" s="5">
        <v>3286.89</v>
      </c>
      <c r="G17" s="5">
        <v>5798.93</v>
      </c>
      <c r="H17" s="5">
        <v>5986.2</v>
      </c>
      <c r="I17" s="5">
        <v>8330.66</v>
      </c>
      <c r="J17" s="5">
        <v>3960.03</v>
      </c>
      <c r="K17" s="5">
        <v>4092.03</v>
      </c>
      <c r="L17" s="5">
        <v>4126.74</v>
      </c>
      <c r="M17" s="5">
        <v>3984.62</v>
      </c>
      <c r="N17" s="5">
        <f>SUM(B17:F17)</f>
        <v>15650.05</v>
      </c>
    </row>
    <row r="18" spans="1:15" s="5" customFormat="1" x14ac:dyDescent="0.25">
      <c r="A18" t="s">
        <v>271</v>
      </c>
      <c r="B18" s="5">
        <v>-881.76</v>
      </c>
      <c r="C18" s="5">
        <v>-506.4</v>
      </c>
      <c r="D18" s="5">
        <v>-560.66</v>
      </c>
      <c r="E18" s="5">
        <v>-542.57000000000005</v>
      </c>
      <c r="F18" s="5">
        <v>-280.69</v>
      </c>
      <c r="G18" s="5">
        <v>-562.42999999999995</v>
      </c>
      <c r="H18" s="5">
        <v>-581.17999999999995</v>
      </c>
      <c r="I18" s="5">
        <v>-554.73</v>
      </c>
      <c r="J18" s="5">
        <v>-231.6</v>
      </c>
      <c r="K18" s="5">
        <v>-239.32</v>
      </c>
      <c r="L18" s="5">
        <v>-231.6</v>
      </c>
      <c r="M18" s="5">
        <v>-239.32</v>
      </c>
      <c r="N18" s="5">
        <f>SUM(B18:F18)</f>
        <v>-2772.08</v>
      </c>
    </row>
    <row r="19" spans="1:15" s="5" customFormat="1" x14ac:dyDescent="0.25">
      <c r="A19" s="4" t="s">
        <v>323</v>
      </c>
      <c r="B19" s="7">
        <f t="shared" ref="B19:N19" si="2">SUM(B17:B18)</f>
        <v>2862.54</v>
      </c>
      <c r="C19" s="7">
        <f t="shared" si="2"/>
        <v>2308.61</v>
      </c>
      <c r="D19" s="7">
        <f t="shared" si="2"/>
        <v>2555.94</v>
      </c>
      <c r="E19" s="7">
        <f t="shared" si="2"/>
        <v>2144.6799999999998</v>
      </c>
      <c r="F19" s="7">
        <f t="shared" si="2"/>
        <v>3006.2</v>
      </c>
      <c r="G19" s="7">
        <f t="shared" si="2"/>
        <v>5236.5</v>
      </c>
      <c r="H19" s="7">
        <f t="shared" si="2"/>
        <v>5405.0199999999995</v>
      </c>
      <c r="I19" s="7">
        <f t="shared" ref="I19:L19" si="3">SUM(I17:I18)</f>
        <v>7775.93</v>
      </c>
      <c r="J19" s="7">
        <f t="shared" si="3"/>
        <v>3728.4300000000003</v>
      </c>
      <c r="K19" s="7">
        <f t="shared" si="3"/>
        <v>3852.71</v>
      </c>
      <c r="L19" s="7">
        <f t="shared" si="3"/>
        <v>3895.14</v>
      </c>
      <c r="M19" s="7">
        <f t="shared" si="2"/>
        <v>3745.2999999999997</v>
      </c>
      <c r="N19" s="7">
        <f t="shared" si="2"/>
        <v>12877.97</v>
      </c>
    </row>
    <row r="21" spans="1:15" ht="15.75" thickBot="1" x14ac:dyDescent="0.3">
      <c r="A21" s="4" t="s">
        <v>300</v>
      </c>
      <c r="B21" s="9">
        <f t="shared" ref="B21:N21" si="4">B19-B14</f>
        <v>2534.75</v>
      </c>
      <c r="C21" s="9">
        <f t="shared" si="4"/>
        <v>2089.8900000000003</v>
      </c>
      <c r="D21" s="9">
        <f t="shared" si="4"/>
        <v>2336.4300000000003</v>
      </c>
      <c r="E21" s="9">
        <f t="shared" si="4"/>
        <v>1926.2699999999998</v>
      </c>
      <c r="F21" s="9">
        <f t="shared" si="4"/>
        <v>1539.8199999999997</v>
      </c>
      <c r="G21" s="9">
        <f t="shared" si="4"/>
        <v>3531.37</v>
      </c>
      <c r="H21" s="9">
        <f t="shared" si="4"/>
        <v>3585.7199999999993</v>
      </c>
      <c r="I21" s="9">
        <f t="shared" ref="I21:L21" si="5">I19-I14</f>
        <v>3456.63</v>
      </c>
      <c r="J21" s="9">
        <f t="shared" si="5"/>
        <v>-591.75</v>
      </c>
      <c r="K21" s="9">
        <f t="shared" si="5"/>
        <v>-477.76000000000022</v>
      </c>
      <c r="L21" s="9">
        <f t="shared" si="5"/>
        <v>-424.38999999999987</v>
      </c>
      <c r="M21" s="9">
        <f t="shared" si="4"/>
        <v>-4874.2300000000014</v>
      </c>
      <c r="N21" s="9">
        <f t="shared" si="4"/>
        <v>10427.16</v>
      </c>
      <c r="O21"/>
    </row>
    <row r="22" spans="1:15" ht="15.75" thickTop="1" x14ac:dyDescent="0.25"/>
  </sheetData>
  <mergeCells count="3">
    <mergeCell ref="A1:N1"/>
    <mergeCell ref="A2:N2"/>
    <mergeCell ref="A3:N3"/>
  </mergeCells>
  <pageMargins left="0.7" right="0.7" top="0.75" bottom="0.75" header="0.3" footer="0.3"/>
  <pageSetup paperSize="5" scale="7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  <pageSetUpPr fitToPage="1"/>
  </sheetPr>
  <dimension ref="A1:P86"/>
  <sheetViews>
    <sheetView view="pageBreakPreview" zoomScale="60" zoomScaleNormal="100" workbookViewId="0">
      <pane ySplit="6" topLeftCell="A52" activePane="bottomLeft" state="frozen"/>
      <selection activeCell="C20" sqref="C20"/>
      <selection pane="bottomLeft" activeCell="G93" sqref="G93"/>
    </sheetView>
  </sheetViews>
  <sheetFormatPr defaultRowHeight="15" x14ac:dyDescent="0.25"/>
  <cols>
    <col min="1" max="1" width="44.42578125" bestFit="1" customWidth="1"/>
    <col min="2" max="3" width="13" style="5" bestFit="1" customWidth="1"/>
    <col min="4" max="4" width="13.42578125" style="5" bestFit="1" customWidth="1"/>
    <col min="5" max="6" width="13" style="5" bestFit="1" customWidth="1"/>
    <col min="7" max="7" width="13" style="5" customWidth="1"/>
    <col min="8" max="13" width="13" style="5" bestFit="1" customWidth="1"/>
    <col min="14" max="14" width="13.42578125" style="5" bestFit="1" customWidth="1"/>
    <col min="15" max="15" width="9.140625" style="5" customWidth="1"/>
    <col min="16" max="16" width="9.5703125" bestFit="1" customWidth="1"/>
    <col min="18" max="18" width="11.5703125" bestFit="1" customWidth="1"/>
  </cols>
  <sheetData>
    <row r="1" spans="1:15" x14ac:dyDescent="0.25">
      <c r="A1" s="251" t="s">
        <v>348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5" x14ac:dyDescent="0.25">
      <c r="A2" s="251" t="s">
        <v>274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</row>
    <row r="3" spans="1:15" x14ac:dyDescent="0.25">
      <c r="A3" s="251">
        <v>2018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</row>
    <row r="4" spans="1:15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5" x14ac:dyDescent="0.25">
      <c r="B6" s="10" t="s">
        <v>301</v>
      </c>
      <c r="C6" s="10" t="s">
        <v>302</v>
      </c>
      <c r="D6" s="10" t="s">
        <v>303</v>
      </c>
      <c r="E6" s="10" t="s">
        <v>304</v>
      </c>
      <c r="F6" s="10" t="s">
        <v>378</v>
      </c>
      <c r="G6" s="10" t="s">
        <v>420</v>
      </c>
      <c r="H6" s="10" t="s">
        <v>440</v>
      </c>
      <c r="I6" s="10" t="s">
        <v>450</v>
      </c>
      <c r="J6" s="10" t="s">
        <v>464</v>
      </c>
      <c r="K6" s="10" t="s">
        <v>482</v>
      </c>
      <c r="L6" s="10" t="s">
        <v>485</v>
      </c>
      <c r="M6" s="10" t="s">
        <v>538</v>
      </c>
      <c r="N6" s="10" t="s">
        <v>207</v>
      </c>
    </row>
    <row r="7" spans="1:15" x14ac:dyDescent="0.25">
      <c r="A7" s="4" t="s">
        <v>62</v>
      </c>
    </row>
    <row r="8" spans="1:15" x14ac:dyDescent="0.25">
      <c r="A8" t="s">
        <v>488</v>
      </c>
      <c r="B8" s="5">
        <v>365</v>
      </c>
      <c r="C8" s="5">
        <v>372</v>
      </c>
      <c r="D8" s="5">
        <v>340</v>
      </c>
      <c r="E8" s="5">
        <v>208</v>
      </c>
      <c r="F8" s="5">
        <v>0</v>
      </c>
      <c r="G8" s="5">
        <v>65</v>
      </c>
      <c r="H8" s="5">
        <v>0</v>
      </c>
      <c r="I8" s="5">
        <v>0</v>
      </c>
      <c r="J8" s="5">
        <v>0</v>
      </c>
      <c r="K8" s="5">
        <v>262</v>
      </c>
      <c r="L8" s="5">
        <v>0</v>
      </c>
      <c r="M8" s="5">
        <v>0</v>
      </c>
      <c r="N8" s="5">
        <f>SUM(B8:F8)</f>
        <v>1285</v>
      </c>
    </row>
    <row r="9" spans="1:15" x14ac:dyDescent="0.25">
      <c r="A9" t="s">
        <v>349</v>
      </c>
      <c r="B9" s="5">
        <v>697</v>
      </c>
      <c r="C9" s="5">
        <v>736</v>
      </c>
      <c r="D9" s="5">
        <v>692</v>
      </c>
      <c r="E9" s="5">
        <v>462</v>
      </c>
      <c r="F9" s="5">
        <v>0</v>
      </c>
      <c r="G9" s="5">
        <v>89</v>
      </c>
      <c r="H9" s="5">
        <v>0</v>
      </c>
      <c r="I9" s="5">
        <v>0</v>
      </c>
      <c r="J9" s="5">
        <v>0</v>
      </c>
      <c r="K9" s="5">
        <v>327</v>
      </c>
      <c r="L9" s="5">
        <v>4762.76</v>
      </c>
      <c r="M9" s="5">
        <v>0</v>
      </c>
      <c r="N9" s="5">
        <f t="shared" ref="N9:N13" si="0">SUM(B9:F9)</f>
        <v>2587</v>
      </c>
    </row>
    <row r="10" spans="1:15" x14ac:dyDescent="0.25">
      <c r="A10" t="s">
        <v>372</v>
      </c>
      <c r="B10" s="5">
        <v>207.81</v>
      </c>
      <c r="C10" s="5">
        <v>0</v>
      </c>
      <c r="D10" s="5">
        <v>101.02</v>
      </c>
      <c r="E10" s="5">
        <f>55.84+184</f>
        <v>239.84</v>
      </c>
      <c r="F10" s="5">
        <v>52.71</v>
      </c>
      <c r="G10" s="5">
        <v>12.7</v>
      </c>
      <c r="H10" s="5">
        <v>0</v>
      </c>
      <c r="I10" s="5">
        <v>0</v>
      </c>
      <c r="J10" s="5">
        <v>0</v>
      </c>
      <c r="K10" s="5">
        <v>72.95</v>
      </c>
      <c r="L10" s="5">
        <v>62.31</v>
      </c>
      <c r="M10" s="5">
        <v>373</v>
      </c>
      <c r="N10" s="5">
        <f t="shared" si="0"/>
        <v>601.38</v>
      </c>
    </row>
    <row r="11" spans="1:15" x14ac:dyDescent="0.25">
      <c r="A11" t="s">
        <v>351</v>
      </c>
      <c r="B11" s="5">
        <v>904.5</v>
      </c>
      <c r="C11" s="5">
        <v>1299.6300000000001</v>
      </c>
      <c r="D11" s="5">
        <v>1258.3699999999999</v>
      </c>
      <c r="E11" s="5">
        <v>992.9</v>
      </c>
      <c r="F11" s="5">
        <v>403.64</v>
      </c>
      <c r="G11" s="5">
        <v>147.37</v>
      </c>
      <c r="H11" s="5">
        <v>0</v>
      </c>
      <c r="I11" s="5">
        <v>76.73</v>
      </c>
      <c r="J11" s="5">
        <v>1350</v>
      </c>
      <c r="K11" s="5">
        <v>58.37</v>
      </c>
      <c r="L11" s="5">
        <v>227.76</v>
      </c>
      <c r="M11" s="5">
        <v>745.01</v>
      </c>
      <c r="N11" s="5">
        <f t="shared" si="0"/>
        <v>4859.04</v>
      </c>
    </row>
    <row r="12" spans="1:15" x14ac:dyDescent="0.25">
      <c r="A12" t="s">
        <v>350</v>
      </c>
      <c r="B12" s="5">
        <v>55.65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f t="shared" si="0"/>
        <v>55.65</v>
      </c>
    </row>
    <row r="13" spans="1:15" x14ac:dyDescent="0.25">
      <c r="A13" t="s">
        <v>352</v>
      </c>
      <c r="B13" s="5">
        <v>140541.41</v>
      </c>
      <c r="C13" s="5">
        <v>129527.17</v>
      </c>
      <c r="D13" s="5">
        <v>122190.47</v>
      </c>
      <c r="E13" s="5">
        <v>75732.429999999993</v>
      </c>
      <c r="F13" s="5">
        <v>28298</v>
      </c>
      <c r="G13" s="5">
        <v>13693.62</v>
      </c>
      <c r="H13" s="5">
        <v>7035</v>
      </c>
      <c r="I13" s="5">
        <v>12270</v>
      </c>
      <c r="J13" s="5">
        <v>6947</v>
      </c>
      <c r="K13" s="5">
        <v>14567</v>
      </c>
      <c r="L13" s="5">
        <v>124746.5</v>
      </c>
      <c r="M13" s="5">
        <v>99301.91</v>
      </c>
      <c r="N13" s="5">
        <f t="shared" si="0"/>
        <v>496289.48000000004</v>
      </c>
      <c r="O13" s="5">
        <f>N13-774850.51</f>
        <v>-278561.02999999997</v>
      </c>
    </row>
    <row r="14" spans="1:15" s="5" customFormat="1" x14ac:dyDescent="0.25">
      <c r="A14" s="4" t="s">
        <v>223</v>
      </c>
      <c r="B14" s="7">
        <f t="shared" ref="B14:N14" si="1">SUM(B8:B13)</f>
        <v>142771.37</v>
      </c>
      <c r="C14" s="7">
        <f t="shared" si="1"/>
        <v>131934.79999999999</v>
      </c>
      <c r="D14" s="7">
        <f t="shared" si="1"/>
        <v>124581.86</v>
      </c>
      <c r="E14" s="7">
        <f t="shared" si="1"/>
        <v>77635.17</v>
      </c>
      <c r="F14" s="7">
        <f t="shared" si="1"/>
        <v>28754.35</v>
      </c>
      <c r="G14" s="7">
        <f t="shared" si="1"/>
        <v>14007.69</v>
      </c>
      <c r="H14" s="7">
        <f t="shared" si="1"/>
        <v>7035</v>
      </c>
      <c r="I14" s="7">
        <f t="shared" si="1"/>
        <v>12346.73</v>
      </c>
      <c r="J14" s="7">
        <f t="shared" si="1"/>
        <v>8297</v>
      </c>
      <c r="K14" s="7">
        <f t="shared" si="1"/>
        <v>15287.32</v>
      </c>
      <c r="L14" s="7">
        <f t="shared" ref="L14" si="2">SUM(L8:L13)</f>
        <v>129799.33</v>
      </c>
      <c r="M14" s="7">
        <f t="shared" si="1"/>
        <v>100419.92</v>
      </c>
      <c r="N14" s="7">
        <f t="shared" si="1"/>
        <v>505677.55000000005</v>
      </c>
    </row>
    <row r="16" spans="1:15" s="5" customFormat="1" x14ac:dyDescent="0.25">
      <c r="A16" s="4"/>
    </row>
    <row r="17" spans="1:14" s="5" customFormat="1" x14ac:dyDescent="0.25">
      <c r="A17" t="s">
        <v>353</v>
      </c>
      <c r="B17" s="5">
        <v>489.92</v>
      </c>
      <c r="C17" s="5">
        <v>578.66999999999996</v>
      </c>
      <c r="D17" s="5">
        <v>0</v>
      </c>
      <c r="E17" s="5">
        <v>0</v>
      </c>
      <c r="F17" s="5">
        <v>0</v>
      </c>
      <c r="G17" s="5">
        <v>579.63</v>
      </c>
      <c r="H17" s="5">
        <v>0</v>
      </c>
      <c r="I17" s="5">
        <v>0</v>
      </c>
      <c r="J17" s="5">
        <v>0</v>
      </c>
      <c r="K17" s="5">
        <v>0</v>
      </c>
      <c r="L17" s="5">
        <v>281.19</v>
      </c>
      <c r="M17" s="5">
        <v>0</v>
      </c>
      <c r="N17" s="5">
        <f>SUM(B17:F17)</f>
        <v>1068.5899999999999</v>
      </c>
    </row>
    <row r="18" spans="1:14" s="5" customFormat="1" x14ac:dyDescent="0.25">
      <c r="A18" s="4" t="s">
        <v>282</v>
      </c>
      <c r="B18" s="7">
        <f t="shared" ref="B18:M18" si="3">SUM(B17:B17)</f>
        <v>489.92</v>
      </c>
      <c r="C18" s="7">
        <f t="shared" si="3"/>
        <v>578.66999999999996</v>
      </c>
      <c r="D18" s="7">
        <f t="shared" si="3"/>
        <v>0</v>
      </c>
      <c r="E18" s="7">
        <f t="shared" si="3"/>
        <v>0</v>
      </c>
      <c r="F18" s="7">
        <f>SUM(F17:F17)</f>
        <v>0</v>
      </c>
      <c r="G18" s="7">
        <f t="shared" ref="G18:L18" si="4">SUM(G17:G17)</f>
        <v>579.63</v>
      </c>
      <c r="H18" s="7">
        <f t="shared" si="4"/>
        <v>0</v>
      </c>
      <c r="I18" s="7">
        <f t="shared" si="4"/>
        <v>0</v>
      </c>
      <c r="J18" s="7">
        <f t="shared" si="4"/>
        <v>0</v>
      </c>
      <c r="K18" s="7">
        <f t="shared" si="4"/>
        <v>0</v>
      </c>
      <c r="L18" s="7">
        <f t="shared" si="4"/>
        <v>281.19</v>
      </c>
      <c r="M18" s="7">
        <f t="shared" si="3"/>
        <v>0</v>
      </c>
      <c r="N18" s="7">
        <f>SUM(N17:N17)</f>
        <v>1068.5899999999999</v>
      </c>
    </row>
    <row r="20" spans="1:14" s="5" customFormat="1" ht="15.75" thickBot="1" x14ac:dyDescent="0.3">
      <c r="A20" s="4" t="s">
        <v>211</v>
      </c>
      <c r="B20" s="8">
        <f t="shared" ref="B20:M20" si="5">B14-B18</f>
        <v>142281.44999999998</v>
      </c>
      <c r="C20" s="8">
        <f t="shared" si="5"/>
        <v>131356.12999999998</v>
      </c>
      <c r="D20" s="8">
        <f t="shared" si="5"/>
        <v>124581.86</v>
      </c>
      <c r="E20" s="8">
        <f t="shared" si="5"/>
        <v>77635.17</v>
      </c>
      <c r="F20" s="8">
        <f>F14-F18</f>
        <v>28754.35</v>
      </c>
      <c r="G20" s="8">
        <f t="shared" ref="G20:L20" si="6">G14-G18</f>
        <v>13428.060000000001</v>
      </c>
      <c r="H20" s="8">
        <f t="shared" si="6"/>
        <v>7035</v>
      </c>
      <c r="I20" s="8">
        <f t="shared" si="6"/>
        <v>12346.73</v>
      </c>
      <c r="J20" s="8">
        <f t="shared" si="6"/>
        <v>8297</v>
      </c>
      <c r="K20" s="8">
        <f t="shared" si="6"/>
        <v>15287.32</v>
      </c>
      <c r="L20" s="8">
        <f t="shared" si="6"/>
        <v>129518.14</v>
      </c>
      <c r="M20" s="8">
        <f t="shared" si="5"/>
        <v>100419.92</v>
      </c>
      <c r="N20" s="8">
        <f>N14-N18</f>
        <v>504608.96</v>
      </c>
    </row>
    <row r="22" spans="1:14" s="5" customFormat="1" x14ac:dyDescent="0.25">
      <c r="A22" s="4" t="s">
        <v>209</v>
      </c>
    </row>
    <row r="23" spans="1:14" s="5" customFormat="1" x14ac:dyDescent="0.25">
      <c r="A23" t="s">
        <v>225</v>
      </c>
      <c r="N23" s="5">
        <f>SUM(B23:D23)</f>
        <v>0</v>
      </c>
    </row>
    <row r="24" spans="1:14" s="5" customFormat="1" x14ac:dyDescent="0.25">
      <c r="A24" t="s">
        <v>283</v>
      </c>
      <c r="B24" s="5">
        <v>15834.2</v>
      </c>
      <c r="C24" s="5">
        <v>24166.18</v>
      </c>
      <c r="D24" s="5">
        <v>37081.71</v>
      </c>
      <c r="E24" s="5">
        <v>20886.21</v>
      </c>
      <c r="F24" s="5">
        <v>18251.09</v>
      </c>
      <c r="G24" s="5">
        <v>16382.41</v>
      </c>
      <c r="H24" s="5">
        <v>15402.13</v>
      </c>
      <c r="I24" s="5">
        <v>14659.46</v>
      </c>
      <c r="J24" s="5">
        <v>15909.62</v>
      </c>
      <c r="K24" s="5">
        <v>12807.31</v>
      </c>
      <c r="L24" s="5">
        <v>23364.080000000002</v>
      </c>
      <c r="M24" s="5">
        <v>26647.66</v>
      </c>
      <c r="N24" s="5">
        <f>SUM(B24:F24)</f>
        <v>116219.38999999998</v>
      </c>
    </row>
    <row r="25" spans="1:14" s="5" customFormat="1" x14ac:dyDescent="0.25">
      <c r="A25" t="s">
        <v>547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5872.5</v>
      </c>
      <c r="N25" s="5">
        <f t="shared" ref="N25:N32" si="7">SUM(B25:F25)</f>
        <v>0</v>
      </c>
    </row>
    <row r="26" spans="1:14" s="5" customFormat="1" x14ac:dyDescent="0.25">
      <c r="A26" t="s">
        <v>284</v>
      </c>
      <c r="B26" s="5">
        <v>1521.73</v>
      </c>
      <c r="C26" s="5">
        <v>2302.9</v>
      </c>
      <c r="D26" s="5">
        <v>3377.89</v>
      </c>
      <c r="E26" s="5">
        <v>1767.49</v>
      </c>
      <c r="F26" s="5">
        <v>1425.45</v>
      </c>
      <c r="G26" s="5">
        <v>1258.53</v>
      </c>
      <c r="H26" s="5">
        <v>1187.17</v>
      </c>
      <c r="I26" s="5">
        <v>1193.8399999999999</v>
      </c>
      <c r="J26" s="5">
        <v>1151.3499999999999</v>
      </c>
      <c r="K26" s="5">
        <v>1003.79</v>
      </c>
      <c r="L26" s="5">
        <v>1919.04</v>
      </c>
      <c r="M26" s="5">
        <v>2809.1</v>
      </c>
      <c r="N26" s="5">
        <f t="shared" si="7"/>
        <v>10395.460000000001</v>
      </c>
    </row>
    <row r="27" spans="1:14" s="5" customFormat="1" x14ac:dyDescent="0.25">
      <c r="A27" t="s">
        <v>285</v>
      </c>
      <c r="B27" s="5">
        <v>5181.21</v>
      </c>
      <c r="C27" s="5">
        <v>5181.21</v>
      </c>
      <c r="D27" s="5">
        <v>5370.82</v>
      </c>
      <c r="E27" s="5">
        <v>5181.21</v>
      </c>
      <c r="F27" s="5">
        <v>5181.21</v>
      </c>
      <c r="G27" s="5">
        <v>5181.21</v>
      </c>
      <c r="H27" s="5">
        <v>4324.3999999999996</v>
      </c>
      <c r="I27" s="5">
        <v>4597.0200000000004</v>
      </c>
      <c r="J27" s="5">
        <v>4597.0200000000004</v>
      </c>
      <c r="K27" s="5">
        <v>4597.0200000000004</v>
      </c>
      <c r="L27" s="5">
        <v>4597.0200000000004</v>
      </c>
      <c r="M27" s="5">
        <v>4849.53</v>
      </c>
      <c r="N27" s="5">
        <f t="shared" si="7"/>
        <v>26095.66</v>
      </c>
    </row>
    <row r="28" spans="1:14" s="5" customFormat="1" x14ac:dyDescent="0.25">
      <c r="A28" t="s">
        <v>286</v>
      </c>
      <c r="B28" s="5">
        <v>362.79</v>
      </c>
      <c r="C28" s="5">
        <v>362.79</v>
      </c>
      <c r="D28" s="5">
        <v>0</v>
      </c>
      <c r="E28" s="5">
        <v>362.79</v>
      </c>
      <c r="F28" s="5">
        <v>362.79</v>
      </c>
      <c r="G28" s="5">
        <v>362.79</v>
      </c>
      <c r="H28" s="5">
        <v>288.14999999999998</v>
      </c>
      <c r="I28" s="5">
        <v>325.47000000000003</v>
      </c>
      <c r="J28" s="5">
        <v>325.47000000000003</v>
      </c>
      <c r="K28" s="5">
        <v>325.47000000000003</v>
      </c>
      <c r="L28" s="5">
        <v>325.47000000000003</v>
      </c>
      <c r="M28" s="5">
        <v>333.6</v>
      </c>
      <c r="N28" s="5">
        <f t="shared" si="7"/>
        <v>1451.16</v>
      </c>
    </row>
    <row r="29" spans="1:14" s="5" customFormat="1" x14ac:dyDescent="0.25">
      <c r="A29" t="s">
        <v>355</v>
      </c>
      <c r="B29" s="5">
        <v>131.22999999999999</v>
      </c>
      <c r="C29" s="5">
        <v>131.22999999999999</v>
      </c>
      <c r="D29" s="5">
        <v>131.13</v>
      </c>
      <c r="E29" s="5">
        <v>131.22999999999999</v>
      </c>
      <c r="F29" s="5">
        <v>131.22999999999999</v>
      </c>
      <c r="G29" s="5">
        <v>131.22999999999999</v>
      </c>
      <c r="H29" s="5">
        <v>76.239999999999995</v>
      </c>
      <c r="I29" s="5">
        <v>103.75</v>
      </c>
      <c r="J29" s="5">
        <v>103.75</v>
      </c>
      <c r="K29" s="5">
        <v>103.75</v>
      </c>
      <c r="L29" s="5">
        <v>103.75</v>
      </c>
      <c r="M29" s="5">
        <v>0</v>
      </c>
      <c r="N29" s="5">
        <f t="shared" si="7"/>
        <v>656.05</v>
      </c>
    </row>
    <row r="30" spans="1:14" s="5" customFormat="1" x14ac:dyDescent="0.25">
      <c r="A30" t="s">
        <v>332</v>
      </c>
      <c r="B30" s="5">
        <v>450</v>
      </c>
      <c r="C30" s="5">
        <v>450</v>
      </c>
      <c r="D30" s="5">
        <v>450</v>
      </c>
      <c r="E30" s="5">
        <v>450</v>
      </c>
      <c r="F30" s="5">
        <v>450</v>
      </c>
      <c r="G30" s="5">
        <v>500</v>
      </c>
      <c r="H30" s="5">
        <v>500</v>
      </c>
      <c r="I30" s="5">
        <v>500</v>
      </c>
      <c r="J30" s="5">
        <v>500</v>
      </c>
      <c r="K30" s="5">
        <v>500</v>
      </c>
      <c r="L30" s="5">
        <v>500</v>
      </c>
      <c r="M30" s="5">
        <v>770.94</v>
      </c>
      <c r="N30" s="5">
        <f t="shared" si="7"/>
        <v>2250</v>
      </c>
    </row>
    <row r="31" spans="1:14" s="5" customFormat="1" x14ac:dyDescent="0.25">
      <c r="A31" t="s">
        <v>287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1575.5</v>
      </c>
      <c r="H31" s="5">
        <v>0</v>
      </c>
      <c r="I31" s="5">
        <v>0</v>
      </c>
      <c r="J31" s="5">
        <v>0.05</v>
      </c>
      <c r="K31" s="5">
        <v>0</v>
      </c>
      <c r="L31" s="5">
        <v>0</v>
      </c>
      <c r="M31" s="5">
        <v>0</v>
      </c>
      <c r="N31" s="5">
        <f t="shared" si="7"/>
        <v>0</v>
      </c>
    </row>
    <row r="32" spans="1:14" s="5" customFormat="1" x14ac:dyDescent="0.25">
      <c r="A32" t="s">
        <v>354</v>
      </c>
      <c r="B32" s="5">
        <v>6984.2</v>
      </c>
      <c r="C32" s="5">
        <v>11650.4</v>
      </c>
      <c r="D32" s="5">
        <v>16897.400000000001</v>
      </c>
      <c r="E32" s="5">
        <v>4709.3999999999996</v>
      </c>
      <c r="F32" s="5">
        <v>1677.6</v>
      </c>
      <c r="G32" s="5">
        <v>1704</v>
      </c>
      <c r="H32" s="5">
        <v>2415</v>
      </c>
      <c r="I32" s="5">
        <v>1907.5</v>
      </c>
      <c r="J32" s="5">
        <v>1785</v>
      </c>
      <c r="K32" s="5">
        <v>2634.1</v>
      </c>
      <c r="L32" s="5">
        <v>9853.4</v>
      </c>
      <c r="M32" s="5">
        <v>10829.9</v>
      </c>
      <c r="N32" s="5">
        <f t="shared" si="7"/>
        <v>41919</v>
      </c>
    </row>
    <row r="33" spans="1:14" s="5" customFormat="1" x14ac:dyDescent="0.25">
      <c r="A33" s="4" t="s">
        <v>233</v>
      </c>
      <c r="B33" s="7">
        <f>SUM(B24:B32)</f>
        <v>30465.360000000001</v>
      </c>
      <c r="C33" s="7">
        <f t="shared" ref="C33:E33" si="8">SUM(C24:C32)</f>
        <v>44244.71</v>
      </c>
      <c r="D33" s="7">
        <f t="shared" si="8"/>
        <v>63308.95</v>
      </c>
      <c r="E33" s="7">
        <f t="shared" si="8"/>
        <v>33488.33</v>
      </c>
      <c r="F33" s="7">
        <f t="shared" ref="F33:M33" si="9">SUM(F24:F32)</f>
        <v>27479.37</v>
      </c>
      <c r="G33" s="7">
        <f t="shared" si="9"/>
        <v>27095.67</v>
      </c>
      <c r="H33" s="7">
        <f t="shared" si="9"/>
        <v>24193.09</v>
      </c>
      <c r="I33" s="7">
        <f t="shared" si="9"/>
        <v>23287.040000000001</v>
      </c>
      <c r="J33" s="7">
        <f t="shared" si="9"/>
        <v>24372.260000000002</v>
      </c>
      <c r="K33" s="7">
        <f t="shared" ref="K33:L33" si="10">SUM(K24:K32)</f>
        <v>21971.439999999999</v>
      </c>
      <c r="L33" s="7">
        <f t="shared" si="10"/>
        <v>40662.76</v>
      </c>
      <c r="M33" s="7">
        <f t="shared" si="9"/>
        <v>52113.23</v>
      </c>
      <c r="N33" s="7">
        <f>SUM(N24:N32)</f>
        <v>198986.71999999997</v>
      </c>
    </row>
    <row r="34" spans="1:14" s="5" customFormat="1" x14ac:dyDescent="0.25">
      <c r="A34" t="s">
        <v>61</v>
      </c>
    </row>
    <row r="35" spans="1:14" s="5" customFormat="1" x14ac:dyDescent="0.25">
      <c r="A35" s="4" t="s">
        <v>288</v>
      </c>
    </row>
    <row r="36" spans="1:14" s="5" customFormat="1" x14ac:dyDescent="0.25">
      <c r="A36" t="s">
        <v>234</v>
      </c>
      <c r="B36" s="5">
        <v>1000</v>
      </c>
      <c r="C36" s="5">
        <v>1000</v>
      </c>
      <c r="D36" s="5">
        <v>1000</v>
      </c>
      <c r="E36" s="5">
        <v>1000</v>
      </c>
      <c r="F36" s="5">
        <v>1000</v>
      </c>
      <c r="G36" s="5">
        <v>1000</v>
      </c>
      <c r="H36" s="5">
        <v>1000</v>
      </c>
      <c r="I36" s="5">
        <v>1000</v>
      </c>
      <c r="J36" s="5">
        <v>1000</v>
      </c>
      <c r="K36" s="5">
        <v>1000</v>
      </c>
      <c r="L36" s="5">
        <v>1000</v>
      </c>
      <c r="M36" s="5">
        <v>1000</v>
      </c>
      <c r="N36" s="5">
        <f>SUM(B36:F36)</f>
        <v>5000</v>
      </c>
    </row>
    <row r="37" spans="1:14" s="5" customFormat="1" x14ac:dyDescent="0.25">
      <c r="A37" t="s">
        <v>236</v>
      </c>
      <c r="B37" s="5">
        <v>18970.560000000001</v>
      </c>
      <c r="C37" s="5">
        <v>2008.94</v>
      </c>
      <c r="D37" s="5">
        <v>22275.65</v>
      </c>
      <c r="E37" s="5">
        <v>11359.93</v>
      </c>
      <c r="F37" s="5">
        <v>3739.77</v>
      </c>
      <c r="G37" s="5">
        <v>91.8</v>
      </c>
      <c r="H37" s="5">
        <v>583.80999999999995</v>
      </c>
      <c r="I37" s="5">
        <v>487.15</v>
      </c>
      <c r="J37" s="5">
        <v>507.76</v>
      </c>
      <c r="K37" s="5">
        <v>918.67</v>
      </c>
      <c r="L37" s="5">
        <v>5326.84</v>
      </c>
      <c r="M37" s="5">
        <v>8165.49</v>
      </c>
      <c r="N37" s="5">
        <f t="shared" ref="N37:N56" si="11">SUM(B37:F37)</f>
        <v>58354.85</v>
      </c>
    </row>
    <row r="38" spans="1:14" s="5" customFormat="1" x14ac:dyDescent="0.25">
      <c r="A38" t="s">
        <v>235</v>
      </c>
      <c r="B38" s="5">
        <v>883.5</v>
      </c>
      <c r="C38" s="5">
        <v>864.5</v>
      </c>
      <c r="D38" s="5">
        <v>800</v>
      </c>
      <c r="E38" s="5">
        <v>739.5</v>
      </c>
      <c r="F38" s="5">
        <v>416</v>
      </c>
      <c r="G38" s="5">
        <v>379.5</v>
      </c>
      <c r="H38" s="5">
        <v>446</v>
      </c>
      <c r="I38" s="5">
        <v>439.5</v>
      </c>
      <c r="J38" s="5">
        <v>416</v>
      </c>
      <c r="K38" s="5">
        <v>364.5</v>
      </c>
      <c r="L38" s="5">
        <v>586</v>
      </c>
      <c r="M38" s="5">
        <v>782.5</v>
      </c>
      <c r="N38" s="5">
        <f t="shared" si="11"/>
        <v>3703.5</v>
      </c>
    </row>
    <row r="39" spans="1:14" s="5" customFormat="1" x14ac:dyDescent="0.25">
      <c r="A39" t="s">
        <v>337</v>
      </c>
      <c r="B39" s="5">
        <v>233.88</v>
      </c>
      <c r="C39" s="5">
        <v>0</v>
      </c>
      <c r="D39" s="5">
        <v>0</v>
      </c>
      <c r="E39" s="5">
        <v>0</v>
      </c>
      <c r="F39" s="5">
        <v>1298.1400000000001</v>
      </c>
      <c r="G39" s="5">
        <v>0</v>
      </c>
      <c r="H39" s="5">
        <v>0</v>
      </c>
      <c r="I39" s="5">
        <v>0</v>
      </c>
      <c r="J39" s="5">
        <v>500</v>
      </c>
      <c r="K39" s="5">
        <v>189.08</v>
      </c>
      <c r="L39" s="5">
        <v>0</v>
      </c>
      <c r="M39" s="5">
        <v>0</v>
      </c>
      <c r="N39" s="5">
        <f t="shared" si="11"/>
        <v>1532.02</v>
      </c>
    </row>
    <row r="40" spans="1:14" s="5" customFormat="1" x14ac:dyDescent="0.25">
      <c r="A40" t="s">
        <v>290</v>
      </c>
      <c r="B40" s="5">
        <v>624.76</v>
      </c>
      <c r="C40" s="5">
        <v>504.76</v>
      </c>
      <c r="D40" s="5">
        <v>624.76</v>
      </c>
      <c r="E40" s="5">
        <v>624.76</v>
      </c>
      <c r="F40" s="5">
        <v>624.76</v>
      </c>
      <c r="G40" s="5">
        <v>624.76</v>
      </c>
      <c r="H40" s="5">
        <v>624.76</v>
      </c>
      <c r="I40" s="5">
        <v>747.91</v>
      </c>
      <c r="J40" s="5">
        <v>747.91</v>
      </c>
      <c r="K40" s="5">
        <v>747.91</v>
      </c>
      <c r="L40" s="5">
        <v>747.91</v>
      </c>
      <c r="M40" s="5">
        <v>747.91</v>
      </c>
      <c r="N40" s="5">
        <f t="shared" si="11"/>
        <v>3003.8</v>
      </c>
    </row>
    <row r="41" spans="1:14" s="5" customFormat="1" x14ac:dyDescent="0.25">
      <c r="A41" t="s">
        <v>445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f t="shared" si="11"/>
        <v>0</v>
      </c>
    </row>
    <row r="42" spans="1:14" s="5" customFormat="1" x14ac:dyDescent="0.25">
      <c r="A42" t="s">
        <v>357</v>
      </c>
      <c r="B42" s="5">
        <v>990</v>
      </c>
      <c r="C42" s="5">
        <v>399.19</v>
      </c>
      <c r="D42" s="5">
        <f>292.3+700.49</f>
        <v>992.79</v>
      </c>
      <c r="E42" s="5">
        <v>0</v>
      </c>
      <c r="F42" s="5">
        <v>0</v>
      </c>
      <c r="G42" s="5">
        <v>66.2</v>
      </c>
      <c r="H42" s="5">
        <f>360+106.4</f>
        <v>466.4</v>
      </c>
      <c r="I42" s="5">
        <v>0</v>
      </c>
      <c r="J42" s="5">
        <v>0</v>
      </c>
      <c r="K42" s="5">
        <v>1497.22</v>
      </c>
      <c r="L42" s="5">
        <f>600</f>
        <v>600</v>
      </c>
      <c r="M42" s="5">
        <v>6447.84</v>
      </c>
      <c r="N42" s="5">
        <f t="shared" si="11"/>
        <v>2381.98</v>
      </c>
    </row>
    <row r="43" spans="1:14" s="5" customFormat="1" x14ac:dyDescent="0.25">
      <c r="A43" t="s">
        <v>358</v>
      </c>
      <c r="B43" s="5">
        <v>1367.42</v>
      </c>
      <c r="C43" s="5">
        <v>0</v>
      </c>
      <c r="D43" s="5">
        <v>573.99</v>
      </c>
      <c r="E43" s="5">
        <v>425.44</v>
      </c>
      <c r="F43" s="5">
        <v>1130</v>
      </c>
      <c r="G43" s="5">
        <v>3112</v>
      </c>
      <c r="H43" s="5">
        <v>0</v>
      </c>
      <c r="I43" s="5">
        <v>470</v>
      </c>
      <c r="J43" s="5">
        <v>0</v>
      </c>
      <c r="K43" s="5">
        <v>3732.42</v>
      </c>
      <c r="L43" s="5">
        <v>505.9</v>
      </c>
      <c r="M43" s="5">
        <v>221.55</v>
      </c>
      <c r="N43" s="5">
        <f t="shared" si="11"/>
        <v>3496.85</v>
      </c>
    </row>
    <row r="44" spans="1:14" s="5" customFormat="1" x14ac:dyDescent="0.25">
      <c r="A44" t="s">
        <v>359</v>
      </c>
      <c r="B44" s="5">
        <f>103.4+4531.26</f>
        <v>4634.66</v>
      </c>
      <c r="C44" s="5">
        <f>106.4+1356.39</f>
        <v>1462.7900000000002</v>
      </c>
      <c r="D44" s="5">
        <f>106.4+1345.43</f>
        <v>1451.8300000000002</v>
      </c>
      <c r="E44" s="5">
        <f>106.4+873.33</f>
        <v>979.73</v>
      </c>
      <c r="F44" s="5">
        <f>106.4+1079.16</f>
        <v>1185.5600000000002</v>
      </c>
      <c r="G44" s="5">
        <f>281.25+106.4</f>
        <v>387.65</v>
      </c>
      <c r="H44" s="5">
        <v>1838.18</v>
      </c>
      <c r="I44" s="5">
        <f>106.4+977.97</f>
        <v>1084.3700000000001</v>
      </c>
      <c r="J44" s="5">
        <f>106.4+248.19</f>
        <v>354.59000000000003</v>
      </c>
      <c r="K44" s="5">
        <f>106.4+3037.27</f>
        <v>3143.67</v>
      </c>
      <c r="L44" s="5">
        <f>106.4+1662.77</f>
        <v>1769.17</v>
      </c>
      <c r="M44" s="5">
        <f>106.4+1475.38</f>
        <v>1581.7800000000002</v>
      </c>
      <c r="N44" s="5">
        <f t="shared" si="11"/>
        <v>9714.57</v>
      </c>
    </row>
    <row r="45" spans="1:14" s="5" customFormat="1" x14ac:dyDescent="0.25">
      <c r="A45" t="s">
        <v>239</v>
      </c>
      <c r="B45" s="5">
        <v>0</v>
      </c>
      <c r="C45" s="5">
        <v>0</v>
      </c>
      <c r="D45" s="5">
        <v>0</v>
      </c>
      <c r="E45" s="5">
        <v>233.66</v>
      </c>
      <c r="F45" s="5">
        <v>0</v>
      </c>
      <c r="G45" s="5">
        <v>0</v>
      </c>
      <c r="H45" s="5">
        <v>253.01</v>
      </c>
      <c r="I45" s="5">
        <v>0</v>
      </c>
      <c r="J45" s="5">
        <v>0</v>
      </c>
      <c r="K45" s="5">
        <v>253</v>
      </c>
      <c r="L45" s="5">
        <v>0</v>
      </c>
      <c r="M45" s="5">
        <v>0</v>
      </c>
      <c r="N45" s="5">
        <f t="shared" si="11"/>
        <v>233.66</v>
      </c>
    </row>
    <row r="46" spans="1:14" s="5" customFormat="1" x14ac:dyDescent="0.25">
      <c r="A46" t="s">
        <v>240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f t="shared" si="11"/>
        <v>0</v>
      </c>
    </row>
    <row r="47" spans="1:14" s="5" customFormat="1" x14ac:dyDescent="0.25">
      <c r="A47" t="s">
        <v>238</v>
      </c>
      <c r="B47" s="5">
        <v>2424</v>
      </c>
      <c r="C47" s="5">
        <v>2424</v>
      </c>
      <c r="D47" s="5">
        <v>2424</v>
      </c>
      <c r="E47" s="5">
        <v>2424</v>
      </c>
      <c r="F47" s="5">
        <v>2426</v>
      </c>
      <c r="G47" s="5">
        <v>2424</v>
      </c>
      <c r="H47" s="5">
        <v>2424</v>
      </c>
      <c r="I47" s="5">
        <v>2424</v>
      </c>
      <c r="J47" s="5">
        <v>2424</v>
      </c>
      <c r="K47" s="5">
        <v>2416</v>
      </c>
      <c r="L47" s="5">
        <v>2512.67</v>
      </c>
      <c r="M47" s="5">
        <v>2512.66</v>
      </c>
      <c r="N47" s="5">
        <f t="shared" si="11"/>
        <v>12122</v>
      </c>
    </row>
    <row r="48" spans="1:14" s="5" customFormat="1" x14ac:dyDescent="0.25">
      <c r="A48" t="s">
        <v>356</v>
      </c>
      <c r="B48" s="5">
        <v>109</v>
      </c>
      <c r="C48" s="5">
        <v>0</v>
      </c>
      <c r="D48" s="5">
        <v>456</v>
      </c>
      <c r="E48" s="5">
        <v>0</v>
      </c>
      <c r="G48" s="5">
        <v>0</v>
      </c>
      <c r="H48" s="5">
        <v>0</v>
      </c>
      <c r="I48" s="5">
        <v>300</v>
      </c>
      <c r="J48" s="5">
        <v>0</v>
      </c>
      <c r="K48" s="5">
        <v>100</v>
      </c>
      <c r="L48" s="5">
        <v>700</v>
      </c>
      <c r="M48" s="5">
        <v>0</v>
      </c>
      <c r="N48" s="5">
        <f t="shared" si="11"/>
        <v>565</v>
      </c>
    </row>
    <row r="49" spans="1:14" s="5" customFormat="1" x14ac:dyDescent="0.25">
      <c r="A49" t="s">
        <v>371</v>
      </c>
      <c r="B49" s="5">
        <v>0</v>
      </c>
      <c r="C49" s="5">
        <v>0</v>
      </c>
      <c r="D49" s="5">
        <v>803.9</v>
      </c>
      <c r="E49" s="5">
        <v>0</v>
      </c>
      <c r="F49" s="5">
        <v>1736.17</v>
      </c>
      <c r="G49" s="5">
        <v>378.9</v>
      </c>
      <c r="H49" s="5">
        <v>0</v>
      </c>
      <c r="I49" s="5">
        <v>0</v>
      </c>
      <c r="J49" s="5">
        <v>1137.54</v>
      </c>
      <c r="K49" s="5">
        <v>0</v>
      </c>
      <c r="L49" s="5">
        <v>378.9</v>
      </c>
      <c r="M49" s="5">
        <v>0</v>
      </c>
      <c r="N49" s="5">
        <f t="shared" si="11"/>
        <v>2540.0700000000002</v>
      </c>
    </row>
    <row r="50" spans="1:14" s="5" customFormat="1" x14ac:dyDescent="0.25">
      <c r="A50" t="s">
        <v>241</v>
      </c>
      <c r="B50" s="5">
        <v>491.08</v>
      </c>
      <c r="C50" s="5">
        <v>758.32</v>
      </c>
      <c r="D50" s="5">
        <v>0</v>
      </c>
      <c r="E50" s="5">
        <v>168.11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f t="shared" si="11"/>
        <v>1417.5100000000002</v>
      </c>
    </row>
    <row r="51" spans="1:14" s="5" customFormat="1" x14ac:dyDescent="0.25">
      <c r="A51" t="s">
        <v>248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f t="shared" si="11"/>
        <v>0</v>
      </c>
    </row>
    <row r="52" spans="1:14" s="5" customFormat="1" x14ac:dyDescent="0.25">
      <c r="A52" t="s">
        <v>242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f t="shared" si="11"/>
        <v>0</v>
      </c>
    </row>
    <row r="53" spans="1:14" s="5" customFormat="1" x14ac:dyDescent="0.25">
      <c r="A53" t="s">
        <v>292</v>
      </c>
      <c r="B53" s="5">
        <v>9382.49</v>
      </c>
      <c r="C53" s="5">
        <v>9382.09</v>
      </c>
      <c r="D53" s="5">
        <v>9382.09</v>
      </c>
      <c r="E53" s="5">
        <v>9382.09</v>
      </c>
      <c r="F53" s="5">
        <v>9382.09</v>
      </c>
      <c r="G53" s="5">
        <v>9382.09</v>
      </c>
      <c r="H53" s="5">
        <v>9382.09</v>
      </c>
      <c r="I53" s="5">
        <v>9429.58</v>
      </c>
      <c r="J53" s="5">
        <v>9491.2900000000009</v>
      </c>
      <c r="K53" s="5">
        <v>8693.16</v>
      </c>
      <c r="L53" s="5">
        <v>8693.16</v>
      </c>
      <c r="M53" s="5">
        <v>8692.77</v>
      </c>
      <c r="N53" s="5">
        <f t="shared" si="11"/>
        <v>46910.850000000006</v>
      </c>
    </row>
    <row r="54" spans="1:14" s="5" customFormat="1" x14ac:dyDescent="0.25">
      <c r="A54" t="s">
        <v>295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f t="shared" si="11"/>
        <v>0</v>
      </c>
    </row>
    <row r="55" spans="1:14" s="5" customFormat="1" x14ac:dyDescent="0.25">
      <c r="A55" t="s">
        <v>368</v>
      </c>
      <c r="B55" s="5">
        <v>0</v>
      </c>
      <c r="C55" s="5">
        <v>2048</v>
      </c>
      <c r="D55" s="5">
        <v>0</v>
      </c>
      <c r="E55" s="5">
        <v>324.79000000000002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f t="shared" si="11"/>
        <v>2372.79</v>
      </c>
    </row>
    <row r="56" spans="1:14" s="5" customFormat="1" x14ac:dyDescent="0.25">
      <c r="A56" t="s">
        <v>369</v>
      </c>
      <c r="B56" s="5">
        <v>1140.8399999999999</v>
      </c>
      <c r="C56" s="5">
        <v>925.84</v>
      </c>
      <c r="D56" s="5">
        <v>0</v>
      </c>
      <c r="E56" s="5">
        <v>795.42</v>
      </c>
      <c r="F56" s="5">
        <v>345.42</v>
      </c>
      <c r="G56" s="5">
        <v>359.24</v>
      </c>
      <c r="H56" s="5">
        <v>809.24</v>
      </c>
      <c r="I56" s="5">
        <v>359.24</v>
      </c>
      <c r="J56" s="5">
        <v>359.24</v>
      </c>
      <c r="K56" s="5">
        <v>359.24</v>
      </c>
      <c r="L56" s="5">
        <v>809.24</v>
      </c>
      <c r="M56" s="5">
        <v>359.24</v>
      </c>
      <c r="N56" s="5">
        <f t="shared" si="11"/>
        <v>3207.52</v>
      </c>
    </row>
    <row r="57" spans="1:14" s="5" customFormat="1" x14ac:dyDescent="0.25">
      <c r="A57" s="4" t="s">
        <v>334</v>
      </c>
      <c r="B57" s="7">
        <f t="shared" ref="B57:M57" si="12">SUM(B36:B56)</f>
        <v>42252.19</v>
      </c>
      <c r="C57" s="7">
        <f t="shared" si="12"/>
        <v>21778.43</v>
      </c>
      <c r="D57" s="7">
        <f t="shared" si="12"/>
        <v>40785.010000000009</v>
      </c>
      <c r="E57" s="7">
        <f t="shared" si="12"/>
        <v>28457.43</v>
      </c>
      <c r="F57" s="7">
        <f>SUM(F36:F56)</f>
        <v>23283.91</v>
      </c>
      <c r="G57" s="7">
        <f t="shared" ref="G57:L57" si="13">SUM(G36:G56)</f>
        <v>18206.140000000003</v>
      </c>
      <c r="H57" s="7">
        <f t="shared" si="13"/>
        <v>17827.490000000002</v>
      </c>
      <c r="I57" s="7">
        <f t="shared" si="13"/>
        <v>16741.75</v>
      </c>
      <c r="J57" s="7">
        <f t="shared" si="13"/>
        <v>16938.330000000002</v>
      </c>
      <c r="K57" s="7">
        <f t="shared" si="13"/>
        <v>23414.87</v>
      </c>
      <c r="L57" s="7">
        <f t="shared" si="13"/>
        <v>23629.79</v>
      </c>
      <c r="M57" s="7">
        <f t="shared" si="12"/>
        <v>30511.739999999998</v>
      </c>
      <c r="N57" s="7">
        <f>SUM(N36:N56)</f>
        <v>156556.97000000003</v>
      </c>
    </row>
    <row r="59" spans="1:14" s="5" customFormat="1" x14ac:dyDescent="0.25">
      <c r="A59" s="4" t="s">
        <v>293</v>
      </c>
    </row>
    <row r="60" spans="1:14" s="5" customFormat="1" x14ac:dyDescent="0.25">
      <c r="A60" t="s">
        <v>251</v>
      </c>
      <c r="B60" s="5">
        <v>312.36</v>
      </c>
      <c r="C60" s="5">
        <v>716.18</v>
      </c>
      <c r="D60" s="5">
        <v>449.5</v>
      </c>
      <c r="E60" s="5">
        <v>269.7</v>
      </c>
      <c r="F60" s="5">
        <v>285.98</v>
      </c>
      <c r="G60" s="5">
        <v>195.44</v>
      </c>
      <c r="H60" s="5">
        <v>201.76</v>
      </c>
      <c r="I60" s="5">
        <v>295.45999999999998</v>
      </c>
      <c r="J60" s="5">
        <v>200.18</v>
      </c>
      <c r="K60" s="5">
        <v>206.5</v>
      </c>
      <c r="L60" s="5">
        <v>282.33999999999997</v>
      </c>
      <c r="M60" s="5">
        <v>315.52</v>
      </c>
      <c r="N60" s="5">
        <f>SUM(B60:F60)</f>
        <v>2033.72</v>
      </c>
    </row>
    <row r="61" spans="1:14" s="5" customFormat="1" ht="14.25" customHeight="1" x14ac:dyDescent="0.25">
      <c r="A61" t="s">
        <v>252</v>
      </c>
      <c r="B61" s="5">
        <v>695.17</v>
      </c>
      <c r="C61" s="5">
        <v>459.08</v>
      </c>
      <c r="D61" s="5">
        <v>395.17</v>
      </c>
      <c r="E61" s="5">
        <v>502.1</v>
      </c>
      <c r="F61" s="5">
        <v>-70.98</v>
      </c>
      <c r="G61" s="5">
        <v>481.53</v>
      </c>
      <c r="H61" s="5">
        <v>-592.38</v>
      </c>
      <c r="I61" s="5">
        <v>238</v>
      </c>
      <c r="J61" s="5">
        <v>220.43</v>
      </c>
      <c r="K61" s="5">
        <v>210.76</v>
      </c>
      <c r="L61" s="5">
        <v>396.31</v>
      </c>
      <c r="M61" s="5">
        <v>503.88</v>
      </c>
      <c r="N61" s="5">
        <f t="shared" ref="N61:N70" si="14">SUM(B61:F61)</f>
        <v>1980.54</v>
      </c>
    </row>
    <row r="62" spans="1:14" s="5" customFormat="1" ht="14.25" customHeight="1" x14ac:dyDescent="0.25">
      <c r="A62" t="s">
        <v>363</v>
      </c>
      <c r="B62" s="5">
        <v>485.42</v>
      </c>
      <c r="C62" s="5">
        <v>636.49</v>
      </c>
      <c r="D62" s="5">
        <v>407.96</v>
      </c>
      <c r="E62" s="5">
        <v>543.39</v>
      </c>
      <c r="F62" s="5">
        <v>372.65</v>
      </c>
      <c r="G62" s="5">
        <v>279.72000000000003</v>
      </c>
      <c r="H62" s="5">
        <v>177.55</v>
      </c>
      <c r="I62" s="5">
        <v>395.46</v>
      </c>
      <c r="J62" s="5">
        <v>197.06</v>
      </c>
      <c r="K62" s="5">
        <v>389.43</v>
      </c>
      <c r="L62" s="5">
        <v>197.56</v>
      </c>
      <c r="M62" s="5">
        <v>702.2</v>
      </c>
      <c r="N62" s="5">
        <f t="shared" si="14"/>
        <v>2445.9100000000003</v>
      </c>
    </row>
    <row r="63" spans="1:14" s="5" customFormat="1" x14ac:dyDescent="0.25">
      <c r="A63" t="s">
        <v>294</v>
      </c>
      <c r="B63" s="5">
        <v>0</v>
      </c>
      <c r="C63" s="5">
        <v>200</v>
      </c>
      <c r="D63" s="5">
        <v>250</v>
      </c>
      <c r="E63" s="5">
        <v>300</v>
      </c>
      <c r="F63" s="5">
        <v>850</v>
      </c>
      <c r="G63" s="5">
        <v>0</v>
      </c>
      <c r="H63" s="5">
        <v>1000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f t="shared" si="14"/>
        <v>1600</v>
      </c>
    </row>
    <row r="64" spans="1:14" s="5" customFormat="1" x14ac:dyDescent="0.25">
      <c r="A64" t="s">
        <v>306</v>
      </c>
      <c r="B64" s="5">
        <v>265.62</v>
      </c>
      <c r="C64" s="5">
        <v>265.62</v>
      </c>
      <c r="D64" s="5">
        <v>0</v>
      </c>
      <c r="E64" s="5">
        <v>132.81</v>
      </c>
      <c r="F64" s="5">
        <v>132.81</v>
      </c>
      <c r="G64" s="5">
        <v>132.81</v>
      </c>
      <c r="H64" s="5">
        <v>132.81</v>
      </c>
      <c r="I64" s="5">
        <v>132.81</v>
      </c>
      <c r="J64" s="5">
        <v>132.81</v>
      </c>
      <c r="K64" s="5">
        <v>132.81</v>
      </c>
      <c r="L64" s="5">
        <v>132.81</v>
      </c>
      <c r="M64" s="5">
        <v>132.81</v>
      </c>
      <c r="N64" s="5">
        <f t="shared" si="14"/>
        <v>796.8599999999999</v>
      </c>
    </row>
    <row r="65" spans="1:16" s="5" customFormat="1" x14ac:dyDescent="0.25">
      <c r="A65" t="s">
        <v>370</v>
      </c>
      <c r="B65" s="5">
        <v>0</v>
      </c>
      <c r="C65" s="5">
        <v>7242.01</v>
      </c>
      <c r="D65" s="5">
        <v>0</v>
      </c>
      <c r="E65" s="5">
        <v>3087.89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3697.5</v>
      </c>
      <c r="N65" s="5">
        <f t="shared" si="14"/>
        <v>10329.9</v>
      </c>
    </row>
    <row r="66" spans="1:16" s="5" customFormat="1" x14ac:dyDescent="0.25">
      <c r="A66" t="s">
        <v>253</v>
      </c>
      <c r="B66" s="5">
        <v>792.59</v>
      </c>
      <c r="C66" s="5">
        <v>18.940000000000001</v>
      </c>
      <c r="D66" s="5">
        <v>0</v>
      </c>
      <c r="E66" s="5">
        <v>164.03</v>
      </c>
      <c r="F66" s="5">
        <v>0</v>
      </c>
      <c r="G66" s="5">
        <v>0</v>
      </c>
      <c r="H66" s="5">
        <v>0</v>
      </c>
      <c r="I66" s="5">
        <v>12.74</v>
      </c>
      <c r="J66" s="5">
        <v>79.900000000000006</v>
      </c>
      <c r="K66" s="5">
        <v>0</v>
      </c>
      <c r="L66" s="5">
        <v>0</v>
      </c>
      <c r="M66" s="5">
        <v>0</v>
      </c>
      <c r="N66" s="5">
        <f t="shared" si="14"/>
        <v>975.56000000000006</v>
      </c>
    </row>
    <row r="67" spans="1:16" s="5" customFormat="1" x14ac:dyDescent="0.25">
      <c r="A67" t="s">
        <v>360</v>
      </c>
      <c r="B67" s="5">
        <v>550</v>
      </c>
      <c r="C67" s="5">
        <v>550</v>
      </c>
      <c r="D67" s="5">
        <v>550</v>
      </c>
      <c r="E67" s="5">
        <v>550</v>
      </c>
      <c r="F67" s="5">
        <v>550</v>
      </c>
      <c r="G67" s="5">
        <v>375</v>
      </c>
      <c r="H67" s="5">
        <v>375</v>
      </c>
      <c r="I67" s="5">
        <v>375</v>
      </c>
      <c r="J67" s="5">
        <v>375</v>
      </c>
      <c r="K67" s="5">
        <v>375</v>
      </c>
      <c r="L67" s="5">
        <v>375</v>
      </c>
      <c r="M67" s="5">
        <v>375</v>
      </c>
      <c r="N67" s="5">
        <f t="shared" si="14"/>
        <v>2750</v>
      </c>
    </row>
    <row r="68" spans="1:16" s="5" customFormat="1" x14ac:dyDescent="0.25">
      <c r="A68" t="s">
        <v>361</v>
      </c>
      <c r="B68" s="5">
        <v>1500</v>
      </c>
      <c r="C68" s="5">
        <v>1500</v>
      </c>
      <c r="D68" s="5">
        <v>1500</v>
      </c>
      <c r="E68" s="5">
        <v>1500</v>
      </c>
      <c r="F68" s="5">
        <v>1500</v>
      </c>
      <c r="G68" s="5">
        <v>1500</v>
      </c>
      <c r="H68" s="5">
        <v>1500</v>
      </c>
      <c r="I68" s="5">
        <v>1500</v>
      </c>
      <c r="J68" s="5">
        <v>1500</v>
      </c>
      <c r="K68" s="5">
        <v>1500</v>
      </c>
      <c r="L68" s="5">
        <v>1500</v>
      </c>
      <c r="M68" s="5">
        <v>1500</v>
      </c>
      <c r="N68" s="5">
        <f t="shared" si="14"/>
        <v>7500</v>
      </c>
    </row>
    <row r="69" spans="1:16" s="5" customFormat="1" x14ac:dyDescent="0.25">
      <c r="A69" t="s">
        <v>362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f t="shared" si="14"/>
        <v>0</v>
      </c>
    </row>
    <row r="70" spans="1:16" s="5" customFormat="1" x14ac:dyDescent="0.25">
      <c r="A70" t="s">
        <v>256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642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f t="shared" si="14"/>
        <v>0</v>
      </c>
    </row>
    <row r="71" spans="1:16" s="5" customFormat="1" x14ac:dyDescent="0.25">
      <c r="A71" s="4" t="s">
        <v>296</v>
      </c>
      <c r="B71" s="7">
        <f>SUM(B60:B70)</f>
        <v>4601.16</v>
      </c>
      <c r="C71" s="7">
        <f t="shared" ref="C71:E71" si="15">SUM(C60:C70)</f>
        <v>11588.320000000002</v>
      </c>
      <c r="D71" s="7">
        <f t="shared" si="15"/>
        <v>3552.63</v>
      </c>
      <c r="E71" s="7">
        <f t="shared" si="15"/>
        <v>7049.9199999999992</v>
      </c>
      <c r="F71" s="7">
        <f t="shared" ref="F71:M71" si="16">SUM(F60:F70)</f>
        <v>3620.46</v>
      </c>
      <c r="G71" s="7">
        <f t="shared" si="16"/>
        <v>3606.5</v>
      </c>
      <c r="H71" s="7">
        <f t="shared" si="16"/>
        <v>2794.74</v>
      </c>
      <c r="I71" s="7">
        <f t="shared" si="16"/>
        <v>2949.4700000000003</v>
      </c>
      <c r="J71" s="7">
        <f t="shared" si="16"/>
        <v>2705.38</v>
      </c>
      <c r="K71" s="7">
        <f t="shared" ref="K71:L71" si="17">SUM(K60:K70)</f>
        <v>2814.5</v>
      </c>
      <c r="L71" s="7">
        <f t="shared" si="17"/>
        <v>2884.02</v>
      </c>
      <c r="M71" s="7">
        <f t="shared" si="16"/>
        <v>7226.91</v>
      </c>
      <c r="N71" s="7">
        <f>SUM(N60:N70)</f>
        <v>30412.49</v>
      </c>
    </row>
    <row r="72" spans="1:16" s="5" customFormat="1" x14ac:dyDescent="0.25">
      <c r="A72" t="s">
        <v>245</v>
      </c>
    </row>
    <row r="73" spans="1:16" s="5" customFormat="1" ht="15.75" thickBot="1" x14ac:dyDescent="0.3">
      <c r="A73" s="4" t="s">
        <v>210</v>
      </c>
      <c r="B73" s="8">
        <f t="shared" ref="B73:M73" si="18">B33+B57+B71</f>
        <v>77318.710000000006</v>
      </c>
      <c r="C73" s="8">
        <f t="shared" si="18"/>
        <v>77611.460000000006</v>
      </c>
      <c r="D73" s="8">
        <f t="shared" si="18"/>
        <v>107646.59000000001</v>
      </c>
      <c r="E73" s="8">
        <f t="shared" si="18"/>
        <v>68995.680000000008</v>
      </c>
      <c r="F73" s="8">
        <f>F33+F57+F71</f>
        <v>54383.74</v>
      </c>
      <c r="G73" s="8">
        <f t="shared" ref="G73:L73" si="19">G33+G57+G71</f>
        <v>48908.31</v>
      </c>
      <c r="H73" s="8">
        <f t="shared" si="19"/>
        <v>44815.32</v>
      </c>
      <c r="I73" s="8">
        <f t="shared" si="19"/>
        <v>42978.26</v>
      </c>
      <c r="J73" s="8">
        <f t="shared" si="19"/>
        <v>44015.97</v>
      </c>
      <c r="K73" s="8">
        <f t="shared" si="19"/>
        <v>48200.81</v>
      </c>
      <c r="L73" s="8">
        <f t="shared" si="19"/>
        <v>67176.570000000007</v>
      </c>
      <c r="M73" s="8">
        <f t="shared" si="18"/>
        <v>89851.88</v>
      </c>
      <c r="N73" s="8">
        <f>N33+N57+N71</f>
        <v>385956.18</v>
      </c>
    </row>
    <row r="75" spans="1:16" s="5" customFormat="1" x14ac:dyDescent="0.25">
      <c r="A75" s="4" t="s">
        <v>297</v>
      </c>
      <c r="P75" s="5">
        <v>0</v>
      </c>
    </row>
    <row r="76" spans="1:16" s="5" customFormat="1" x14ac:dyDescent="0.25">
      <c r="A76" t="s">
        <v>365</v>
      </c>
      <c r="B76" s="5">
        <v>5000</v>
      </c>
      <c r="C76" s="5">
        <v>5000</v>
      </c>
      <c r="D76" s="5">
        <v>5000</v>
      </c>
      <c r="E76" s="5">
        <v>5000</v>
      </c>
      <c r="F76" s="5">
        <v>5000</v>
      </c>
      <c r="G76" s="5">
        <v>5000</v>
      </c>
      <c r="H76" s="5">
        <v>5000</v>
      </c>
      <c r="I76" s="5">
        <v>5000</v>
      </c>
      <c r="J76" s="5">
        <v>5000</v>
      </c>
      <c r="K76" s="5">
        <v>5000</v>
      </c>
      <c r="L76" s="5">
        <v>5000</v>
      </c>
      <c r="M76" s="5">
        <v>5000</v>
      </c>
      <c r="N76" s="5">
        <f>SUM(B76:F76)</f>
        <v>25000</v>
      </c>
    </row>
    <row r="77" spans="1:16" s="5" customFormat="1" x14ac:dyDescent="0.25">
      <c r="A77" t="s">
        <v>364</v>
      </c>
      <c r="B77" s="5">
        <v>1000</v>
      </c>
      <c r="C77" s="5">
        <v>1000</v>
      </c>
      <c r="D77" s="5">
        <v>1000</v>
      </c>
      <c r="E77" s="5">
        <v>1000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1000</v>
      </c>
      <c r="N77" s="5">
        <f t="shared" ref="N77:N80" si="20">SUM(B77:F77)</f>
        <v>4000</v>
      </c>
    </row>
    <row r="78" spans="1:16" s="5" customFormat="1" x14ac:dyDescent="0.25">
      <c r="A78" t="s">
        <v>489</v>
      </c>
      <c r="B78" s="5">
        <v>1833.08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79.900000000000006</v>
      </c>
      <c r="K78" s="5">
        <v>0</v>
      </c>
      <c r="L78" s="5">
        <v>0</v>
      </c>
      <c r="M78" s="5">
        <v>0</v>
      </c>
      <c r="N78" s="5">
        <f t="shared" si="20"/>
        <v>1833.08</v>
      </c>
    </row>
    <row r="79" spans="1:16" s="5" customFormat="1" x14ac:dyDescent="0.25">
      <c r="A79" t="s">
        <v>366</v>
      </c>
      <c r="B79" s="5">
        <v>-3691.03</v>
      </c>
      <c r="C79" s="5">
        <v>-3673.36</v>
      </c>
      <c r="D79" s="5">
        <v>-3655.63</v>
      </c>
      <c r="E79" s="5">
        <v>-3637.86</v>
      </c>
      <c r="F79" s="5">
        <v>-3620.04</v>
      </c>
      <c r="G79" s="5">
        <v>-3602.17</v>
      </c>
      <c r="H79" s="5">
        <v>-3584.24</v>
      </c>
      <c r="I79" s="5">
        <v>-3566.27</v>
      </c>
      <c r="J79" s="5">
        <v>-3548.25</v>
      </c>
      <c r="K79" s="5">
        <v>-3530.18</v>
      </c>
      <c r="L79" s="5">
        <v>-3512.06</v>
      </c>
      <c r="M79" s="5">
        <v>-3493.89</v>
      </c>
      <c r="N79" s="5">
        <f t="shared" si="20"/>
        <v>-18277.920000000002</v>
      </c>
    </row>
    <row r="80" spans="1:16" s="5" customFormat="1" x14ac:dyDescent="0.25">
      <c r="A80" t="s">
        <v>367</v>
      </c>
      <c r="B80" s="5">
        <v>-6058.71</v>
      </c>
      <c r="C80" s="5">
        <v>-6058.71</v>
      </c>
      <c r="D80" s="5">
        <v>-6058.71</v>
      </c>
      <c r="E80" s="5">
        <v>-6058.71</v>
      </c>
      <c r="F80" s="5">
        <v>-6058.71</v>
      </c>
      <c r="G80" s="5">
        <v>-6058.71</v>
      </c>
      <c r="H80" s="5">
        <v>-6058.71</v>
      </c>
      <c r="I80" s="5">
        <v>-6058.71</v>
      </c>
      <c r="J80" s="5">
        <v>-6058.71</v>
      </c>
      <c r="K80" s="5">
        <v>-6058.71</v>
      </c>
      <c r="L80" s="5">
        <v>-6058.71</v>
      </c>
      <c r="M80" s="5">
        <v>-6058.71</v>
      </c>
      <c r="N80" s="5">
        <f t="shared" si="20"/>
        <v>-30293.55</v>
      </c>
    </row>
    <row r="81" spans="1:15" x14ac:dyDescent="0.25">
      <c r="A81" s="4" t="s">
        <v>299</v>
      </c>
      <c r="B81" s="7">
        <f t="shared" ref="B81:M81" si="21">SUM(B76:B80)</f>
        <v>-1916.6600000000008</v>
      </c>
      <c r="C81" s="7">
        <f t="shared" si="21"/>
        <v>-3732.07</v>
      </c>
      <c r="D81" s="7">
        <f t="shared" si="21"/>
        <v>-3714.34</v>
      </c>
      <c r="E81" s="7">
        <f t="shared" si="21"/>
        <v>-3696.57</v>
      </c>
      <c r="F81" s="7">
        <f>SUM(F76:F80)</f>
        <v>-4678.75</v>
      </c>
      <c r="G81" s="7">
        <f t="shared" ref="G81:L81" si="22">SUM(G76:G80)</f>
        <v>-4660.88</v>
      </c>
      <c r="H81" s="7">
        <f t="shared" si="22"/>
        <v>-4642.95</v>
      </c>
      <c r="I81" s="7">
        <f t="shared" si="22"/>
        <v>-4624.9799999999996</v>
      </c>
      <c r="J81" s="7">
        <f t="shared" si="22"/>
        <v>-4527.0600000000004</v>
      </c>
      <c r="K81" s="7">
        <f t="shared" si="22"/>
        <v>-4588.8899999999994</v>
      </c>
      <c r="L81" s="7">
        <f t="shared" si="22"/>
        <v>-4570.7700000000004</v>
      </c>
      <c r="M81" s="7">
        <f t="shared" si="21"/>
        <v>-3552.6</v>
      </c>
      <c r="N81" s="7">
        <f>SUM(N76:N80)</f>
        <v>-17738.39</v>
      </c>
    </row>
    <row r="83" spans="1:15" ht="15.75" thickBot="1" x14ac:dyDescent="0.3">
      <c r="A83" s="4" t="s">
        <v>300</v>
      </c>
      <c r="B83" s="9">
        <f t="shared" ref="B83:M83" si="23">B20-B73+B81</f>
        <v>63046.079999999973</v>
      </c>
      <c r="C83" s="9">
        <f t="shared" si="23"/>
        <v>50012.599999999969</v>
      </c>
      <c r="D83" s="9">
        <f t="shared" si="23"/>
        <v>13220.929999999989</v>
      </c>
      <c r="E83" s="9">
        <f t="shared" si="23"/>
        <v>4942.919999999991</v>
      </c>
      <c r="F83" s="9">
        <f>F20-F73+F81</f>
        <v>-30308.14</v>
      </c>
      <c r="G83" s="9">
        <f t="shared" ref="G83:L83" si="24">G20-G73+G81</f>
        <v>-40141.129999999997</v>
      </c>
      <c r="H83" s="9">
        <f t="shared" si="24"/>
        <v>-42423.27</v>
      </c>
      <c r="I83" s="9">
        <f t="shared" si="24"/>
        <v>-35256.51</v>
      </c>
      <c r="J83" s="9">
        <f t="shared" si="24"/>
        <v>-40246.03</v>
      </c>
      <c r="K83" s="9">
        <f t="shared" si="24"/>
        <v>-37502.379999999997</v>
      </c>
      <c r="L83" s="9">
        <f t="shared" si="24"/>
        <v>57770.799999999988</v>
      </c>
      <c r="M83" s="9">
        <f t="shared" si="23"/>
        <v>7015.4399999999932</v>
      </c>
      <c r="N83" s="9">
        <f>N20-N73+N81</f>
        <v>100914.39000000003</v>
      </c>
      <c r="O83"/>
    </row>
    <row r="84" spans="1:15" ht="15.75" thickTop="1" x14ac:dyDescent="0.25"/>
    <row r="85" spans="1:15" x14ac:dyDescent="0.25">
      <c r="B85" s="5">
        <v>63046.080000000002</v>
      </c>
      <c r="C85" s="5">
        <v>50012.6</v>
      </c>
      <c r="D85" s="5">
        <v>13220.93</v>
      </c>
      <c r="E85" s="5">
        <v>4942.92</v>
      </c>
      <c r="F85" s="5">
        <v>-30308.14</v>
      </c>
      <c r="G85" s="5">
        <v>-40141.129999999997</v>
      </c>
      <c r="H85" s="5">
        <v>-42423.27</v>
      </c>
      <c r="I85" s="5">
        <v>-35256.51</v>
      </c>
      <c r="J85" s="5">
        <v>-40246.03</v>
      </c>
      <c r="K85" s="5">
        <v>-37502.379999999997</v>
      </c>
      <c r="L85" s="5">
        <v>57770.8</v>
      </c>
      <c r="M85" s="5">
        <v>7015.44</v>
      </c>
      <c r="N85" s="5">
        <v>-29868.69</v>
      </c>
    </row>
    <row r="86" spans="1:15" x14ac:dyDescent="0.25">
      <c r="B86" s="5">
        <f t="shared" ref="B86:N86" si="25">B83-B85</f>
        <v>0</v>
      </c>
      <c r="C86" s="5">
        <f t="shared" si="25"/>
        <v>0</v>
      </c>
      <c r="D86" s="5">
        <f t="shared" si="25"/>
        <v>0</v>
      </c>
      <c r="E86" s="5">
        <f t="shared" si="25"/>
        <v>-9.0949470177292824E-12</v>
      </c>
      <c r="F86" s="5">
        <f t="shared" si="25"/>
        <v>0</v>
      </c>
      <c r="G86" s="5">
        <f t="shared" ref="G86:L86" si="26">G83-G85</f>
        <v>0</v>
      </c>
      <c r="H86" s="5">
        <f t="shared" si="26"/>
        <v>0</v>
      </c>
      <c r="I86" s="5">
        <f t="shared" si="26"/>
        <v>0</v>
      </c>
      <c r="J86" s="5">
        <f t="shared" si="26"/>
        <v>0</v>
      </c>
      <c r="K86" s="5">
        <f t="shared" si="26"/>
        <v>0</v>
      </c>
      <c r="L86" s="5">
        <f t="shared" si="26"/>
        <v>0</v>
      </c>
      <c r="M86" s="5">
        <f t="shared" si="25"/>
        <v>0</v>
      </c>
      <c r="N86" s="5">
        <f t="shared" si="25"/>
        <v>130783.08000000003</v>
      </c>
    </row>
  </sheetData>
  <mergeCells count="3">
    <mergeCell ref="A1:N1"/>
    <mergeCell ref="A2:N2"/>
    <mergeCell ref="A3:N3"/>
  </mergeCells>
  <pageMargins left="0.7" right="0.7" top="0.75" bottom="0.75" header="0.3" footer="0.3"/>
  <pageSetup paperSize="5" scale="75" fitToHeight="0" orientation="landscape" r:id="rId1"/>
  <rowBreaks count="1" manualBreakCount="1">
    <brk id="34" max="1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17</vt:i4>
      </vt:variant>
    </vt:vector>
  </HeadingPairs>
  <TitlesOfParts>
    <vt:vector size="29" baseType="lpstr">
      <vt:lpstr>Summary YTD 12.31.18 (condensd)</vt:lpstr>
      <vt:lpstr>Summary YTD 12.31.18</vt:lpstr>
      <vt:lpstr>Comp Summary YTD 2018-2017 Dec</vt:lpstr>
      <vt:lpstr>Comp YTD 2018-2017 10.28.18</vt:lpstr>
      <vt:lpstr>Comp YTD 2018-2017 Dec</vt:lpstr>
      <vt:lpstr>DEP</vt:lpstr>
      <vt:lpstr>BPM</vt:lpstr>
      <vt:lpstr>Lending</vt:lpstr>
      <vt:lpstr>BSC (Dome)</vt:lpstr>
      <vt:lpstr>Oliari Co.</vt:lpstr>
      <vt:lpstr>722 Bedford St</vt:lpstr>
      <vt:lpstr>CNT</vt:lpstr>
      <vt:lpstr>'722 Bedford St'!Print_Area</vt:lpstr>
      <vt:lpstr>'BSC (Dome)'!Print_Area</vt:lpstr>
      <vt:lpstr>CNT!Print_Area</vt:lpstr>
      <vt:lpstr>'Comp Summary YTD 2018-2017 Dec'!Print_Area</vt:lpstr>
      <vt:lpstr>'Comp YTD 2018-2017 10.28.18'!Print_Area</vt:lpstr>
      <vt:lpstr>'Comp YTD 2018-2017 Dec'!Print_Area</vt:lpstr>
      <vt:lpstr>DEP!Print_Area</vt:lpstr>
      <vt:lpstr>'Oliari Co.'!Print_Area</vt:lpstr>
      <vt:lpstr>'Summary YTD 12.31.18'!Print_Area</vt:lpstr>
      <vt:lpstr>'Summary YTD 12.31.18 (condensd)'!Print_Area</vt:lpstr>
      <vt:lpstr>'BSC (Dome)'!Print_Titles</vt:lpstr>
      <vt:lpstr>CNT!Print_Titles</vt:lpstr>
      <vt:lpstr>'Comp Summary YTD 2018-2017 Dec'!Print_Titles</vt:lpstr>
      <vt:lpstr>'Comp YTD 2018-2017 10.28.18'!Print_Titles</vt:lpstr>
      <vt:lpstr>DEP!Print_Titles</vt:lpstr>
      <vt:lpstr>'Summary YTD 12.31.18'!Print_Titles</vt:lpstr>
      <vt:lpstr>'Summary YTD 12.31.18 (condensd)'!Print_Titles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Pezza</dc:creator>
  <cp:lastModifiedBy>Tessa Neil</cp:lastModifiedBy>
  <cp:lastPrinted>2019-01-24T20:03:42Z</cp:lastPrinted>
  <dcterms:created xsi:type="dcterms:W3CDTF">2018-05-13T15:03:39Z</dcterms:created>
  <dcterms:modified xsi:type="dcterms:W3CDTF">2019-05-16T14:11:12Z</dcterms:modified>
</cp:coreProperties>
</file>