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tfile.cntofma.local\cntshared\Accting\Pez Work\Published Financial Reports\"/>
    </mc:Choice>
  </mc:AlternateContent>
  <xr:revisionPtr revIDLastSave="0" documentId="13_ncr:1_{FFCDE56A-09BF-4634-A9BA-6C38BF976D61}" xr6:coauthVersionLast="32" xr6:coauthVersionMax="32" xr10:uidLastSave="{00000000-0000-0000-0000-000000000000}"/>
  <bookViews>
    <workbookView xWindow="0" yWindow="0" windowWidth="24000" windowHeight="9612" xr2:uid="{00000000-000D-0000-FFFF-FFFF00000000}"/>
  </bookViews>
  <sheets>
    <sheet name="2018" sheetId="4" r:id="rId1"/>
    <sheet name="2017" sheetId="1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'2017'!$A$185:$G$255</definedName>
    <definedName name="_xlnm.Print_Area" localSheetId="0">'2018'!$A$186:$G$256</definedName>
  </definedNames>
  <calcPr calcId="179017"/>
</workbook>
</file>

<file path=xl/calcChain.xml><?xml version="1.0" encoding="utf-8"?>
<calcChain xmlns="http://schemas.openxmlformats.org/spreadsheetml/2006/main">
  <c r="B265" i="1" l="1"/>
  <c r="H301" i="4"/>
  <c r="H92" i="4"/>
  <c r="G81" i="4"/>
  <c r="F76" i="4"/>
  <c r="F75" i="4"/>
  <c r="E78" i="4"/>
  <c r="E77" i="4"/>
  <c r="E76" i="4"/>
  <c r="E75" i="4"/>
  <c r="D78" i="4"/>
  <c r="D77" i="4"/>
  <c r="D76" i="4"/>
  <c r="D75" i="4"/>
  <c r="C78" i="4"/>
  <c r="C77" i="4"/>
  <c r="C76" i="4"/>
  <c r="C75" i="4"/>
  <c r="B80" i="4"/>
  <c r="B78" i="4"/>
  <c r="B77" i="4"/>
  <c r="B76" i="4"/>
  <c r="B75" i="4"/>
  <c r="F53" i="4"/>
  <c r="H68" i="4"/>
  <c r="G57" i="4"/>
  <c r="F52" i="4"/>
  <c r="E55" i="4"/>
  <c r="E54" i="4"/>
  <c r="E53" i="4"/>
  <c r="E52" i="4"/>
  <c r="D55" i="4"/>
  <c r="D54" i="4"/>
  <c r="D53" i="4"/>
  <c r="D52" i="4"/>
  <c r="C55" i="4"/>
  <c r="C54" i="4"/>
  <c r="C53" i="4"/>
  <c r="C52" i="4"/>
  <c r="B55" i="4"/>
  <c r="B54" i="4"/>
  <c r="B53" i="4"/>
  <c r="B52" i="4"/>
  <c r="H46" i="4"/>
  <c r="E32" i="4"/>
  <c r="E31" i="4"/>
  <c r="F30" i="4"/>
  <c r="E30" i="4"/>
  <c r="F29" i="4"/>
  <c r="E29" i="4"/>
  <c r="D32" i="4"/>
  <c r="D31" i="4"/>
  <c r="D30" i="4"/>
  <c r="D29" i="4"/>
  <c r="C32" i="4"/>
  <c r="C31" i="4"/>
  <c r="C30" i="4"/>
  <c r="C29" i="4"/>
  <c r="B32" i="4"/>
  <c r="B31" i="4"/>
  <c r="B30" i="4"/>
  <c r="B29" i="4"/>
  <c r="E8" i="4"/>
  <c r="F6" i="4"/>
  <c r="F7" i="4"/>
  <c r="H23" i="4"/>
  <c r="F8" i="4"/>
  <c r="E9" i="4"/>
  <c r="E7" i="4"/>
  <c r="E6" i="4"/>
  <c r="D9" i="4"/>
  <c r="D6" i="4"/>
  <c r="D7" i="4"/>
  <c r="D8" i="4"/>
  <c r="C9" i="4"/>
  <c r="C8" i="4"/>
  <c r="C7" i="4"/>
  <c r="C6" i="4"/>
  <c r="B9" i="4" l="1"/>
  <c r="B8" i="4"/>
  <c r="B7" i="4"/>
  <c r="B6" i="4"/>
  <c r="G300" i="4" l="1"/>
  <c r="B300" i="4"/>
  <c r="B79" i="4" l="1"/>
  <c r="C289" i="4" l="1"/>
  <c r="D289" i="4"/>
  <c r="E289" i="4"/>
  <c r="F289" i="4"/>
  <c r="G91" i="4"/>
  <c r="G80" i="4"/>
  <c r="B289" i="4" l="1"/>
  <c r="G289" i="4" s="1"/>
  <c r="D62" i="4" l="1"/>
  <c r="B86" i="4"/>
  <c r="F84" i="4" l="1"/>
  <c r="E84" i="4"/>
  <c r="D84" i="4"/>
  <c r="C84" i="4"/>
  <c r="B84" i="4"/>
  <c r="F79" i="4"/>
  <c r="E79" i="4"/>
  <c r="D79" i="4"/>
  <c r="C79" i="4"/>
  <c r="D82" i="4" l="1"/>
  <c r="F82" i="4" l="1"/>
  <c r="E82" i="4"/>
  <c r="G6" i="4"/>
  <c r="B82" i="4"/>
  <c r="B92" i="4" s="1"/>
  <c r="C82" i="4"/>
  <c r="C63" i="4"/>
  <c r="C62" i="4"/>
  <c r="B62" i="4"/>
  <c r="F60" i="4"/>
  <c r="E60" i="4"/>
  <c r="D60" i="4"/>
  <c r="C60" i="4"/>
  <c r="B60" i="4"/>
  <c r="F56" i="4"/>
  <c r="E56" i="4"/>
  <c r="D56" i="4"/>
  <c r="C56" i="4"/>
  <c r="B56" i="4"/>
  <c r="G56" i="4" l="1"/>
  <c r="B33" i="4"/>
  <c r="D39" i="4" l="1"/>
  <c r="C39" i="4"/>
  <c r="B39" i="4"/>
  <c r="F37" i="4" l="1"/>
  <c r="E37" i="4"/>
  <c r="D37" i="4"/>
  <c r="C37" i="4"/>
  <c r="B37" i="4"/>
  <c r="F33" i="4"/>
  <c r="E33" i="4"/>
  <c r="D33" i="4"/>
  <c r="C33" i="4"/>
  <c r="B10" i="4" l="1"/>
  <c r="I18" i="1" l="1"/>
  <c r="C10" i="4" l="1"/>
  <c r="D10" i="4"/>
  <c r="E10" i="4"/>
  <c r="F10" i="4"/>
  <c r="C17" i="4"/>
  <c r="B17" i="4"/>
  <c r="G17" i="4" s="1"/>
  <c r="D16" i="4" l="1"/>
  <c r="C16" i="4"/>
  <c r="B16" i="4"/>
  <c r="F14" i="4" l="1"/>
  <c r="E14" i="4"/>
  <c r="D14" i="4"/>
  <c r="C14" i="4"/>
  <c r="B14" i="4"/>
  <c r="E287" i="4" l="1"/>
  <c r="F299" i="4"/>
  <c r="E299" i="4"/>
  <c r="D299" i="4"/>
  <c r="C299" i="4"/>
  <c r="B299" i="4"/>
  <c r="F298" i="4"/>
  <c r="E298" i="4"/>
  <c r="D298" i="4"/>
  <c r="C298" i="4"/>
  <c r="F297" i="4"/>
  <c r="E297" i="4"/>
  <c r="D297" i="4"/>
  <c r="C297" i="4"/>
  <c r="B297" i="4"/>
  <c r="F296" i="4"/>
  <c r="E296" i="4"/>
  <c r="D296" i="4"/>
  <c r="C296" i="4"/>
  <c r="B296" i="4"/>
  <c r="F295" i="4"/>
  <c r="E295" i="4"/>
  <c r="F294" i="4"/>
  <c r="E294" i="4"/>
  <c r="D294" i="4"/>
  <c r="C294" i="4"/>
  <c r="F287" i="4"/>
  <c r="F286" i="4"/>
  <c r="G276" i="4"/>
  <c r="G275" i="4"/>
  <c r="G274" i="4"/>
  <c r="G273" i="4"/>
  <c r="G271" i="4"/>
  <c r="G266" i="4"/>
  <c r="D268" i="4"/>
  <c r="G254" i="4"/>
  <c r="G253" i="4"/>
  <c r="G252" i="4"/>
  <c r="G251" i="4"/>
  <c r="G250" i="4"/>
  <c r="G249" i="4"/>
  <c r="G248" i="4"/>
  <c r="E245" i="4"/>
  <c r="G231" i="4"/>
  <c r="G230" i="4"/>
  <c r="G229" i="4"/>
  <c r="G228" i="4"/>
  <c r="G227" i="4"/>
  <c r="G226" i="4"/>
  <c r="G225" i="4"/>
  <c r="G224" i="4"/>
  <c r="G219" i="4"/>
  <c r="F221" i="4"/>
  <c r="G205" i="4"/>
  <c r="G204" i="4"/>
  <c r="G203" i="4"/>
  <c r="G202" i="4"/>
  <c r="G201" i="4"/>
  <c r="G200" i="4"/>
  <c r="G199" i="4"/>
  <c r="G195" i="4"/>
  <c r="G194" i="4"/>
  <c r="G193" i="4"/>
  <c r="F197" i="4"/>
  <c r="D197" i="4"/>
  <c r="G182" i="4"/>
  <c r="G181" i="4"/>
  <c r="G180" i="4"/>
  <c r="G179" i="4"/>
  <c r="G177" i="4"/>
  <c r="G176" i="4"/>
  <c r="F174" i="4"/>
  <c r="F184" i="4" s="1"/>
  <c r="G159" i="4"/>
  <c r="G158" i="4"/>
  <c r="G157" i="4"/>
  <c r="G156" i="4"/>
  <c r="G155" i="4"/>
  <c r="G154" i="4"/>
  <c r="G149" i="4"/>
  <c r="F151" i="4"/>
  <c r="E151" i="4"/>
  <c r="B151" i="4"/>
  <c r="G136" i="4"/>
  <c r="G135" i="4"/>
  <c r="G134" i="4"/>
  <c r="G133" i="4"/>
  <c r="G132" i="4"/>
  <c r="G131" i="4"/>
  <c r="F128" i="4"/>
  <c r="D128" i="4"/>
  <c r="G113" i="4"/>
  <c r="G112" i="4"/>
  <c r="G111" i="4"/>
  <c r="G110" i="4"/>
  <c r="G109" i="4"/>
  <c r="G108" i="4"/>
  <c r="D105" i="4"/>
  <c r="C105" i="4"/>
  <c r="G90" i="4"/>
  <c r="G89" i="4"/>
  <c r="G88" i="4"/>
  <c r="G87" i="4"/>
  <c r="G86" i="4"/>
  <c r="G85" i="4"/>
  <c r="C92" i="4"/>
  <c r="D92" i="4"/>
  <c r="G66" i="4"/>
  <c r="G65" i="4"/>
  <c r="G64" i="4"/>
  <c r="G63" i="4"/>
  <c r="G62" i="4"/>
  <c r="G61" i="4"/>
  <c r="G43" i="4"/>
  <c r="G42" i="4"/>
  <c r="G41" i="4"/>
  <c r="G40" i="4"/>
  <c r="G39" i="4"/>
  <c r="G38" i="4"/>
  <c r="G20" i="4"/>
  <c r="G19" i="4"/>
  <c r="G18" i="4"/>
  <c r="D295" i="4"/>
  <c r="G16" i="4"/>
  <c r="G15" i="4"/>
  <c r="G14" i="4"/>
  <c r="G297" i="4" l="1"/>
  <c r="G299" i="4"/>
  <c r="D293" i="4"/>
  <c r="C288" i="4"/>
  <c r="G103" i="4"/>
  <c r="C221" i="4"/>
  <c r="G218" i="4"/>
  <c r="G241" i="4"/>
  <c r="G247" i="4"/>
  <c r="G263" i="4"/>
  <c r="E293" i="4"/>
  <c r="C293" i="4"/>
  <c r="F293" i="4"/>
  <c r="B105" i="4"/>
  <c r="F105" i="4"/>
  <c r="G107" i="4"/>
  <c r="B128" i="4"/>
  <c r="E128" i="4"/>
  <c r="G130" i="4"/>
  <c r="G146" i="4"/>
  <c r="C174" i="4"/>
  <c r="C184" i="4" s="1"/>
  <c r="B197" i="4"/>
  <c r="H206" i="4" s="1"/>
  <c r="E197" i="4"/>
  <c r="C268" i="4"/>
  <c r="G264" i="4"/>
  <c r="G265" i="4"/>
  <c r="F288" i="4"/>
  <c r="D288" i="4"/>
  <c r="G99" i="4"/>
  <c r="G122" i="4"/>
  <c r="G126" i="4"/>
  <c r="D151" i="4"/>
  <c r="D174" i="4"/>
  <c r="D184" i="4" s="1"/>
  <c r="G170" i="4"/>
  <c r="G171" i="4"/>
  <c r="C197" i="4"/>
  <c r="G239" i="4"/>
  <c r="F245" i="4"/>
  <c r="B245" i="4"/>
  <c r="E268" i="4"/>
  <c r="G60" i="4"/>
  <c r="G33" i="4"/>
  <c r="G84" i="4"/>
  <c r="B293" i="4"/>
  <c r="G102" i="4"/>
  <c r="C151" i="4"/>
  <c r="E174" i="4"/>
  <c r="E184" i="4" s="1"/>
  <c r="B221" i="4"/>
  <c r="G215" i="4"/>
  <c r="G242" i="4"/>
  <c r="G272" i="4"/>
  <c r="B295" i="4"/>
  <c r="G76" i="4"/>
  <c r="C295" i="4"/>
  <c r="G178" i="4"/>
  <c r="G191" i="4"/>
  <c r="D221" i="4"/>
  <c r="B268" i="4"/>
  <c r="F268" i="4"/>
  <c r="G37" i="4"/>
  <c r="E92" i="4"/>
  <c r="G77" i="4"/>
  <c r="G78" i="4"/>
  <c r="G100" i="4"/>
  <c r="G123" i="4"/>
  <c r="G168" i="4"/>
  <c r="G192" i="4"/>
  <c r="E221" i="4"/>
  <c r="G216" i="4"/>
  <c r="G217" i="4"/>
  <c r="G223" i="4"/>
  <c r="C245" i="4"/>
  <c r="G243" i="4"/>
  <c r="G262" i="4"/>
  <c r="G277" i="4"/>
  <c r="G270" i="4"/>
  <c r="G296" i="4"/>
  <c r="C128" i="4"/>
  <c r="G153" i="4"/>
  <c r="B174" i="4"/>
  <c r="B184" i="4" s="1"/>
  <c r="G172" i="4"/>
  <c r="E288" i="4"/>
  <c r="F92" i="4"/>
  <c r="G79" i="4"/>
  <c r="E105" i="4"/>
  <c r="H114" i="4" s="1"/>
  <c r="G101" i="4"/>
  <c r="G124" i="4"/>
  <c r="G125" i="4"/>
  <c r="G147" i="4"/>
  <c r="G148" i="4"/>
  <c r="G169" i="4"/>
  <c r="G214" i="4"/>
  <c r="B294" i="4"/>
  <c r="G294" i="4" s="1"/>
  <c r="D245" i="4"/>
  <c r="G240" i="4"/>
  <c r="B298" i="4"/>
  <c r="G298" i="4" s="1"/>
  <c r="G75" i="4"/>
  <c r="G145" i="4"/>
  <c r="G266" i="1"/>
  <c r="G82" i="4" l="1"/>
  <c r="G92" i="4" s="1"/>
  <c r="H91" i="4"/>
  <c r="H277" i="4"/>
  <c r="H254" i="4"/>
  <c r="G128" i="4"/>
  <c r="G138" i="4" s="1"/>
  <c r="I138" i="4" s="1"/>
  <c r="G293" i="4"/>
  <c r="G105" i="4"/>
  <c r="G115" i="4" s="1"/>
  <c r="I115" i="4" s="1"/>
  <c r="G245" i="4"/>
  <c r="G255" i="4" s="1"/>
  <c r="I255" i="4" s="1"/>
  <c r="I257" i="4" s="1"/>
  <c r="H160" i="4"/>
  <c r="H137" i="4"/>
  <c r="G268" i="4"/>
  <c r="G278" i="4" s="1"/>
  <c r="G197" i="4"/>
  <c r="G207" i="4" s="1"/>
  <c r="I206" i="4" s="1"/>
  <c r="G221" i="4"/>
  <c r="G232" i="4" s="1"/>
  <c r="H183" i="4"/>
  <c r="G151" i="4"/>
  <c r="G161" i="4" s="1"/>
  <c r="G295" i="4"/>
  <c r="H231" i="4"/>
  <c r="G174" i="4"/>
  <c r="G184" i="4" s="1"/>
  <c r="B242" i="1"/>
  <c r="I91" i="4" l="1"/>
  <c r="I207" i="4"/>
  <c r="I254" i="4"/>
  <c r="I137" i="4"/>
  <c r="I114" i="4"/>
  <c r="I278" i="4"/>
  <c r="I277" i="4"/>
  <c r="I184" i="4"/>
  <c r="I183" i="4"/>
  <c r="I161" i="4"/>
  <c r="I160" i="4"/>
  <c r="I232" i="4"/>
  <c r="I231" i="4"/>
  <c r="C271" i="1"/>
  <c r="B271" i="1"/>
  <c r="F269" i="1" l="1"/>
  <c r="F276" i="1" s="1"/>
  <c r="E269" i="1"/>
  <c r="E276" i="1" s="1"/>
  <c r="D269" i="1"/>
  <c r="D276" i="1" s="1"/>
  <c r="C269" i="1"/>
  <c r="C276" i="1" s="1"/>
  <c r="B269" i="1"/>
  <c r="B276" i="1" s="1"/>
  <c r="G276" i="1" l="1"/>
  <c r="G252" i="1"/>
  <c r="G253" i="1"/>
  <c r="C248" i="1" l="1"/>
  <c r="B248" i="1"/>
  <c r="B247" i="1" l="1"/>
  <c r="F246" i="1"/>
  <c r="E246" i="1"/>
  <c r="D246" i="1"/>
  <c r="C246" i="1"/>
  <c r="B246" i="1"/>
  <c r="G243" i="1"/>
  <c r="F242" i="1"/>
  <c r="E242" i="1"/>
  <c r="D242" i="1"/>
  <c r="F239" i="1" l="1"/>
  <c r="F238" i="1"/>
  <c r="E240" i="1"/>
  <c r="E238" i="1"/>
  <c r="D241" i="1"/>
  <c r="D240" i="1"/>
  <c r="D239" i="1"/>
  <c r="D238" i="1"/>
  <c r="C241" i="1"/>
  <c r="C240" i="1"/>
  <c r="C239" i="1"/>
  <c r="C238" i="1"/>
  <c r="B241" i="1"/>
  <c r="B240" i="1"/>
  <c r="B239" i="1"/>
  <c r="B238" i="1"/>
  <c r="B213" i="1"/>
  <c r="B214" i="1"/>
  <c r="B215" i="1"/>
  <c r="B216" i="1"/>
  <c r="B217" i="1"/>
  <c r="G238" i="1" l="1"/>
  <c r="G230" i="1"/>
  <c r="G229" i="1"/>
  <c r="G218" i="1"/>
  <c r="B228" i="1"/>
  <c r="B223" i="1" l="1"/>
  <c r="G219" i="1" l="1"/>
  <c r="F217" i="1" l="1"/>
  <c r="E217" i="1"/>
  <c r="D217" i="1"/>
  <c r="C217" i="1"/>
  <c r="G217" i="1" l="1"/>
  <c r="F222" i="1"/>
  <c r="E222" i="1"/>
  <c r="D222" i="1"/>
  <c r="C222" i="1"/>
  <c r="B222" i="1"/>
  <c r="C56" i="1" l="1"/>
  <c r="F198" i="1" l="1"/>
  <c r="E198" i="1"/>
  <c r="D198" i="1"/>
  <c r="C198" i="1"/>
  <c r="B198" i="1"/>
  <c r="C194" i="1"/>
  <c r="F194" i="1"/>
  <c r="E194" i="1"/>
  <c r="D194" i="1"/>
  <c r="B194" i="1"/>
  <c r="C171" i="1" l="1"/>
  <c r="F171" i="1"/>
  <c r="E171" i="1"/>
  <c r="D171" i="1"/>
  <c r="B171" i="1"/>
  <c r="C177" i="1" l="1"/>
  <c r="B177" i="1"/>
  <c r="F152" i="1" l="1"/>
  <c r="E152" i="1"/>
  <c r="D152" i="1"/>
  <c r="C152" i="1"/>
  <c r="B152" i="1"/>
  <c r="C148" i="1" l="1"/>
  <c r="F148" i="1"/>
  <c r="E148" i="1"/>
  <c r="D148" i="1"/>
  <c r="B148" i="1"/>
  <c r="F129" i="1" l="1"/>
  <c r="E129" i="1"/>
  <c r="D129" i="1"/>
  <c r="C129" i="1"/>
  <c r="B129" i="1"/>
  <c r="B33" i="1" l="1"/>
  <c r="F106" i="1" l="1"/>
  <c r="E106" i="1"/>
  <c r="D106" i="1"/>
  <c r="C106" i="1"/>
  <c r="B106" i="1"/>
  <c r="C102" i="1"/>
  <c r="F102" i="1"/>
  <c r="E102" i="1"/>
  <c r="D102" i="1"/>
  <c r="B102" i="1"/>
  <c r="C79" i="1" l="1"/>
  <c r="B79" i="1"/>
  <c r="F83" i="1"/>
  <c r="E83" i="1"/>
  <c r="D83" i="1"/>
  <c r="C83" i="1"/>
  <c r="B83" i="1"/>
  <c r="F79" i="1"/>
  <c r="E79" i="1"/>
  <c r="D79" i="1"/>
  <c r="E78" i="1" l="1"/>
  <c r="F295" i="1" l="1"/>
  <c r="E295" i="1"/>
  <c r="D295" i="1"/>
  <c r="C295" i="1"/>
  <c r="B295" i="1"/>
  <c r="G18" i="1" l="1"/>
  <c r="G41" i="1"/>
  <c r="G64" i="1"/>
  <c r="G273" i="1" l="1"/>
  <c r="G250" i="1"/>
  <c r="G226" i="1"/>
  <c r="G201" i="1"/>
  <c r="G179" i="1"/>
  <c r="G156" i="1"/>
  <c r="G133" i="1"/>
  <c r="G110" i="1"/>
  <c r="G87" i="1"/>
  <c r="G295" i="1" l="1"/>
  <c r="G65" i="1"/>
  <c r="G66" i="1"/>
  <c r="C297" i="1"/>
  <c r="D297" i="1"/>
  <c r="E297" i="1"/>
  <c r="F297" i="1"/>
  <c r="B297" i="1"/>
  <c r="G274" i="1"/>
  <c r="G251" i="1"/>
  <c r="G227" i="1"/>
  <c r="G203" i="1"/>
  <c r="G180" i="1"/>
  <c r="G157" i="1"/>
  <c r="G134" i="1"/>
  <c r="G111" i="1"/>
  <c r="G88" i="1"/>
  <c r="F60" i="1" l="1"/>
  <c r="E60" i="1"/>
  <c r="D60" i="1"/>
  <c r="C60" i="1"/>
  <c r="B60" i="1"/>
  <c r="E55" i="1"/>
  <c r="G20" i="1" l="1"/>
  <c r="G297" i="1"/>
  <c r="G43" i="1"/>
  <c r="F37" i="1" l="1"/>
  <c r="E37" i="1"/>
  <c r="D37" i="1"/>
  <c r="C37" i="1"/>
  <c r="B37" i="1"/>
  <c r="F33" i="1" l="1"/>
  <c r="E33" i="1"/>
  <c r="D33" i="1"/>
  <c r="C33" i="1"/>
  <c r="K240" i="3" l="1"/>
  <c r="K249" i="3"/>
  <c r="K264" i="3"/>
  <c r="K278" i="3"/>
  <c r="K342" i="3"/>
  <c r="K355" i="3"/>
  <c r="K380" i="3"/>
  <c r="K416" i="3"/>
  <c r="K432" i="3"/>
  <c r="K446" i="3"/>
  <c r="K463" i="3"/>
  <c r="K466" i="3"/>
  <c r="K539" i="3"/>
  <c r="K567" i="3"/>
  <c r="K189" i="3"/>
  <c r="K160" i="3"/>
  <c r="K136" i="3"/>
  <c r="K101" i="3"/>
  <c r="K88" i="3"/>
  <c r="K55" i="3"/>
  <c r="K9" i="3"/>
  <c r="K552" i="2"/>
  <c r="K542" i="2"/>
  <c r="K141" i="2"/>
  <c r="K135" i="2"/>
  <c r="K132" i="2"/>
  <c r="K71" i="2"/>
  <c r="I552" i="2"/>
  <c r="I542" i="2"/>
  <c r="I141" i="2"/>
  <c r="I135" i="2"/>
  <c r="I132" i="2"/>
  <c r="I71" i="2"/>
  <c r="K568" i="3" l="1"/>
  <c r="K553" i="2"/>
  <c r="I553" i="2"/>
  <c r="C14" i="1"/>
  <c r="D16" i="1" l="1"/>
  <c r="C16" i="1"/>
  <c r="B16" i="1"/>
  <c r="E9" i="1" l="1"/>
  <c r="C296" i="1" l="1"/>
  <c r="D296" i="1"/>
  <c r="E296" i="1"/>
  <c r="F296" i="1"/>
  <c r="C294" i="1"/>
  <c r="D294" i="1"/>
  <c r="E294" i="1"/>
  <c r="F294" i="1"/>
  <c r="C293" i="1"/>
  <c r="D293" i="1"/>
  <c r="E293" i="1"/>
  <c r="F293" i="1"/>
  <c r="C292" i="1"/>
  <c r="D292" i="1"/>
  <c r="E292" i="1"/>
  <c r="F292" i="1"/>
  <c r="C291" i="1"/>
  <c r="D291" i="1"/>
  <c r="E291" i="1"/>
  <c r="F291" i="1"/>
  <c r="F286" i="1"/>
  <c r="F285" i="1"/>
  <c r="G275" i="1"/>
  <c r="G272" i="1"/>
  <c r="G271" i="1"/>
  <c r="G270" i="1"/>
  <c r="G269" i="1"/>
  <c r="G249" i="1"/>
  <c r="G247" i="1"/>
  <c r="G246" i="1"/>
  <c r="F244" i="1"/>
  <c r="F254" i="1" s="1"/>
  <c r="D244" i="1"/>
  <c r="D254" i="1" s="1"/>
  <c r="G240" i="1"/>
  <c r="G228" i="1"/>
  <c r="G225" i="1"/>
  <c r="G224" i="1"/>
  <c r="G223" i="1"/>
  <c r="G222" i="1"/>
  <c r="G204" i="1"/>
  <c r="G202" i="1"/>
  <c r="G199" i="1"/>
  <c r="G198" i="1"/>
  <c r="G194" i="1"/>
  <c r="G181" i="1"/>
  <c r="G178" i="1"/>
  <c r="G177" i="1"/>
  <c r="G176" i="1"/>
  <c r="G175" i="1"/>
  <c r="G171" i="1"/>
  <c r="G158" i="1"/>
  <c r="G155" i="1"/>
  <c r="G154" i="1"/>
  <c r="G153" i="1"/>
  <c r="G152" i="1"/>
  <c r="G148" i="1"/>
  <c r="G135" i="1"/>
  <c r="G132" i="1"/>
  <c r="G131" i="1"/>
  <c r="G130" i="1"/>
  <c r="G129" i="1"/>
  <c r="G112" i="1"/>
  <c r="G109" i="1"/>
  <c r="G108" i="1"/>
  <c r="G107" i="1"/>
  <c r="G106" i="1"/>
  <c r="G102" i="1"/>
  <c r="G89" i="1"/>
  <c r="G86" i="1"/>
  <c r="G85" i="1"/>
  <c r="G84" i="1"/>
  <c r="G83" i="1"/>
  <c r="G79" i="1"/>
  <c r="G63" i="1"/>
  <c r="G61" i="1"/>
  <c r="G60" i="1"/>
  <c r="G42" i="1"/>
  <c r="G40" i="1"/>
  <c r="G39" i="1"/>
  <c r="G38" i="1"/>
  <c r="G37" i="1"/>
  <c r="G33" i="1"/>
  <c r="G16" i="1"/>
  <c r="G17" i="1"/>
  <c r="G19" i="1"/>
  <c r="B296" i="1" l="1"/>
  <c r="G296" i="1" s="1"/>
  <c r="B294" i="1"/>
  <c r="G294" i="1" s="1"/>
  <c r="B292" i="1" l="1"/>
  <c r="G292" i="1" s="1"/>
  <c r="B291" i="1" l="1"/>
  <c r="G15" i="1" l="1"/>
  <c r="G14" i="1"/>
  <c r="G291" i="1" l="1"/>
  <c r="D56" i="1" l="1"/>
  <c r="F56" i="1"/>
  <c r="E56" i="1"/>
  <c r="B56" i="1" l="1"/>
  <c r="G56" i="1" l="1"/>
  <c r="D125" i="1" l="1"/>
  <c r="F125" i="1"/>
  <c r="E125" i="1"/>
  <c r="C125" i="1" l="1"/>
  <c r="B125" i="1" l="1"/>
  <c r="G125" i="1" l="1"/>
  <c r="C213" i="1" l="1"/>
  <c r="D213" i="1"/>
  <c r="E213" i="1"/>
  <c r="F213" i="1"/>
  <c r="E190" i="1"/>
  <c r="G213" i="1" l="1"/>
  <c r="D145" i="1" l="1"/>
  <c r="E167" i="1" l="1"/>
  <c r="B167" i="1"/>
  <c r="E101" i="1" l="1"/>
  <c r="D101" i="1"/>
  <c r="C101" i="1"/>
  <c r="B101" i="1"/>
  <c r="E100" i="1"/>
  <c r="D100" i="1"/>
  <c r="C100" i="1"/>
  <c r="B100" i="1"/>
  <c r="F99" i="1"/>
  <c r="E99" i="1"/>
  <c r="D99" i="1"/>
  <c r="C99" i="1"/>
  <c r="B99" i="1"/>
  <c r="B98" i="1"/>
  <c r="C98" i="1"/>
  <c r="D98" i="1"/>
  <c r="E98" i="1"/>
  <c r="F98" i="1"/>
  <c r="D104" i="1" l="1"/>
  <c r="D114" i="1" s="1"/>
  <c r="G100" i="1"/>
  <c r="F104" i="1"/>
  <c r="F114" i="1" s="1"/>
  <c r="E104" i="1"/>
  <c r="E114" i="1" s="1"/>
  <c r="C104" i="1"/>
  <c r="C114" i="1" s="1"/>
  <c r="G101" i="1"/>
  <c r="G99" i="1"/>
  <c r="G98" i="1"/>
  <c r="B104" i="1"/>
  <c r="B114" i="1" s="1"/>
  <c r="H113" i="1" l="1"/>
  <c r="G104" i="1"/>
  <c r="G114" i="1" s="1"/>
  <c r="I113" i="1" l="1"/>
  <c r="F52" i="1"/>
  <c r="E52" i="1" l="1"/>
  <c r="E32" i="1" l="1"/>
  <c r="F29" i="1" l="1"/>
  <c r="F75" i="1"/>
  <c r="F121" i="1"/>
  <c r="F144" i="1"/>
  <c r="F167" i="1"/>
  <c r="F190" i="1"/>
  <c r="F6" i="1"/>
  <c r="C6" i="1"/>
  <c r="C215" i="1" l="1"/>
  <c r="D215" i="1"/>
  <c r="E215" i="1"/>
  <c r="C216" i="1"/>
  <c r="D216" i="1"/>
  <c r="E216" i="1"/>
  <c r="C214" i="1"/>
  <c r="D214" i="1"/>
  <c r="E214" i="1"/>
  <c r="F214" i="1"/>
  <c r="F220" i="1" s="1"/>
  <c r="F231" i="1" s="1"/>
  <c r="D220" i="1" l="1"/>
  <c r="D231" i="1" s="1"/>
  <c r="C220" i="1"/>
  <c r="C231" i="1" s="1"/>
  <c r="E220" i="1"/>
  <c r="E231" i="1" s="1"/>
  <c r="G214" i="1"/>
  <c r="B220" i="1"/>
  <c r="G216" i="1"/>
  <c r="G215" i="1"/>
  <c r="B231" i="1" l="1"/>
  <c r="H230" i="1" s="1"/>
  <c r="G220" i="1"/>
  <c r="G231" i="1" s="1"/>
  <c r="G195" i="1"/>
  <c r="E193" i="1"/>
  <c r="D193" i="1"/>
  <c r="C193" i="1"/>
  <c r="B193" i="1"/>
  <c r="E192" i="1"/>
  <c r="D192" i="1"/>
  <c r="C192" i="1"/>
  <c r="B192" i="1"/>
  <c r="F191" i="1"/>
  <c r="F196" i="1" s="1"/>
  <c r="F206" i="1" s="1"/>
  <c r="E191" i="1"/>
  <c r="D191" i="1"/>
  <c r="C191" i="1"/>
  <c r="B191" i="1"/>
  <c r="D190" i="1"/>
  <c r="C190" i="1"/>
  <c r="B190" i="1"/>
  <c r="I230" i="1" l="1"/>
  <c r="B196" i="1"/>
  <c r="D196" i="1"/>
  <c r="D206" i="1" s="1"/>
  <c r="E196" i="1"/>
  <c r="E206" i="1" s="1"/>
  <c r="G192" i="1"/>
  <c r="G193" i="1"/>
  <c r="C196" i="1"/>
  <c r="C206" i="1" s="1"/>
  <c r="G190" i="1"/>
  <c r="G191" i="1"/>
  <c r="G196" i="1" l="1"/>
  <c r="E169" i="1" l="1"/>
  <c r="D169" i="1"/>
  <c r="B169" i="1"/>
  <c r="B168" i="1" l="1"/>
  <c r="C168" i="1"/>
  <c r="D168" i="1"/>
  <c r="E168" i="1"/>
  <c r="F168" i="1"/>
  <c r="F173" i="1" s="1"/>
  <c r="F183" i="1" s="1"/>
  <c r="C169" i="1"/>
  <c r="G169" i="1" s="1"/>
  <c r="B170" i="1"/>
  <c r="C170" i="1"/>
  <c r="D170" i="1"/>
  <c r="E170" i="1"/>
  <c r="C167" i="1"/>
  <c r="D167" i="1"/>
  <c r="E147" i="1"/>
  <c r="D173" i="1" l="1"/>
  <c r="D183" i="1" s="1"/>
  <c r="C173" i="1"/>
  <c r="C183" i="1" s="1"/>
  <c r="G167" i="1"/>
  <c r="E173" i="1"/>
  <c r="E183" i="1" s="1"/>
  <c r="G170" i="1"/>
  <c r="G168" i="1"/>
  <c r="B173" i="1"/>
  <c r="B183" i="1" s="1"/>
  <c r="B144" i="1"/>
  <c r="C144" i="1"/>
  <c r="D144" i="1"/>
  <c r="E144" i="1"/>
  <c r="H182" i="1" l="1"/>
  <c r="G173" i="1"/>
  <c r="G144" i="1"/>
  <c r="G183" i="1" l="1"/>
  <c r="I182" i="1" s="1"/>
  <c r="D147" i="1"/>
  <c r="B145" i="1" l="1"/>
  <c r="C145" i="1"/>
  <c r="E145" i="1"/>
  <c r="F145" i="1"/>
  <c r="F150" i="1" s="1"/>
  <c r="F160" i="1" s="1"/>
  <c r="B146" i="1"/>
  <c r="C146" i="1"/>
  <c r="D146" i="1"/>
  <c r="D150" i="1" s="1"/>
  <c r="D160" i="1" s="1"/>
  <c r="E146" i="1"/>
  <c r="B147" i="1"/>
  <c r="C147" i="1"/>
  <c r="G149" i="1"/>
  <c r="G147" i="1" l="1"/>
  <c r="G146" i="1"/>
  <c r="E150" i="1"/>
  <c r="E160" i="1" s="1"/>
  <c r="G145" i="1"/>
  <c r="B150" i="1"/>
  <c r="B160" i="1" s="1"/>
  <c r="C150" i="1"/>
  <c r="C160" i="1" s="1"/>
  <c r="H159" i="1" l="1"/>
  <c r="G150" i="1"/>
  <c r="G160" i="1" s="1"/>
  <c r="I159" i="1" l="1"/>
  <c r="C124" i="1" l="1"/>
  <c r="B124" i="1"/>
  <c r="D123" i="1"/>
  <c r="C123" i="1"/>
  <c r="E122" i="1"/>
  <c r="D122" i="1"/>
  <c r="C122" i="1"/>
  <c r="B122" i="1"/>
  <c r="C121" i="1"/>
  <c r="B121" i="1"/>
  <c r="D121" i="1" l="1"/>
  <c r="D127" i="1" s="1"/>
  <c r="D137" i="1" s="1"/>
  <c r="F122" i="1"/>
  <c r="F127" i="1" s="1"/>
  <c r="F137" i="1" s="1"/>
  <c r="E123" i="1"/>
  <c r="G126" i="1"/>
  <c r="C127" i="1"/>
  <c r="C137" i="1" s="1"/>
  <c r="E121" i="1"/>
  <c r="B123" i="1"/>
  <c r="G123" i="1" s="1"/>
  <c r="G124" i="1"/>
  <c r="E127" i="1" l="1"/>
  <c r="E137" i="1" s="1"/>
  <c r="B127" i="1"/>
  <c r="B137" i="1" s="1"/>
  <c r="G122" i="1"/>
  <c r="G121" i="1"/>
  <c r="H136" i="1" l="1"/>
  <c r="G127" i="1"/>
  <c r="G137" i="1" s="1"/>
  <c r="I136" i="1" l="1"/>
  <c r="C77" i="1"/>
  <c r="B29" i="1" l="1"/>
  <c r="G34" i="1"/>
  <c r="G57" i="1"/>
  <c r="D9" i="1"/>
  <c r="D32" i="1"/>
  <c r="D55" i="1"/>
  <c r="C9" i="1"/>
  <c r="C32" i="1"/>
  <c r="C55" i="1"/>
  <c r="B9" i="1"/>
  <c r="B32" i="1"/>
  <c r="B55" i="1"/>
  <c r="E31" i="1"/>
  <c r="E54" i="1"/>
  <c r="D8" i="1"/>
  <c r="D31" i="1"/>
  <c r="D54" i="1"/>
  <c r="C8" i="1"/>
  <c r="C31" i="1"/>
  <c r="C54" i="1"/>
  <c r="B31" i="1"/>
  <c r="B54" i="1"/>
  <c r="F30" i="1"/>
  <c r="F35" i="1" s="1"/>
  <c r="F45" i="1" s="1"/>
  <c r="F53" i="1"/>
  <c r="F58" i="1" s="1"/>
  <c r="F68" i="1" s="1"/>
  <c r="E7" i="1"/>
  <c r="E30" i="1"/>
  <c r="E53" i="1"/>
  <c r="D7" i="1"/>
  <c r="D30" i="1"/>
  <c r="D53" i="1"/>
  <c r="C7" i="1"/>
  <c r="C30" i="1"/>
  <c r="C53" i="1"/>
  <c r="B7" i="1"/>
  <c r="B30" i="1"/>
  <c r="B53" i="1"/>
  <c r="E29" i="1"/>
  <c r="D29" i="1"/>
  <c r="D52" i="1"/>
  <c r="C29" i="1"/>
  <c r="C52" i="1"/>
  <c r="B6" i="1"/>
  <c r="B52" i="1"/>
  <c r="G80" i="1"/>
  <c r="D78" i="1"/>
  <c r="C78" i="1"/>
  <c r="B78" i="1"/>
  <c r="E77" i="1"/>
  <c r="D77" i="1"/>
  <c r="B77" i="1"/>
  <c r="F76" i="1"/>
  <c r="F81" i="1" s="1"/>
  <c r="F91" i="1" s="1"/>
  <c r="E76" i="1"/>
  <c r="D76" i="1"/>
  <c r="C76" i="1"/>
  <c r="B76" i="1"/>
  <c r="E75" i="1"/>
  <c r="D75" i="1"/>
  <c r="C75" i="1"/>
  <c r="B75" i="1"/>
  <c r="G54" i="1" l="1"/>
  <c r="G55" i="1"/>
  <c r="D35" i="1"/>
  <c r="D45" i="1" s="1"/>
  <c r="C81" i="1"/>
  <c r="C91" i="1" s="1"/>
  <c r="D81" i="1"/>
  <c r="D91" i="1" s="1"/>
  <c r="C58" i="1"/>
  <c r="C68" i="1" s="1"/>
  <c r="D58" i="1"/>
  <c r="D68" i="1" s="1"/>
  <c r="G30" i="1"/>
  <c r="E58" i="1"/>
  <c r="E68" i="1" s="1"/>
  <c r="G76" i="1"/>
  <c r="G32" i="1"/>
  <c r="G77" i="1"/>
  <c r="G78" i="1"/>
  <c r="G29" i="1"/>
  <c r="C35" i="1"/>
  <c r="C45" i="1" s="1"/>
  <c r="G53" i="1"/>
  <c r="E35" i="1"/>
  <c r="E45" i="1" s="1"/>
  <c r="F7" i="1"/>
  <c r="G31" i="1"/>
  <c r="E8" i="1"/>
  <c r="G11" i="1"/>
  <c r="G288" i="1" s="1"/>
  <c r="B81" i="1"/>
  <c r="B91" i="1" s="1"/>
  <c r="G75" i="1"/>
  <c r="E81" i="1"/>
  <c r="E91" i="1" s="1"/>
  <c r="G52" i="1"/>
  <c r="B58" i="1"/>
  <c r="D6" i="1"/>
  <c r="E6" i="1"/>
  <c r="C12" i="1"/>
  <c r="C22" i="1" s="1"/>
  <c r="B8" i="1"/>
  <c r="B12" i="1" s="1"/>
  <c r="G9" i="1"/>
  <c r="B35" i="1"/>
  <c r="B45" i="1" s="1"/>
  <c r="G81" i="1" l="1"/>
  <c r="G91" i="1" s="1"/>
  <c r="G58" i="1"/>
  <c r="G8" i="1"/>
  <c r="G7" i="1"/>
  <c r="G35" i="1"/>
  <c r="G45" i="1" s="1"/>
  <c r="B22" i="1"/>
  <c r="H90" i="1"/>
  <c r="H45" i="1"/>
  <c r="G6" i="1"/>
  <c r="I90" i="1" l="1"/>
  <c r="I45" i="1"/>
  <c r="H46" i="1" l="1"/>
  <c r="I46" i="1" s="1"/>
  <c r="G248" i="1" l="1"/>
  <c r="C242" i="1" l="1"/>
  <c r="G242" i="1" s="1"/>
  <c r="C244" i="1" l="1"/>
  <c r="C254" i="1" s="1"/>
  <c r="B244" i="1" l="1"/>
  <c r="B254" i="1" s="1"/>
  <c r="B261" i="1" l="1"/>
  <c r="C261" i="1"/>
  <c r="D261" i="1"/>
  <c r="E261" i="1"/>
  <c r="F261" i="1"/>
  <c r="B262" i="1"/>
  <c r="C262" i="1"/>
  <c r="C284" i="1" s="1"/>
  <c r="D262" i="1"/>
  <c r="D284" i="1" s="1"/>
  <c r="E239" i="1"/>
  <c r="E262" i="1"/>
  <c r="F262" i="1"/>
  <c r="F284" i="1" s="1"/>
  <c r="B263" i="1"/>
  <c r="C263" i="1"/>
  <c r="C285" i="1" s="1"/>
  <c r="D263" i="1"/>
  <c r="D285" i="1" s="1"/>
  <c r="E263" i="1"/>
  <c r="E285" i="1" s="1"/>
  <c r="B264" i="1"/>
  <c r="C264" i="1"/>
  <c r="C286" i="1" s="1"/>
  <c r="D264" i="1"/>
  <c r="D286" i="1" s="1"/>
  <c r="E241" i="1"/>
  <c r="G241" i="1" s="1"/>
  <c r="E264" i="1"/>
  <c r="E286" i="1" l="1"/>
  <c r="E284" i="1"/>
  <c r="E244" i="1"/>
  <c r="E254" i="1" s="1"/>
  <c r="H253" i="1" s="1"/>
  <c r="G239" i="1"/>
  <c r="G244" i="1" s="1"/>
  <c r="G263" i="1"/>
  <c r="B285" i="1"/>
  <c r="G285" i="1" s="1"/>
  <c r="G264" i="1"/>
  <c r="B286" i="1"/>
  <c r="G262" i="1"/>
  <c r="B284" i="1"/>
  <c r="G284" i="1" s="1"/>
  <c r="F283" i="1"/>
  <c r="E283" i="1"/>
  <c r="D283" i="1"/>
  <c r="C283" i="1"/>
  <c r="G261" i="1"/>
  <c r="B283" i="1"/>
  <c r="G286" i="1" l="1"/>
  <c r="G254" i="1"/>
  <c r="G283" i="1"/>
  <c r="I253" i="1" l="1"/>
  <c r="F265" i="1" l="1"/>
  <c r="F267" i="1" l="1"/>
  <c r="F277" i="1" s="1"/>
  <c r="D265" i="1" l="1"/>
  <c r="E265" i="1"/>
  <c r="E267" i="1" l="1"/>
  <c r="E277" i="1" s="1"/>
  <c r="D267" i="1"/>
  <c r="D277" i="1" s="1"/>
  <c r="C265" i="1" l="1"/>
  <c r="C287" i="1" l="1"/>
  <c r="C289" i="1" s="1"/>
  <c r="C267" i="1"/>
  <c r="C277" i="1" s="1"/>
  <c r="C299" i="1" s="1"/>
  <c r="G265" i="1"/>
  <c r="B287" i="1"/>
  <c r="B267" i="1"/>
  <c r="B277" i="1" s="1"/>
  <c r="G267" i="1" l="1"/>
  <c r="G277" i="1" s="1"/>
  <c r="I265" i="1"/>
  <c r="B289" i="1"/>
  <c r="H276" i="1"/>
  <c r="I276" i="1" l="1"/>
  <c r="H254" i="1"/>
  <c r="I254" i="1" s="1"/>
  <c r="I256" i="1" s="1"/>
  <c r="H277" i="1" l="1"/>
  <c r="I277" i="1" s="1"/>
  <c r="B200" i="1" l="1"/>
  <c r="G200" i="1" l="1"/>
  <c r="G206" i="1" s="1"/>
  <c r="B206" i="1"/>
  <c r="H205" i="1" s="1"/>
  <c r="I205" i="1" l="1"/>
  <c r="B62" i="1" l="1"/>
  <c r="G62" i="1" l="1"/>
  <c r="G68" i="1" s="1"/>
  <c r="B293" i="1"/>
  <c r="G293" i="1" s="1"/>
  <c r="B68" i="1"/>
  <c r="H67" i="1" l="1"/>
  <c r="I67" i="1" s="1"/>
  <c r="B299" i="1"/>
  <c r="H231" i="1" l="1"/>
  <c r="I231" i="1" s="1"/>
  <c r="H183" i="1" l="1"/>
  <c r="I183" i="1" s="1"/>
  <c r="H206" i="1"/>
  <c r="I206" i="1" s="1"/>
  <c r="H160" i="1" l="1"/>
  <c r="I160" i="1" s="1"/>
  <c r="H137" i="1" l="1"/>
  <c r="I137" i="1" s="1"/>
  <c r="H114" i="1"/>
  <c r="I114" i="1" s="1"/>
  <c r="H68" i="1"/>
  <c r="I68" i="1" s="1"/>
  <c r="H23" i="1" l="1"/>
  <c r="H91" i="1" l="1"/>
  <c r="I91" i="1" s="1"/>
  <c r="H299" i="1" l="1"/>
  <c r="F10" i="1" l="1"/>
  <c r="E10" i="1"/>
  <c r="F12" i="1" l="1"/>
  <c r="F22" i="1" s="1"/>
  <c r="F299" i="1" s="1"/>
  <c r="F287" i="1"/>
  <c r="F289" i="1" s="1"/>
  <c r="E12" i="1"/>
  <c r="E22" i="1" s="1"/>
  <c r="E299" i="1" s="1"/>
  <c r="E287" i="1"/>
  <c r="E289" i="1" s="1"/>
  <c r="D10" i="1"/>
  <c r="G10" i="1" l="1"/>
  <c r="G12" i="1" s="1"/>
  <c r="G22" i="1" s="1"/>
  <c r="D12" i="1"/>
  <c r="D22" i="1" s="1"/>
  <c r="D287" i="1"/>
  <c r="D289" i="1" l="1"/>
  <c r="G287" i="1"/>
  <c r="G289" i="1" s="1"/>
  <c r="G299" i="1" s="1"/>
  <c r="I299" i="1" s="1"/>
  <c r="H22" i="1"/>
  <c r="I22" i="1" s="1"/>
  <c r="D299" i="1"/>
  <c r="H298" i="1" s="1"/>
  <c r="I23" i="1"/>
  <c r="I298" i="1" l="1"/>
  <c r="B288" i="4" l="1"/>
  <c r="G10" i="4"/>
  <c r="H10" i="4" s="1"/>
  <c r="G288" i="4" l="1"/>
  <c r="F12" i="4" l="1"/>
  <c r="F22" i="4" s="1"/>
  <c r="E12" i="4" l="1"/>
  <c r="E22" i="4" s="1"/>
  <c r="G9" i="4"/>
  <c r="G7" i="4"/>
  <c r="B12" i="4"/>
  <c r="B22" i="4" s="1"/>
  <c r="C12" i="4"/>
  <c r="C22" i="4" s="1"/>
  <c r="D12" i="4"/>
  <c r="D22" i="4" s="1"/>
  <c r="G8" i="4"/>
  <c r="H22" i="4" l="1"/>
  <c r="G12" i="4"/>
  <c r="G22" i="4" s="1"/>
  <c r="I23" i="4" s="1"/>
  <c r="I22" i="4" l="1"/>
  <c r="G290" i="4" l="1"/>
  <c r="F58" i="4"/>
  <c r="F68" i="4" s="1"/>
  <c r="D58" i="4" l="1"/>
  <c r="D68" i="4" s="1"/>
  <c r="E58" i="4"/>
  <c r="E68" i="4" s="1"/>
  <c r="G55" i="4"/>
  <c r="G54" i="4"/>
  <c r="C58" i="4"/>
  <c r="C68" i="4" s="1"/>
  <c r="G52" i="4"/>
  <c r="B58" i="4"/>
  <c r="B68" i="4" s="1"/>
  <c r="G53" i="4"/>
  <c r="H67" i="4" l="1"/>
  <c r="G58" i="4"/>
  <c r="G68" i="4" s="1"/>
  <c r="I67" i="4" l="1"/>
  <c r="B284" i="4"/>
  <c r="D287" i="4" l="1"/>
  <c r="C287" i="4"/>
  <c r="E286" i="4"/>
  <c r="D286" i="4"/>
  <c r="C286" i="4"/>
  <c r="F285" i="4"/>
  <c r="E285" i="4"/>
  <c r="D285" i="4"/>
  <c r="C285" i="4"/>
  <c r="F35" i="4" l="1"/>
  <c r="F45" i="4" s="1"/>
  <c r="F301" i="4" s="1"/>
  <c r="F284" i="4"/>
  <c r="F291" i="4" s="1"/>
  <c r="E35" i="4"/>
  <c r="E45" i="4" s="1"/>
  <c r="E301" i="4" s="1"/>
  <c r="E284" i="4"/>
  <c r="E291" i="4" s="1"/>
  <c r="G30" i="4"/>
  <c r="B285" i="4"/>
  <c r="B35" i="4"/>
  <c r="B45" i="4" s="1"/>
  <c r="B301" i="4" s="1"/>
  <c r="D35" i="4"/>
  <c r="D45" i="4" s="1"/>
  <c r="D301" i="4" s="1"/>
  <c r="D284" i="4"/>
  <c r="D291" i="4" s="1"/>
  <c r="G32" i="4"/>
  <c r="B287" i="4"/>
  <c r="G287" i="4" s="1"/>
  <c r="G31" i="4"/>
  <c r="B286" i="4"/>
  <c r="G286" i="4" s="1"/>
  <c r="C35" i="4"/>
  <c r="C45" i="4" s="1"/>
  <c r="C301" i="4" s="1"/>
  <c r="C284" i="4"/>
  <c r="C291" i="4" s="1"/>
  <c r="G29" i="4"/>
  <c r="H300" i="4" l="1"/>
  <c r="B291" i="4"/>
  <c r="H45" i="4"/>
  <c r="G284" i="4"/>
  <c r="G35" i="4"/>
  <c r="G45" i="4" s="1"/>
  <c r="G285" i="4"/>
  <c r="G291" i="4" l="1"/>
  <c r="G301" i="4" s="1"/>
  <c r="I45" i="4"/>
  <c r="I300" i="4" l="1"/>
  <c r="I68" i="4" l="1"/>
  <c r="I92" i="4"/>
  <c r="I46" i="4"/>
  <c r="I301" i="4" l="1"/>
</calcChain>
</file>

<file path=xl/sharedStrings.xml><?xml version="1.0" encoding="utf-8"?>
<sst xmlns="http://schemas.openxmlformats.org/spreadsheetml/2006/main" count="5621" uniqueCount="300">
  <si>
    <t>Revenue</t>
  </si>
  <si>
    <t>COGS</t>
  </si>
  <si>
    <t>Pool</t>
  </si>
  <si>
    <t>COMEX</t>
  </si>
  <si>
    <t>Market Price Variance</t>
  </si>
  <si>
    <t>AU</t>
  </si>
  <si>
    <t>AG</t>
  </si>
  <si>
    <t>PT</t>
  </si>
  <si>
    <t>PD</t>
  </si>
  <si>
    <t>RH</t>
  </si>
  <si>
    <t>Total</t>
  </si>
  <si>
    <t>Hedge</t>
  </si>
  <si>
    <t>CNT, Inc.</t>
  </si>
  <si>
    <t>Gross Profit by Metal</t>
  </si>
  <si>
    <t>Variance</t>
  </si>
  <si>
    <t>YTD</t>
  </si>
  <si>
    <t>Metal Price EOM</t>
  </si>
  <si>
    <t>Hedge Tracing</t>
  </si>
  <si>
    <t>Refining &amp; Fabrication</t>
  </si>
  <si>
    <t>Melt Profits</t>
  </si>
  <si>
    <t>Offline Trading Profits</t>
  </si>
  <si>
    <t>PY Audit Adjustments</t>
  </si>
  <si>
    <t>Financial Statement Analysis</t>
  </si>
  <si>
    <t>Double Check</t>
  </si>
  <si>
    <t>CustomerNo</t>
  </si>
  <si>
    <t>ProductLine</t>
  </si>
  <si>
    <t>ItemCode</t>
  </si>
  <si>
    <t>TransactionCode</t>
  </si>
  <si>
    <t>TransactionDate</t>
  </si>
  <si>
    <t>WarehouseCode</t>
  </si>
  <si>
    <t>TransactionQty</t>
  </si>
  <si>
    <t>Volume</t>
  </si>
  <si>
    <t>UnitPrice</t>
  </si>
  <si>
    <t>ExtendedPrice</t>
  </si>
  <si>
    <t>UnitCost</t>
  </si>
  <si>
    <t>ExtendedCost</t>
  </si>
  <si>
    <t>SLVR</t>
  </si>
  <si>
    <t>200001</t>
  </si>
  <si>
    <t>IT</t>
  </si>
  <si>
    <t>000</t>
  </si>
  <si>
    <t>BR</t>
  </si>
  <si>
    <t>021</t>
  </si>
  <si>
    <t>100</t>
  </si>
  <si>
    <t>516</t>
  </si>
  <si>
    <t>554</t>
  </si>
  <si>
    <t>573</t>
  </si>
  <si>
    <t>623</t>
  </si>
  <si>
    <t>DEP</t>
  </si>
  <si>
    <t>200001/10MME</t>
  </si>
  <si>
    <t>534</t>
  </si>
  <si>
    <t>IZ</t>
  </si>
  <si>
    <t>709</t>
  </si>
  <si>
    <t>200001/4MME</t>
  </si>
  <si>
    <t>200001CCC</t>
  </si>
  <si>
    <t>200001LOT</t>
  </si>
  <si>
    <t>A02</t>
  </si>
  <si>
    <t>BPM</t>
  </si>
  <si>
    <t>200001TX</t>
  </si>
  <si>
    <t>504</t>
  </si>
  <si>
    <t>200010</t>
  </si>
  <si>
    <t>200010CCC</t>
  </si>
  <si>
    <t>200010EBAY</t>
  </si>
  <si>
    <t>200010RCM</t>
  </si>
  <si>
    <t>BI</t>
  </si>
  <si>
    <t>200104</t>
  </si>
  <si>
    <t>200104ENG</t>
  </si>
  <si>
    <t>200104JM</t>
  </si>
  <si>
    <t>200800</t>
  </si>
  <si>
    <t>006</t>
  </si>
  <si>
    <t>200924</t>
  </si>
  <si>
    <t>520</t>
  </si>
  <si>
    <t>200925</t>
  </si>
  <si>
    <t>200998</t>
  </si>
  <si>
    <t>004</t>
  </si>
  <si>
    <t>509</t>
  </si>
  <si>
    <t>648</t>
  </si>
  <si>
    <t>RCM</t>
  </si>
  <si>
    <t>2009989</t>
  </si>
  <si>
    <t>005</t>
  </si>
  <si>
    <t>200999</t>
  </si>
  <si>
    <t>400</t>
  </si>
  <si>
    <t>572</t>
  </si>
  <si>
    <t>2009999</t>
  </si>
  <si>
    <t>621</t>
  </si>
  <si>
    <t>CMX</t>
  </si>
  <si>
    <t>IA</t>
  </si>
  <si>
    <t>200999B</t>
  </si>
  <si>
    <t>200FTO</t>
  </si>
  <si>
    <t>201009</t>
  </si>
  <si>
    <t>201010GC</t>
  </si>
  <si>
    <t>201010HS</t>
  </si>
  <si>
    <t>201010MH</t>
  </si>
  <si>
    <t>201010YEL</t>
  </si>
  <si>
    <t>201010YOS</t>
  </si>
  <si>
    <t>201012AC</t>
  </si>
  <si>
    <t>201013FMH</t>
  </si>
  <si>
    <t>201014</t>
  </si>
  <si>
    <t>201015-BOX1</t>
  </si>
  <si>
    <t>201015BR</t>
  </si>
  <si>
    <t>201015HM</t>
  </si>
  <si>
    <t>201015KF</t>
  </si>
  <si>
    <t>201016</t>
  </si>
  <si>
    <t>552</t>
  </si>
  <si>
    <t>201016CG</t>
  </si>
  <si>
    <t>201016FM</t>
  </si>
  <si>
    <t>201016HF</t>
  </si>
  <si>
    <t>WRE</t>
  </si>
  <si>
    <t>201016SF</t>
  </si>
  <si>
    <t>201016TED</t>
  </si>
  <si>
    <t>201017</t>
  </si>
  <si>
    <t>513</t>
  </si>
  <si>
    <t>523</t>
  </si>
  <si>
    <t>545</t>
  </si>
  <si>
    <t>580</t>
  </si>
  <si>
    <t>201040</t>
  </si>
  <si>
    <t>201100</t>
  </si>
  <si>
    <t>201100C</t>
  </si>
  <si>
    <t>201101</t>
  </si>
  <si>
    <t>201121</t>
  </si>
  <si>
    <t>201985</t>
  </si>
  <si>
    <t>202002</t>
  </si>
  <si>
    <t>202015RH</t>
  </si>
  <si>
    <t>202016</t>
  </si>
  <si>
    <t>BZ</t>
  </si>
  <si>
    <t>202016C</t>
  </si>
  <si>
    <t>202016SM</t>
  </si>
  <si>
    <t>202017</t>
  </si>
  <si>
    <t>596</t>
  </si>
  <si>
    <t>202100B</t>
  </si>
  <si>
    <t>203001/2KCY</t>
  </si>
  <si>
    <t>203001/2KM</t>
  </si>
  <si>
    <t>203001KB-17</t>
  </si>
  <si>
    <t>203001KBCY</t>
  </si>
  <si>
    <t>203001KCY</t>
  </si>
  <si>
    <t>203001KG-16</t>
  </si>
  <si>
    <t>203001KG-17</t>
  </si>
  <si>
    <t>203001KGCY</t>
  </si>
  <si>
    <t>503</t>
  </si>
  <si>
    <t>203001KGM</t>
  </si>
  <si>
    <t>203001KM</t>
  </si>
  <si>
    <t>203001SP</t>
  </si>
  <si>
    <t>203002MK</t>
  </si>
  <si>
    <t>2030050RS</t>
  </si>
  <si>
    <t>203005MK</t>
  </si>
  <si>
    <t>203005RS</t>
  </si>
  <si>
    <t>203010MK</t>
  </si>
  <si>
    <t>203010RS</t>
  </si>
  <si>
    <t>204001-15</t>
  </si>
  <si>
    <t>204001-16</t>
  </si>
  <si>
    <t>204001-17</t>
  </si>
  <si>
    <t>204001CY</t>
  </si>
  <si>
    <t>515</t>
  </si>
  <si>
    <t>677</t>
  </si>
  <si>
    <t>204001M</t>
  </si>
  <si>
    <t>205030GCY</t>
  </si>
  <si>
    <t>307</t>
  </si>
  <si>
    <t>407</t>
  </si>
  <si>
    <t>205030GM</t>
  </si>
  <si>
    <t>209001MK</t>
  </si>
  <si>
    <t>209016</t>
  </si>
  <si>
    <t>209017</t>
  </si>
  <si>
    <t>HLD</t>
  </si>
  <si>
    <t>210321</t>
  </si>
  <si>
    <t>213321K-16</t>
  </si>
  <si>
    <t>213321KBM</t>
  </si>
  <si>
    <t>213321KCY</t>
  </si>
  <si>
    <t>213321KM</t>
  </si>
  <si>
    <t>213321MK</t>
  </si>
  <si>
    <t>BI Total</t>
  </si>
  <si>
    <t>BR Total</t>
  </si>
  <si>
    <t>BZ Total</t>
  </si>
  <si>
    <t>IA Total</t>
  </si>
  <si>
    <t>IT Total</t>
  </si>
  <si>
    <t>IZ Total</t>
  </si>
  <si>
    <t>Grand Total</t>
  </si>
  <si>
    <t>JournalNoGLBatchNo</t>
  </si>
  <si>
    <t>002915</t>
  </si>
  <si>
    <t>002926</t>
  </si>
  <si>
    <t>002929</t>
  </si>
  <si>
    <t>002957</t>
  </si>
  <si>
    <t>002809</t>
  </si>
  <si>
    <t>002981</t>
  </si>
  <si>
    <t>002994</t>
  </si>
  <si>
    <t>002941</t>
  </si>
  <si>
    <t>002834</t>
  </si>
  <si>
    <t>003028</t>
  </si>
  <si>
    <t>003024</t>
  </si>
  <si>
    <t>003018</t>
  </si>
  <si>
    <t>002974</t>
  </si>
  <si>
    <t>002813</t>
  </si>
  <si>
    <t>002940</t>
  </si>
  <si>
    <t>002815</t>
  </si>
  <si>
    <t>002778</t>
  </si>
  <si>
    <t>002785</t>
  </si>
  <si>
    <t>002796</t>
  </si>
  <si>
    <t>002802</t>
  </si>
  <si>
    <t>002806</t>
  </si>
  <si>
    <t>002827</t>
  </si>
  <si>
    <t>002829</t>
  </si>
  <si>
    <t>002843</t>
  </si>
  <si>
    <t>002867</t>
  </si>
  <si>
    <t>002786</t>
  </si>
  <si>
    <t>002856</t>
  </si>
  <si>
    <t>002845</t>
  </si>
  <si>
    <t>002846</t>
  </si>
  <si>
    <t>002848</t>
  </si>
  <si>
    <t>003011</t>
  </si>
  <si>
    <t>002864</t>
  </si>
  <si>
    <t>002931</t>
  </si>
  <si>
    <t>002982</t>
  </si>
  <si>
    <t>002830</t>
  </si>
  <si>
    <t>002831</t>
  </si>
  <si>
    <t>002844</t>
  </si>
  <si>
    <t>003009</t>
  </si>
  <si>
    <t>002790</t>
  </si>
  <si>
    <t>002850</t>
  </si>
  <si>
    <t>003012</t>
  </si>
  <si>
    <t>002849</t>
  </si>
  <si>
    <t>002906</t>
  </si>
  <si>
    <t>002988</t>
  </si>
  <si>
    <t>002836</t>
  </si>
  <si>
    <t>003026</t>
  </si>
  <si>
    <t>003027</t>
  </si>
  <si>
    <t>003035</t>
  </si>
  <si>
    <t>002947</t>
  </si>
  <si>
    <t>002969</t>
  </si>
  <si>
    <t>002914</t>
  </si>
  <si>
    <t>002930</t>
  </si>
  <si>
    <t>002980</t>
  </si>
  <si>
    <t>002993</t>
  </si>
  <si>
    <t>003034</t>
  </si>
  <si>
    <t>000316</t>
  </si>
  <si>
    <t>000319</t>
  </si>
  <si>
    <t>000320</t>
  </si>
  <si>
    <t>000326</t>
  </si>
  <si>
    <t>003016</t>
  </si>
  <si>
    <t>003032</t>
  </si>
  <si>
    <t>002985</t>
  </si>
  <si>
    <t>002933</t>
  </si>
  <si>
    <t>002832</t>
  </si>
  <si>
    <t>002780</t>
  </si>
  <si>
    <t>002908</t>
  </si>
  <si>
    <t>002800</t>
  </si>
  <si>
    <t>002798</t>
  </si>
  <si>
    <t>003020</t>
  </si>
  <si>
    <t>002959</t>
  </si>
  <si>
    <t>002855</t>
  </si>
  <si>
    <t>002788</t>
  </si>
  <si>
    <t>002789</t>
  </si>
  <si>
    <t>002928</t>
  </si>
  <si>
    <t>002814</t>
  </si>
  <si>
    <t>002966</t>
  </si>
  <si>
    <t>002799</t>
  </si>
  <si>
    <t>002984</t>
  </si>
  <si>
    <t>002819</t>
  </si>
  <si>
    <t>002821</t>
  </si>
  <si>
    <t>002837</t>
  </si>
  <si>
    <t>002960</t>
  </si>
  <si>
    <t>002995</t>
  </si>
  <si>
    <t>002820</t>
  </si>
  <si>
    <t>002822</t>
  </si>
  <si>
    <t>002977</t>
  </si>
  <si>
    <t>003006</t>
  </si>
  <si>
    <t>002818</t>
  </si>
  <si>
    <t>002975</t>
  </si>
  <si>
    <t>002823</t>
  </si>
  <si>
    <t>003025</t>
  </si>
  <si>
    <t>002963</t>
  </si>
  <si>
    <t>003010</t>
  </si>
  <si>
    <t>1/3/2017 Count</t>
  </si>
  <si>
    <t>1/4/2017 Count</t>
  </si>
  <si>
    <t>1/5/2017 Count</t>
  </si>
  <si>
    <t>1/6/2017 Count</t>
  </si>
  <si>
    <t>1/9/2017 Count</t>
  </si>
  <si>
    <t>1/10/2017 Count</t>
  </si>
  <si>
    <t>1/11/2017 Count</t>
  </si>
  <si>
    <t>1/12/2017 Count</t>
  </si>
  <si>
    <t>1/13/2017 Count</t>
  </si>
  <si>
    <t>1/16/2017 Count</t>
  </si>
  <si>
    <t>1/17/2017 Count</t>
  </si>
  <si>
    <t>1/18/2017 Count</t>
  </si>
  <si>
    <t>1/19/2017 Count</t>
  </si>
  <si>
    <t>1/20/2017 Count</t>
  </si>
  <si>
    <t>1/23/2017 Count</t>
  </si>
  <si>
    <t>1/24/2017 Count</t>
  </si>
  <si>
    <t>1/25/2017 Count</t>
  </si>
  <si>
    <t>1/26/2017 Count</t>
  </si>
  <si>
    <t>1/27/2017 Count</t>
  </si>
  <si>
    <t>1/30/2017 Count</t>
  </si>
  <si>
    <t>1/31/2017 Count</t>
  </si>
  <si>
    <t>Grand Count</t>
  </si>
  <si>
    <t>KITCO COGS Au Ag</t>
  </si>
  <si>
    <t>Futures Contracts EFP</t>
  </si>
  <si>
    <t>Premium Proof USE adj/1/10 USE CY</t>
  </si>
  <si>
    <t>Premium Proof USE to Coin Gold</t>
  </si>
  <si>
    <t>Owners Consignments</t>
  </si>
  <si>
    <t>House Postion Adjustments</t>
  </si>
  <si>
    <t>Projected Gross profits  Dec</t>
  </si>
  <si>
    <t>Minting</t>
  </si>
  <si>
    <t>ICE Market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</si>
</sst>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3">
    <xf numFmtId="0" fontId="0" fillId="0" borderId="0" xfId="0"/>
    <xf numFmtId="43" fontId="0" fillId="0" borderId="0" xfId="1" applyFont="1"/>
    <xf numFmtId="0" fontId="2" fillId="0" borderId="0" xfId="0" applyFont="1"/>
    <xf numFmtId="14" fontId="0" fillId="0" borderId="0" xfId="0" applyNumberFormat="1"/>
    <xf numFmtId="14" fontId="0" fillId="0" borderId="0" xfId="1" applyNumberFormat="1" applyFont="1"/>
    <xf numFmtId="43" fontId="2" fillId="0" borderId="0" xfId="1" applyFont="1"/>
    <xf numFmtId="43" fontId="2" fillId="0" borderId="0" xfId="0" applyNumberFormat="1" applyFont="1"/>
    <xf numFmtId="14" fontId="2" fillId="0" borderId="0" xfId="0" applyNumberFormat="1" applyFont="1"/>
    <xf numFmtId="44" fontId="5" fillId="0" borderId="0" xfId="2" applyFont="1"/>
    <xf numFmtId="0" fontId="5" fillId="0" borderId="0" xfId="0" applyFont="1"/>
    <xf numFmtId="17" fontId="4" fillId="0" borderId="5" xfId="0" applyNumberFormat="1" applyFont="1" applyBorder="1" applyAlignment="1">
      <alignment horizontal="centerContinuous"/>
    </xf>
    <xf numFmtId="43" fontId="4" fillId="0" borderId="0" xfId="1" applyFont="1" applyBorder="1" applyAlignment="1">
      <alignment horizontal="centerContinuous"/>
    </xf>
    <xf numFmtId="43" fontId="4" fillId="0" borderId="6" xfId="1" applyFont="1" applyBorder="1" applyAlignment="1">
      <alignment horizontal="centerContinuous"/>
    </xf>
    <xf numFmtId="0" fontId="4" fillId="0" borderId="5" xfId="0" applyFont="1" applyBorder="1"/>
    <xf numFmtId="43" fontId="4" fillId="0" borderId="0" xfId="1" applyFont="1" applyBorder="1"/>
    <xf numFmtId="43" fontId="4" fillId="0" borderId="6" xfId="1" applyFont="1" applyBorder="1"/>
    <xf numFmtId="44" fontId="4" fillId="0" borderId="0" xfId="2" applyFont="1"/>
    <xf numFmtId="0" fontId="4" fillId="0" borderId="0" xfId="0" applyFont="1"/>
    <xf numFmtId="8" fontId="5" fillId="0" borderId="0" xfId="2" applyNumberFormat="1" applyFont="1" applyFill="1"/>
    <xf numFmtId="8" fontId="5" fillId="0" borderId="6" xfId="2" applyNumberFormat="1" applyFont="1" applyBorder="1"/>
    <xf numFmtId="8" fontId="5" fillId="2" borderId="0" xfId="2" applyNumberFormat="1" applyFont="1" applyFill="1" applyBorder="1"/>
    <xf numFmtId="8" fontId="5" fillId="0" borderId="11" xfId="2" applyNumberFormat="1" applyFont="1" applyBorder="1"/>
    <xf numFmtId="8" fontId="5" fillId="0" borderId="1" xfId="2" applyNumberFormat="1" applyFont="1" applyBorder="1"/>
    <xf numFmtId="8" fontId="5" fillId="0" borderId="7" xfId="2" applyNumberFormat="1" applyFont="1" applyBorder="1"/>
    <xf numFmtId="8" fontId="5" fillId="0" borderId="0" xfId="2" applyNumberFormat="1" applyFont="1" applyBorder="1"/>
    <xf numFmtId="43" fontId="5" fillId="0" borderId="0" xfId="2" applyNumberFormat="1" applyFont="1" applyBorder="1"/>
    <xf numFmtId="8" fontId="5" fillId="0" borderId="0" xfId="2" applyNumberFormat="1" applyFont="1" applyFill="1" applyBorder="1"/>
    <xf numFmtId="44" fontId="5" fillId="0" borderId="0" xfId="2" applyFont="1" applyFill="1" applyBorder="1"/>
    <xf numFmtId="44" fontId="5" fillId="0" borderId="6" xfId="2" applyFont="1" applyBorder="1"/>
    <xf numFmtId="43" fontId="6" fillId="0" borderId="0" xfId="1" applyFont="1" applyBorder="1"/>
    <xf numFmtId="43" fontId="7" fillId="0" borderId="0" xfId="1" applyFont="1" applyBorder="1"/>
    <xf numFmtId="8" fontId="6" fillId="0" borderId="6" xfId="2" applyNumberFormat="1" applyFont="1" applyBorder="1"/>
    <xf numFmtId="8" fontId="5" fillId="0" borderId="5" xfId="2" applyNumberFormat="1" applyFont="1" applyBorder="1"/>
    <xf numFmtId="44" fontId="5" fillId="0" borderId="0" xfId="0" applyNumberFormat="1" applyFont="1"/>
    <xf numFmtId="44" fontId="5" fillId="0" borderId="0" xfId="2" applyFont="1" applyAlignment="1">
      <alignment horizontal="left"/>
    </xf>
    <xf numFmtId="0" fontId="5" fillId="0" borderId="8" xfId="0" applyFont="1" applyBorder="1"/>
    <xf numFmtId="8" fontId="5" fillId="0" borderId="9" xfId="2" applyNumberFormat="1" applyFont="1" applyBorder="1"/>
    <xf numFmtId="8" fontId="5" fillId="0" borderId="10" xfId="2" applyNumberFormat="1" applyFont="1" applyBorder="1"/>
    <xf numFmtId="44" fontId="5" fillId="0" borderId="5" xfId="2" applyNumberFormat="1" applyFont="1" applyBorder="1"/>
    <xf numFmtId="44" fontId="5" fillId="0" borderId="6" xfId="2" applyFont="1" applyFill="1" applyBorder="1"/>
    <xf numFmtId="44" fontId="5" fillId="2" borderId="0" xfId="2" applyFont="1" applyFill="1" applyBorder="1"/>
    <xf numFmtId="44" fontId="5" fillId="0" borderId="11" xfId="2" applyFont="1" applyBorder="1"/>
    <xf numFmtId="44" fontId="5" fillId="0" borderId="1" xfId="2" applyFont="1" applyBorder="1"/>
    <xf numFmtId="44" fontId="5" fillId="0" borderId="7" xfId="2" applyFont="1" applyBorder="1"/>
    <xf numFmtId="44" fontId="5" fillId="0" borderId="0" xfId="2" applyFont="1" applyBorder="1"/>
    <xf numFmtId="43" fontId="5" fillId="0" borderId="0" xfId="2" applyNumberFormat="1" applyFont="1" applyFill="1"/>
    <xf numFmtId="43" fontId="5" fillId="0" borderId="0" xfId="1" applyFont="1" applyBorder="1"/>
    <xf numFmtId="44" fontId="5" fillId="0" borderId="9" xfId="2" applyFont="1" applyBorder="1"/>
    <xf numFmtId="44" fontId="5" fillId="0" borderId="10" xfId="2" applyFont="1" applyBorder="1"/>
    <xf numFmtId="44" fontId="5" fillId="0" borderId="0" xfId="0" applyNumberFormat="1" applyFont="1" applyFill="1"/>
    <xf numFmtId="44" fontId="5" fillId="0" borderId="0" xfId="2" applyFont="1" applyFill="1"/>
    <xf numFmtId="44" fontId="4" fillId="0" borderId="6" xfId="2" applyNumberFormat="1" applyFont="1" applyBorder="1"/>
    <xf numFmtId="44" fontId="5" fillId="3" borderId="0" xfId="2" applyFont="1" applyFill="1" applyBorder="1"/>
    <xf numFmtId="0" fontId="5" fillId="0" borderId="5" xfId="0" applyFont="1" applyBorder="1"/>
    <xf numFmtId="0" fontId="4" fillId="0" borderId="12" xfId="0" applyFont="1" applyBorder="1" applyAlignment="1">
      <alignment horizontal="centerContinuous"/>
    </xf>
    <xf numFmtId="43" fontId="4" fillId="0" borderId="13" xfId="1" applyFont="1" applyBorder="1" applyAlignment="1">
      <alignment horizontal="centerContinuous"/>
    </xf>
    <xf numFmtId="43" fontId="4" fillId="0" borderId="14" xfId="1" applyFont="1" applyBorder="1" applyAlignment="1">
      <alignment horizontal="centerContinuous"/>
    </xf>
    <xf numFmtId="43" fontId="5" fillId="2" borderId="0" xfId="1" applyFont="1" applyFill="1" applyBorder="1"/>
    <xf numFmtId="43" fontId="5" fillId="0" borderId="1" xfId="1" applyFont="1" applyBorder="1"/>
    <xf numFmtId="43" fontId="4" fillId="0" borderId="7" xfId="1" applyFont="1" applyBorder="1"/>
    <xf numFmtId="8" fontId="5" fillId="0" borderId="0" xfId="1" applyNumberFormat="1" applyFont="1" applyBorder="1"/>
    <xf numFmtId="43" fontId="5" fillId="0" borderId="0" xfId="1" applyFont="1" applyFill="1"/>
    <xf numFmtId="43" fontId="5" fillId="0" borderId="0" xfId="1" applyFont="1" applyFill="1" applyBorder="1"/>
    <xf numFmtId="43" fontId="5" fillId="0" borderId="0" xfId="0" applyNumberFormat="1" applyFont="1"/>
    <xf numFmtId="0" fontId="5" fillId="0" borderId="0" xfId="0" applyFont="1" applyBorder="1"/>
    <xf numFmtId="43" fontId="5" fillId="0" borderId="9" xfId="1" applyFont="1" applyBorder="1"/>
    <xf numFmtId="43" fontId="5" fillId="0" borderId="10" xfId="1" applyFont="1" applyBorder="1"/>
    <xf numFmtId="43" fontId="5" fillId="0" borderId="0" xfId="1" applyFont="1"/>
    <xf numFmtId="43" fontId="4" fillId="0" borderId="3" xfId="1" applyFont="1" applyBorder="1" applyAlignment="1">
      <alignment horizontal="centerContinuous"/>
    </xf>
    <xf numFmtId="0" fontId="2" fillId="0" borderId="5" xfId="0" applyFont="1" applyBorder="1"/>
    <xf numFmtId="43" fontId="4" fillId="0" borderId="0" xfId="1" applyFont="1"/>
    <xf numFmtId="0" fontId="0" fillId="0" borderId="0" xfId="0" applyFont="1"/>
    <xf numFmtId="44" fontId="0" fillId="0" borderId="0" xfId="2" applyFont="1"/>
    <xf numFmtId="44" fontId="5" fillId="4" borderId="11" xfId="2" applyFont="1" applyFill="1" applyBorder="1"/>
    <xf numFmtId="8" fontId="5" fillId="0" borderId="0" xfId="0" applyNumberFormat="1" applyFont="1"/>
    <xf numFmtId="17" fontId="4" fillId="0" borderId="5" xfId="0" applyNumberFormat="1" applyFont="1" applyFill="1" applyBorder="1" applyAlignment="1">
      <alignment horizontal="centerContinuous"/>
    </xf>
    <xf numFmtId="43" fontId="4" fillId="0" borderId="0" xfId="1" applyFont="1" applyFill="1" applyBorder="1" applyAlignment="1">
      <alignment horizontal="centerContinuous"/>
    </xf>
    <xf numFmtId="43" fontId="4" fillId="0" borderId="6" xfId="1" applyFont="1" applyFill="1" applyBorder="1" applyAlignment="1">
      <alignment horizontal="centerContinuous"/>
    </xf>
    <xf numFmtId="0" fontId="4" fillId="0" borderId="5" xfId="0" applyFont="1" applyFill="1" applyBorder="1"/>
    <xf numFmtId="43" fontId="4" fillId="0" borderId="0" xfId="1" applyFont="1" applyFill="1" applyBorder="1"/>
    <xf numFmtId="43" fontId="4" fillId="0" borderId="6" xfId="1" applyFont="1" applyFill="1" applyBorder="1"/>
    <xf numFmtId="44" fontId="5" fillId="0" borderId="11" xfId="2" applyFont="1" applyFill="1" applyBorder="1"/>
    <xf numFmtId="44" fontId="5" fillId="0" borderId="1" xfId="2" applyFont="1" applyFill="1" applyBorder="1"/>
    <xf numFmtId="44" fontId="5" fillId="0" borderId="7" xfId="2" applyFont="1" applyFill="1" applyBorder="1"/>
    <xf numFmtId="44" fontId="0" fillId="0" borderId="0" xfId="2" applyFont="1" applyFill="1" applyBorder="1"/>
    <xf numFmtId="0" fontId="2" fillId="0" borderId="5" xfId="0" applyFont="1" applyFill="1" applyBorder="1"/>
    <xf numFmtId="44" fontId="4" fillId="0" borderId="6" xfId="2" applyNumberFormat="1" applyFont="1" applyFill="1" applyBorder="1"/>
    <xf numFmtId="0" fontId="5" fillId="0" borderId="8" xfId="0" applyFont="1" applyFill="1" applyBorder="1"/>
    <xf numFmtId="44" fontId="5" fillId="0" borderId="9" xfId="2" applyFont="1" applyFill="1" applyBorder="1"/>
    <xf numFmtId="8" fontId="5" fillId="0" borderId="6" xfId="2" applyNumberFormat="1" applyFont="1" applyFill="1" applyBorder="1"/>
    <xf numFmtId="44" fontId="5" fillId="0" borderId="0" xfId="2" applyNumberFormat="1" applyFont="1" applyFill="1"/>
    <xf numFmtId="44" fontId="5" fillId="0" borderId="1" xfId="2" applyNumberFormat="1" applyFont="1" applyBorder="1"/>
    <xf numFmtId="8" fontId="6" fillId="0" borderId="0" xfId="1" applyNumberFormat="1" applyFont="1" applyBorder="1"/>
    <xf numFmtId="8" fontId="1" fillId="0" borderId="0" xfId="2" applyNumberFormat="1" applyFont="1" applyFill="1" applyBorder="1"/>
    <xf numFmtId="44" fontId="5" fillId="0" borderId="0" xfId="2" applyNumberFormat="1" applyFont="1"/>
    <xf numFmtId="17" fontId="4" fillId="0" borderId="5" xfId="0" applyNumberFormat="1" applyFont="1" applyBorder="1" applyAlignment="1">
      <alignment horizontal="center"/>
    </xf>
    <xf numFmtId="17" fontId="4" fillId="0" borderId="0" xfId="0" applyNumberFormat="1" applyFont="1" applyBorder="1" applyAlignment="1">
      <alignment horizontal="center"/>
    </xf>
    <xf numFmtId="17" fontId="4" fillId="0" borderId="6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7" fontId="4" fillId="0" borderId="5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7" fontId="4" fillId="0" borderId="6" xfId="0" applyNumberFormat="1" applyFont="1" applyFill="1" applyBorder="1" applyAlignment="1">
      <alignment horizontal="center"/>
    </xf>
  </cellXfs>
  <cellStyles count="4">
    <cellStyle name="Comma" xfId="1" builtinId="3"/>
    <cellStyle name="Comma 2" xfId="3" xr:uid="{00000000-0005-0000-0000-000001000000}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%20Statement%20Analysis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2016-2017%20Hedge%20Tre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Rose%20Work/Melt%20Profit%20Summary%20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2%20February/EOM%20Feb%20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3%20March/EOM%20March%20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4%20April/EOM%20April%20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5%20May/EOM%20May%20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6%20June/EOM%20June%20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7%20July/EOM%20July%20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8%20August/EOM%20August%20201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9%20September/EOM%20Sept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1%20January%202018/EOM%20Jan%20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10%20October/EOM%20Oct%2020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11%20November/EOM%20Nov%2020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12%20December/EOM%20Dec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2%20February%202018/EOM%20Feb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3%20March%202018/EOM%20March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4%20April%202018/EOM%20April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Financial%20Statement%20Analysis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Sam%20Work/A%20CNT%20Month%20End/2017%20CNT%20Month%20End/01%20January/EOM%20Ja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Compare to Hedge 2018"/>
      <sheetName val="P&amp;L Compare to Hedge 2017"/>
      <sheetName val="P&amp;L Compare to hedge 2016"/>
      <sheetName val="P&amp;L Compare to hedge 2015"/>
      <sheetName val="2017 Oct Analysis"/>
    </sheetNames>
    <sheetDataSet>
      <sheetData sheetId="0">
        <row r="5">
          <cell r="B5">
            <v>154563428.67000002</v>
          </cell>
          <cell r="C5">
            <v>109601727.78999999</v>
          </cell>
          <cell r="D5">
            <v>101069868.19</v>
          </cell>
          <cell r="E5">
            <v>92671539.059999987</v>
          </cell>
        </row>
        <row r="6">
          <cell r="B6">
            <v>424529753.21999997</v>
          </cell>
          <cell r="C6">
            <v>1212317398.3500001</v>
          </cell>
          <cell r="D6">
            <v>305312522.13</v>
          </cell>
          <cell r="E6">
            <v>46941731.32</v>
          </cell>
        </row>
        <row r="7">
          <cell r="B7">
            <v>2884704.37</v>
          </cell>
          <cell r="C7">
            <v>2596535.7200000002</v>
          </cell>
          <cell r="D7">
            <v>622399.88</v>
          </cell>
          <cell r="E7">
            <v>1945746.84</v>
          </cell>
        </row>
        <row r="8">
          <cell r="B8">
            <v>3238349</v>
          </cell>
          <cell r="C8">
            <v>1478660.42</v>
          </cell>
          <cell r="D8">
            <v>1427673</v>
          </cell>
          <cell r="E8">
            <v>2167697.4500000002</v>
          </cell>
        </row>
        <row r="9">
          <cell r="B9">
            <v>85825</v>
          </cell>
          <cell r="C9">
            <v>579872.5</v>
          </cell>
          <cell r="D9">
            <v>108078.75</v>
          </cell>
          <cell r="E9">
            <v>903549.14</v>
          </cell>
        </row>
        <row r="10">
          <cell r="E10">
            <v>292312.5</v>
          </cell>
        </row>
        <row r="14">
          <cell r="B14">
            <v>157842383.69</v>
          </cell>
          <cell r="C14">
            <v>108846154.46000001</v>
          </cell>
          <cell r="D14">
            <v>100906197.60999998</v>
          </cell>
          <cell r="E14">
            <v>92373678.780000001</v>
          </cell>
        </row>
        <row r="15">
          <cell r="B15">
            <v>422465521.94999993</v>
          </cell>
          <cell r="C15">
            <v>1215546261.6300001</v>
          </cell>
          <cell r="D15">
            <v>305678068.99000001</v>
          </cell>
          <cell r="E15">
            <v>48482029.219999999</v>
          </cell>
        </row>
        <row r="16">
          <cell r="B16">
            <v>2842624.1900000004</v>
          </cell>
          <cell r="C16">
            <v>2535222.7399999998</v>
          </cell>
          <cell r="D16">
            <v>618326.57000000007</v>
          </cell>
          <cell r="E16">
            <v>1945380.79</v>
          </cell>
        </row>
        <row r="17">
          <cell r="B17">
            <v>3972878.5</v>
          </cell>
          <cell r="C17">
            <v>1516251.86</v>
          </cell>
          <cell r="D17">
            <v>1446310.3</v>
          </cell>
          <cell r="E17">
            <v>2111524.9700000002</v>
          </cell>
        </row>
        <row r="18">
          <cell r="B18">
            <v>103200.43</v>
          </cell>
          <cell r="C18">
            <v>557565.63</v>
          </cell>
          <cell r="D18">
            <v>104546.19</v>
          </cell>
          <cell r="E18">
            <v>891459.31</v>
          </cell>
        </row>
        <row r="19">
          <cell r="E19">
            <v>180989.71000000002</v>
          </cell>
        </row>
        <row r="21">
          <cell r="B21">
            <v>-4303584.0399999917</v>
          </cell>
          <cell r="C21">
            <v>-230168.78000000119</v>
          </cell>
          <cell r="D21">
            <v>-102046.03999999166</v>
          </cell>
          <cell r="E21">
            <v>14781.879999995232</v>
          </cell>
        </row>
        <row r="22">
          <cell r="B22">
            <v>-198311.54999999702</v>
          </cell>
          <cell r="C22">
            <v>-141071.81000000052</v>
          </cell>
          <cell r="D22">
            <v>73914.890000000596</v>
          </cell>
          <cell r="E22">
            <v>442679.44999998808</v>
          </cell>
        </row>
        <row r="23">
          <cell r="B23">
            <v>-28077.910000000033</v>
          </cell>
          <cell r="C23">
            <v>-41342.620000000112</v>
          </cell>
          <cell r="D23">
            <v>-28127.939999999944</v>
          </cell>
          <cell r="E23">
            <v>1048.5499999999884</v>
          </cell>
        </row>
        <row r="24">
          <cell r="B24">
            <v>-17915.510000000009</v>
          </cell>
          <cell r="C24">
            <v>0</v>
          </cell>
          <cell r="D24">
            <v>-35497.39</v>
          </cell>
          <cell r="E24">
            <v>2061.8000000000466</v>
          </cell>
        </row>
        <row r="26">
          <cell r="B26">
            <v>-1451390.0700000077</v>
          </cell>
          <cell r="C26">
            <v>-14017.5</v>
          </cell>
          <cell r="D26">
            <v>-649600</v>
          </cell>
          <cell r="E26">
            <v>339010</v>
          </cell>
        </row>
        <row r="27">
          <cell r="B27">
            <v>287951.64999999851</v>
          </cell>
          <cell r="C27">
            <v>-4461877.3100000024</v>
          </cell>
          <cell r="D27">
            <v>67555.530000001192</v>
          </cell>
          <cell r="E27">
            <v>-3414426</v>
          </cell>
        </row>
        <row r="28">
          <cell r="B28">
            <v>0</v>
          </cell>
          <cell r="C28">
            <v>4535</v>
          </cell>
          <cell r="D28">
            <v>-3890</v>
          </cell>
          <cell r="E28">
            <v>-555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2">
          <cell r="D32">
            <v>5756.07</v>
          </cell>
          <cell r="E32">
            <v>9048.32</v>
          </cell>
        </row>
        <row r="45">
          <cell r="B45">
            <v>128859.70591497957</v>
          </cell>
          <cell r="C45">
            <v>179047.73598288454</v>
          </cell>
          <cell r="D45">
            <v>109403.45581293106</v>
          </cell>
          <cell r="E45">
            <v>-91176.724025141797</v>
          </cell>
          <cell r="N45">
            <v>326134.17368568387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C30">
            <v>204094.75699999259</v>
          </cell>
        </row>
        <row r="54">
          <cell r="B54">
            <v>314033.32491452864</v>
          </cell>
          <cell r="C54">
            <v>257599.90500000524</v>
          </cell>
          <cell r="D54">
            <v>40456.950840000005</v>
          </cell>
          <cell r="E54">
            <v>8687.8480000000382</v>
          </cell>
          <cell r="F54">
            <v>465</v>
          </cell>
        </row>
        <row r="80">
          <cell r="B80">
            <v>388667.79440233373</v>
          </cell>
          <cell r="C80">
            <v>272352.82319998508</v>
          </cell>
          <cell r="D80">
            <v>19843.741699999977</v>
          </cell>
          <cell r="E80">
            <v>14786.800000000076</v>
          </cell>
          <cell r="F80">
            <v>4323</v>
          </cell>
        </row>
        <row r="105">
          <cell r="B105">
            <v>391053.95542266534</v>
          </cell>
          <cell r="C105">
            <v>279401.27740005101</v>
          </cell>
          <cell r="D105">
            <v>11881.590100000001</v>
          </cell>
          <cell r="E105">
            <v>11560.738999999989</v>
          </cell>
          <cell r="F105">
            <v>3898</v>
          </cell>
        </row>
        <row r="130">
          <cell r="B130">
            <v>280467.47479921021</v>
          </cell>
          <cell r="C130">
            <v>310195.6442999983</v>
          </cell>
          <cell r="D130">
            <v>16696.773499999992</v>
          </cell>
          <cell r="E130">
            <v>44515.35300000001</v>
          </cell>
          <cell r="F130">
            <v>1968</v>
          </cell>
        </row>
        <row r="155">
          <cell r="B155">
            <v>350469.03983068885</v>
          </cell>
          <cell r="C155">
            <v>225237.03000000003</v>
          </cell>
          <cell r="D155">
            <v>7801.6000000000013</v>
          </cell>
          <cell r="E155">
            <v>67613.509999999995</v>
          </cell>
          <cell r="F155">
            <v>352</v>
          </cell>
        </row>
        <row r="181">
          <cell r="B181">
            <v>290564.36236729723</v>
          </cell>
          <cell r="C181">
            <v>241752.88200000275</v>
          </cell>
          <cell r="D181">
            <v>20570.799950000026</v>
          </cell>
          <cell r="E181">
            <v>42772.04900000005</v>
          </cell>
          <cell r="F181">
            <v>3747</v>
          </cell>
        </row>
        <row r="232">
          <cell r="B232">
            <v>372594.26901299902</v>
          </cell>
          <cell r="C232">
            <v>332451.00870005129</v>
          </cell>
          <cell r="D232">
            <v>23103.951180000018</v>
          </cell>
          <cell r="E232">
            <v>53461.188000000002</v>
          </cell>
          <cell r="F232">
            <v>0</v>
          </cell>
        </row>
        <row r="258">
          <cell r="B258">
            <v>282355.10033709987</v>
          </cell>
          <cell r="C258">
            <v>269257.70900000399</v>
          </cell>
          <cell r="D258">
            <v>31414.03000000001</v>
          </cell>
          <cell r="E258">
            <v>73236.44</v>
          </cell>
          <cell r="F258">
            <v>524</v>
          </cell>
        </row>
        <row r="283">
          <cell r="B283">
            <v>314960.37713138707</v>
          </cell>
          <cell r="C283">
            <v>364000.68499998655</v>
          </cell>
          <cell r="D283">
            <v>36006.4686</v>
          </cell>
          <cell r="E283">
            <v>44597.689999999973</v>
          </cell>
          <cell r="F283">
            <v>-53</v>
          </cell>
        </row>
        <row r="309">
          <cell r="B309">
            <v>312732.62058957614</v>
          </cell>
          <cell r="C309">
            <v>366458.29499998473</v>
          </cell>
          <cell r="D309">
            <v>20683.105599999981</v>
          </cell>
          <cell r="E309">
            <v>41683.443999999996</v>
          </cell>
          <cell r="F309">
            <v>32380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9">
          <cell r="F9">
            <v>22635.45</v>
          </cell>
        </row>
        <row r="10">
          <cell r="F10">
            <v>4863.76</v>
          </cell>
        </row>
      </sheetData>
      <sheetData sheetId="1">
        <row r="10">
          <cell r="B10">
            <v>46484.15</v>
          </cell>
        </row>
        <row r="20">
          <cell r="B20">
            <v>15757.79</v>
          </cell>
        </row>
        <row r="26">
          <cell r="B26">
            <v>4167.29</v>
          </cell>
        </row>
      </sheetData>
      <sheetData sheetId="2"/>
      <sheetData sheetId="3">
        <row r="35">
          <cell r="B35">
            <v>28589.71</v>
          </cell>
        </row>
      </sheetData>
      <sheetData sheetId="4">
        <row r="35">
          <cell r="B35">
            <v>43560.570000000007</v>
          </cell>
        </row>
      </sheetData>
      <sheetData sheetId="5"/>
      <sheetData sheetId="6"/>
      <sheetData sheetId="7"/>
      <sheetData sheetId="8"/>
      <sheetData sheetId="9">
        <row r="35">
          <cell r="B35">
            <v>25878.199999999997</v>
          </cell>
        </row>
      </sheetData>
      <sheetData sheetId="10">
        <row r="35">
          <cell r="B35">
            <v>27095.599999999999</v>
          </cell>
        </row>
      </sheetData>
      <sheetData sheetId="11">
        <row r="10">
          <cell r="B10">
            <v>30346.32</v>
          </cell>
        </row>
        <row r="20">
          <cell r="B20">
            <v>22506.759999999995</v>
          </cell>
        </row>
      </sheetData>
      <sheetData sheetId="12">
        <row r="10">
          <cell r="B10">
            <v>29383.399999999998</v>
          </cell>
        </row>
        <row r="20">
          <cell r="B20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E28">
            <v>1765898.7772700042</v>
          </cell>
        </row>
      </sheetData>
      <sheetData sheetId="12">
        <row r="28">
          <cell r="E28">
            <v>-1232258.584613204</v>
          </cell>
        </row>
      </sheetData>
      <sheetData sheetId="13">
        <row r="28">
          <cell r="E28">
            <v>27975.451649999712</v>
          </cell>
        </row>
      </sheetData>
      <sheetData sheetId="14">
        <row r="28">
          <cell r="E28">
            <v>110474.52804999996</v>
          </cell>
        </row>
      </sheetData>
      <sheetData sheetId="15">
        <row r="28">
          <cell r="E28">
            <v>-171.55000000000291</v>
          </cell>
        </row>
      </sheetData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E28">
            <v>-698149.35293997824</v>
          </cell>
        </row>
      </sheetData>
      <sheetData sheetId="12">
        <row r="28">
          <cell r="E28">
            <v>2770959.3817039914</v>
          </cell>
        </row>
      </sheetData>
      <sheetData sheetId="13">
        <row r="28">
          <cell r="E28">
            <v>99687.68142999988</v>
          </cell>
        </row>
      </sheetData>
      <sheetData sheetId="14">
        <row r="28">
          <cell r="E28">
            <v>129602.30129999999</v>
          </cell>
        </row>
      </sheetData>
      <sheetData sheetId="15">
        <row r="28">
          <cell r="E28">
            <v>5866.0900000000111</v>
          </cell>
        </row>
      </sheetData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E28">
            <v>1840166.636669971</v>
          </cell>
        </row>
      </sheetData>
      <sheetData sheetId="12">
        <row r="28">
          <cell r="E28">
            <v>3810510.8326431289</v>
          </cell>
        </row>
      </sheetData>
      <sheetData sheetId="13">
        <row r="28">
          <cell r="E28">
            <v>-54467.335799999069</v>
          </cell>
        </row>
      </sheetData>
      <sheetData sheetId="14">
        <row r="28">
          <cell r="E28">
            <v>25663.975050000154</v>
          </cell>
        </row>
      </sheetData>
      <sheetData sheetId="15">
        <row r="28">
          <cell r="E28">
            <v>11349.649999999994</v>
          </cell>
        </row>
      </sheetData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E28">
            <v>-300401.28186998144</v>
          </cell>
        </row>
      </sheetData>
      <sheetData sheetId="12">
        <row r="28">
          <cell r="E28">
            <v>-4451772.4790505227</v>
          </cell>
        </row>
      </sheetData>
      <sheetData sheetId="13">
        <row r="28">
          <cell r="E28">
            <v>-24430.643780000042</v>
          </cell>
        </row>
      </sheetData>
      <sheetData sheetId="14">
        <row r="28">
          <cell r="E28">
            <v>10447.564149999875</v>
          </cell>
        </row>
      </sheetData>
      <sheetData sheetId="15">
        <row r="28">
          <cell r="E28">
            <v>599.25999999999476</v>
          </cell>
        </row>
      </sheetData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E28">
            <v>3014357.8985499926</v>
          </cell>
        </row>
      </sheetData>
      <sheetData sheetId="12">
        <row r="28">
          <cell r="E28">
            <v>-79381.629834791645</v>
          </cell>
        </row>
      </sheetData>
      <sheetData sheetId="13">
        <row r="28">
          <cell r="E28">
            <v>-33752.423800000921</v>
          </cell>
        </row>
      </sheetData>
      <sheetData sheetId="14">
        <row r="28">
          <cell r="E28">
            <v>179202.16339999976</v>
          </cell>
        </row>
      </sheetData>
      <sheetData sheetId="15">
        <row r="28">
          <cell r="E28">
            <v>307.18000000000757</v>
          </cell>
        </row>
      </sheetData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E28">
            <v>-527354.634329997</v>
          </cell>
        </row>
      </sheetData>
      <sheetData sheetId="12">
        <row r="28">
          <cell r="E28">
            <v>-3614001.9014738277</v>
          </cell>
        </row>
      </sheetData>
      <sheetData sheetId="13">
        <row r="28">
          <cell r="E28">
            <v>-34670.741459998768</v>
          </cell>
        </row>
      </sheetData>
      <sheetData sheetId="14">
        <row r="28">
          <cell r="E28">
            <v>-735.5484999998007</v>
          </cell>
        </row>
      </sheetData>
      <sheetData sheetId="15">
        <row r="28">
          <cell r="E28">
            <v>-2884.3099999999977</v>
          </cell>
        </row>
      </sheetData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E28">
            <v>1319171.0713699944</v>
          </cell>
        </row>
      </sheetData>
      <sheetData sheetId="12">
        <row r="28">
          <cell r="E28">
            <v>147503.04302702099</v>
          </cell>
        </row>
      </sheetData>
      <sheetData sheetId="13">
        <row r="28">
          <cell r="E28">
            <v>78154.534259999404</v>
          </cell>
        </row>
      </sheetData>
      <sheetData sheetId="14">
        <row r="28">
          <cell r="E28">
            <v>116955.36945</v>
          </cell>
        </row>
      </sheetData>
      <sheetData sheetId="15">
        <row r="28">
          <cell r="E28">
            <v>-44382.900000000009</v>
          </cell>
        </row>
      </sheetData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8">
          <cell r="E28">
            <v>213742.0223899968</v>
          </cell>
        </row>
      </sheetData>
      <sheetData sheetId="12">
        <row r="28">
          <cell r="E28">
            <v>5104258.3508071862</v>
          </cell>
        </row>
      </sheetData>
      <sheetData sheetId="13">
        <row r="28">
          <cell r="E28">
            <v>11089.329739999725</v>
          </cell>
        </row>
      </sheetData>
      <sheetData sheetId="14">
        <row r="28">
          <cell r="E28">
            <v>13287.637999999977</v>
          </cell>
        </row>
      </sheetData>
      <sheetData sheetId="15">
        <row r="28">
          <cell r="E28">
            <v>19971.480000000003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FTO Table V Lookup"/>
      <sheetName val="Deferred Income"/>
      <sheetName val="Positive AR"/>
      <sheetName val="Premium Table by Item Code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2094840.4523199946</v>
          </cell>
        </row>
      </sheetData>
      <sheetData sheetId="14">
        <row r="28">
          <cell r="E28">
            <v>1671312.9767381023</v>
          </cell>
        </row>
      </sheetData>
      <sheetData sheetId="15">
        <row r="28">
          <cell r="E28">
            <v>53210.820259999891</v>
          </cell>
        </row>
      </sheetData>
      <sheetData sheetId="16">
        <row r="28">
          <cell r="E28">
            <v>-759397.27174999984</v>
          </cell>
        </row>
      </sheetData>
      <sheetData sheetId="17">
        <row r="28">
          <cell r="E28">
            <v>-20088.849999999991</v>
          </cell>
        </row>
      </sheetData>
      <sheetData sheetId="18">
        <row r="39">
          <cell r="E39">
            <v>3039878.1275680996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Premium Table Vlookup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E28">
            <v>312206.14839998633</v>
          </cell>
        </row>
      </sheetData>
      <sheetData sheetId="13">
        <row r="28">
          <cell r="E28">
            <v>-1368217.4753344941</v>
          </cell>
        </row>
      </sheetData>
      <sheetData sheetId="14">
        <row r="28">
          <cell r="E28">
            <v>-71463.11248000036</v>
          </cell>
        </row>
      </sheetData>
      <sheetData sheetId="15">
        <row r="28">
          <cell r="E28">
            <v>51214.587949999841</v>
          </cell>
        </row>
      </sheetData>
      <sheetData sheetId="16">
        <row r="28">
          <cell r="E28">
            <v>4875.8300000000017</v>
          </cell>
        </row>
      </sheetData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FTO Table Vlookup"/>
      <sheetName val="Premium Table Vlookup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207748.61420999095</v>
          </cell>
        </row>
      </sheetData>
      <sheetData sheetId="14">
        <row r="28">
          <cell r="E28">
            <v>2071474.5894160017</v>
          </cell>
        </row>
      </sheetData>
      <sheetData sheetId="15">
        <row r="28">
          <cell r="E28">
            <v>21246.960790000041</v>
          </cell>
        </row>
      </sheetData>
      <sheetData sheetId="16">
        <row r="28">
          <cell r="E28">
            <v>98891.349400000239</v>
          </cell>
        </row>
      </sheetData>
      <sheetData sheetId="17">
        <row r="28">
          <cell r="E28">
            <v>3252.8199999999997</v>
          </cell>
        </row>
      </sheetData>
      <sheetData sheetId="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 Approved Loc - Original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FTO Table V lookup"/>
      <sheetName val="FTO Table Vlookup"/>
      <sheetName val="Premium Table Vlookup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8">
          <cell r="E28">
            <v>604518.5521700196</v>
          </cell>
        </row>
      </sheetData>
      <sheetData sheetId="16">
        <row r="28">
          <cell r="E28">
            <v>-5257767.4578485042</v>
          </cell>
        </row>
      </sheetData>
      <sheetData sheetId="17">
        <row r="28">
          <cell r="E28">
            <v>-68837.364700000209</v>
          </cell>
        </row>
      </sheetData>
      <sheetData sheetId="18">
        <row r="28">
          <cell r="E28">
            <v>10622.478750000009</v>
          </cell>
        </row>
      </sheetData>
      <sheetData sheetId="19">
        <row r="28">
          <cell r="E28">
            <v>-9631.4079999999958</v>
          </cell>
        </row>
      </sheetData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C30">
            <v>365257.53999999905</v>
          </cell>
          <cell r="D30">
            <v>21090.145499999966</v>
          </cell>
          <cell r="E30">
            <v>37097.844600000004</v>
          </cell>
          <cell r="F30">
            <v>3045</v>
          </cell>
        </row>
        <row r="54">
          <cell r="B54">
            <v>301276.599516891</v>
          </cell>
          <cell r="C54">
            <v>314838.27600001462</v>
          </cell>
          <cell r="D54">
            <v>40496.840099999994</v>
          </cell>
          <cell r="E54">
            <v>14645.328399999986</v>
          </cell>
          <cell r="F54">
            <v>10671.25</v>
          </cell>
        </row>
        <row r="80">
          <cell r="B80">
            <v>332184.39528701216</v>
          </cell>
          <cell r="C80">
            <v>311757.88299998752</v>
          </cell>
          <cell r="D80">
            <v>8782.1078999999936</v>
          </cell>
          <cell r="E80">
            <v>14892.187999999987</v>
          </cell>
          <cell r="F80">
            <v>6747.14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">
          <cell r="B31">
            <v>281330.66382510529</v>
          </cell>
          <cell r="C31">
            <v>364001.01299999474</v>
          </cell>
          <cell r="D31">
            <v>17527.93</v>
          </cell>
          <cell r="E31">
            <v>16414.477200000103</v>
          </cell>
          <cell r="F31">
            <v>6239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  <row r="20">
          <cell r="B20">
            <v>31705.259999999995</v>
          </cell>
        </row>
        <row r="26">
          <cell r="B26">
            <v>0</v>
          </cell>
        </row>
      </sheetData>
      <sheetData sheetId="2">
        <row r="10">
          <cell r="B10">
            <v>23083.65</v>
          </cell>
        </row>
        <row r="20">
          <cell r="B20">
            <v>3212.99</v>
          </cell>
        </row>
        <row r="26">
          <cell r="B26">
            <v>9893.18</v>
          </cell>
        </row>
      </sheetData>
      <sheetData sheetId="3">
        <row r="10">
          <cell r="B10">
            <v>22978.059999999998</v>
          </cell>
        </row>
        <row r="20">
          <cell r="B20">
            <v>8036.34</v>
          </cell>
        </row>
        <row r="26">
          <cell r="B26">
            <v>59045.81</v>
          </cell>
        </row>
        <row r="31">
          <cell r="B31">
            <v>272.06</v>
          </cell>
        </row>
      </sheetData>
      <sheetData sheetId="4">
        <row r="10">
          <cell r="B10">
            <v>42087.81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FTOs for Vlookup"/>
      <sheetName val="Premium Table by Item Code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607654.88740001619</v>
          </cell>
        </row>
      </sheetData>
      <sheetData sheetId="14">
        <row r="28">
          <cell r="E28">
            <v>1036939.8168504873</v>
          </cell>
        </row>
      </sheetData>
      <sheetData sheetId="15">
        <row r="28">
          <cell r="E28">
            <v>54597.568599999649</v>
          </cell>
        </row>
      </sheetData>
      <sheetData sheetId="16">
        <row r="28">
          <cell r="E28">
            <v>-56319.259040000208</v>
          </cell>
        </row>
      </sheetData>
      <sheetData sheetId="17">
        <row r="28">
          <cell r="E28">
            <v>8290.3699999999953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SO's"/>
      <sheetName val="Prepaid Inventory"/>
      <sheetName val="FTOs for Vlookup"/>
      <sheetName val="Premiums for Vlookup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567828.19951001555</v>
          </cell>
        </row>
      </sheetData>
      <sheetData sheetId="14">
        <row r="28">
          <cell r="E28">
            <v>-931711.66054889513</v>
          </cell>
        </row>
      </sheetData>
      <sheetData sheetId="15">
        <row r="28">
          <cell r="E28">
            <v>-2899.6698899999028</v>
          </cell>
        </row>
      </sheetData>
      <sheetData sheetId="16">
        <row r="28">
          <cell r="E28">
            <v>-27321.270960000053</v>
          </cell>
        </row>
      </sheetData>
      <sheetData sheetId="17">
        <row r="28">
          <cell r="E28">
            <v>-19993.190000000017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FTOs for Vlookup"/>
      <sheetName val="Premiums for Vlookup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-212199.27639002353</v>
          </cell>
        </row>
      </sheetData>
      <sheetData sheetId="14">
        <row r="28">
          <cell r="E28">
            <v>1133883.7106935014</v>
          </cell>
        </row>
      </sheetData>
      <sheetData sheetId="15">
        <row r="28">
          <cell r="E28">
            <v>-17872.84760000027</v>
          </cell>
        </row>
      </sheetData>
      <sheetData sheetId="16">
        <row r="28">
          <cell r="E28">
            <v>35879.561575000058</v>
          </cell>
        </row>
      </sheetData>
      <sheetData sheetId="17">
        <row r="28">
          <cell r="E28">
            <v>24746.690000000002</v>
          </cell>
        </row>
      </sheetData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Compare to Hedge 2017"/>
      <sheetName val="P&amp;L Compare to hedge 2016"/>
      <sheetName val="P&amp;L Compare to hedge 2015"/>
      <sheetName val="2017 Oct Analysis"/>
    </sheetNames>
    <sheetDataSet>
      <sheetData sheetId="0">
        <row r="5">
          <cell r="B5">
            <v>113292957.56</v>
          </cell>
          <cell r="C5">
            <v>260646292.20999998</v>
          </cell>
          <cell r="D5">
            <v>452862499.41000003</v>
          </cell>
          <cell r="E5">
            <v>138950529.63</v>
          </cell>
          <cell r="F5">
            <v>85302170.939999998</v>
          </cell>
          <cell r="G5">
            <v>73779498.170000002</v>
          </cell>
          <cell r="H5">
            <v>75691159.820000008</v>
          </cell>
          <cell r="I5">
            <v>92628005.799999997</v>
          </cell>
          <cell r="J5">
            <v>74564379.010000005</v>
          </cell>
          <cell r="K5">
            <v>65832090.469999999</v>
          </cell>
          <cell r="L5">
            <v>60995663.07</v>
          </cell>
          <cell r="M5">
            <v>99730461.799999997</v>
          </cell>
        </row>
        <row r="6">
          <cell r="B6">
            <v>90221763.13000001</v>
          </cell>
          <cell r="C6">
            <v>222835104.54999998</v>
          </cell>
          <cell r="D6">
            <v>192586113.47</v>
          </cell>
          <cell r="E6">
            <v>117683488.83</v>
          </cell>
          <cell r="F6">
            <v>110058336.69000001</v>
          </cell>
          <cell r="G6">
            <v>220256394.09999999</v>
          </cell>
          <cell r="H6">
            <v>25957142.310000002</v>
          </cell>
          <cell r="I6">
            <v>258629223.91</v>
          </cell>
          <cell r="J6">
            <v>94442621.200000003</v>
          </cell>
          <cell r="K6">
            <v>69160558.799999997</v>
          </cell>
          <cell r="L6">
            <v>29274232.779999997</v>
          </cell>
          <cell r="M6">
            <v>116652187.25</v>
          </cell>
        </row>
        <row r="7">
          <cell r="B7">
            <v>4946963.82</v>
          </cell>
          <cell r="C7">
            <v>4167692.78</v>
          </cell>
          <cell r="D7">
            <v>1719517.32</v>
          </cell>
          <cell r="E7">
            <v>853604.24</v>
          </cell>
          <cell r="F7">
            <v>1187132.05</v>
          </cell>
          <cell r="G7">
            <v>836073.2</v>
          </cell>
          <cell r="H7">
            <v>2023864.34</v>
          </cell>
          <cell r="I7">
            <v>1205718.99</v>
          </cell>
          <cell r="J7">
            <v>1482064.24</v>
          </cell>
          <cell r="K7">
            <v>2518805.41</v>
          </cell>
          <cell r="L7">
            <v>2231148.27</v>
          </cell>
          <cell r="M7">
            <v>1648609.38</v>
          </cell>
        </row>
        <row r="8">
          <cell r="B8">
            <v>185592.4</v>
          </cell>
          <cell r="C8">
            <v>236566</v>
          </cell>
          <cell r="D8">
            <v>654012.59</v>
          </cell>
          <cell r="E8">
            <v>1124364.54</v>
          </cell>
          <cell r="F8">
            <v>7598226.2599999998</v>
          </cell>
          <cell r="G8">
            <v>5656486.75</v>
          </cell>
          <cell r="H8">
            <v>5276134.7</v>
          </cell>
          <cell r="I8">
            <v>5862454.5</v>
          </cell>
          <cell r="J8">
            <v>5126450.9400000004</v>
          </cell>
          <cell r="K8">
            <v>5672153.0499999998</v>
          </cell>
          <cell r="L8">
            <v>3536488</v>
          </cell>
          <cell r="M8">
            <v>2085534</v>
          </cell>
        </row>
        <row r="9">
          <cell r="B9">
            <v>279150</v>
          </cell>
          <cell r="C9">
            <v>32897</v>
          </cell>
          <cell r="D9">
            <v>136200</v>
          </cell>
          <cell r="E9">
            <v>408565</v>
          </cell>
          <cell r="F9">
            <v>28036</v>
          </cell>
          <cell r="G9">
            <v>5382</v>
          </cell>
          <cell r="H9">
            <v>359750</v>
          </cell>
          <cell r="I9">
            <v>114473</v>
          </cell>
          <cell r="J9">
            <v>203175</v>
          </cell>
          <cell r="K9">
            <v>14316</v>
          </cell>
          <cell r="L9">
            <v>7423</v>
          </cell>
          <cell r="M9">
            <v>193580</v>
          </cell>
        </row>
        <row r="13">
          <cell r="B13">
            <v>114600413.3</v>
          </cell>
          <cell r="C13">
            <v>259673240.20999998</v>
          </cell>
          <cell r="D13">
            <v>453187867.13999999</v>
          </cell>
          <cell r="E13">
            <v>136867628.21000001</v>
          </cell>
          <cell r="F13">
            <v>84255658.25</v>
          </cell>
          <cell r="G13">
            <v>72994962.530000001</v>
          </cell>
          <cell r="H13">
            <v>76978154.659999996</v>
          </cell>
          <cell r="I13">
            <v>92027800.210000008</v>
          </cell>
          <cell r="J13">
            <v>73891670.470000014</v>
          </cell>
          <cell r="K13">
            <v>64627565.059999995</v>
          </cell>
          <cell r="L13">
            <v>60787778.160000004</v>
          </cell>
          <cell r="M13">
            <v>100578101.03</v>
          </cell>
        </row>
        <row r="14">
          <cell r="B14">
            <v>90316592.780000001</v>
          </cell>
          <cell r="C14">
            <v>219799824.44</v>
          </cell>
          <cell r="D14">
            <v>195458059.97999996</v>
          </cell>
          <cell r="E14">
            <v>113899494.25</v>
          </cell>
          <cell r="F14">
            <v>114343046.48</v>
          </cell>
          <cell r="G14">
            <v>220573894.99000001</v>
          </cell>
          <cell r="H14">
            <v>27197114.489999998</v>
          </cell>
          <cell r="I14">
            <v>255984345.39000002</v>
          </cell>
          <cell r="J14">
            <v>92191125.279999986</v>
          </cell>
          <cell r="K14">
            <v>69700913.989999995</v>
          </cell>
          <cell r="L14">
            <v>28912346.890000001</v>
          </cell>
          <cell r="M14">
            <v>119514310.34999999</v>
          </cell>
        </row>
        <row r="15">
          <cell r="B15">
            <v>4831784.4699999988</v>
          </cell>
          <cell r="C15">
            <v>4081089</v>
          </cell>
          <cell r="D15">
            <v>1744086.53</v>
          </cell>
          <cell r="E15">
            <v>860338.0199999999</v>
          </cell>
          <cell r="F15">
            <v>1210864.06</v>
          </cell>
          <cell r="G15">
            <v>858920.28999999992</v>
          </cell>
          <cell r="H15">
            <v>2036540.82</v>
          </cell>
          <cell r="I15">
            <v>1189917.1400000001</v>
          </cell>
          <cell r="J15">
            <v>1447225.03</v>
          </cell>
          <cell r="K15">
            <v>2540546.3199999998</v>
          </cell>
          <cell r="L15">
            <v>2206787.52</v>
          </cell>
          <cell r="M15">
            <v>1670663.54</v>
          </cell>
        </row>
        <row r="16">
          <cell r="B16">
            <v>1051677.48</v>
          </cell>
          <cell r="C16">
            <v>234941.33</v>
          </cell>
          <cell r="D16">
            <v>644522.26</v>
          </cell>
          <cell r="E16">
            <v>1091165.6500000001</v>
          </cell>
          <cell r="F16">
            <v>7552398.0999999996</v>
          </cell>
          <cell r="G16">
            <v>5420973.1999999993</v>
          </cell>
          <cell r="H16">
            <v>5233800.5</v>
          </cell>
          <cell r="I16">
            <v>5701283.5200000005</v>
          </cell>
          <cell r="J16">
            <v>5068937.24</v>
          </cell>
          <cell r="K16">
            <v>5557054.0999999996</v>
          </cell>
          <cell r="L16">
            <v>3473420.46</v>
          </cell>
          <cell r="M16">
            <v>2031491.83</v>
          </cell>
        </row>
        <row r="17">
          <cell r="B17">
            <v>285533.92</v>
          </cell>
          <cell r="C17">
            <v>32513.55</v>
          </cell>
          <cell r="D17">
            <v>123460.41</v>
          </cell>
          <cell r="E17">
            <v>389335.35</v>
          </cell>
          <cell r="F17">
            <v>25497.24</v>
          </cell>
          <cell r="G17">
            <v>4782.82</v>
          </cell>
          <cell r="H17">
            <v>354848.31</v>
          </cell>
          <cell r="I17">
            <v>105518.9</v>
          </cell>
          <cell r="J17">
            <v>189775.52</v>
          </cell>
          <cell r="K17">
            <v>8466.17</v>
          </cell>
          <cell r="L17">
            <v>5452.18</v>
          </cell>
          <cell r="M17">
            <v>173902.83</v>
          </cell>
        </row>
        <row r="19">
          <cell r="B19">
            <v>-3736182.1200000048</v>
          </cell>
          <cell r="C19">
            <v>-1219396.5999999642</v>
          </cell>
          <cell r="D19">
            <v>119281.87999999523</v>
          </cell>
          <cell r="E19">
            <v>-184774.81999999285</v>
          </cell>
          <cell r="F19">
            <v>330003.30999997258</v>
          </cell>
          <cell r="G19">
            <v>-2457043.2299999893</v>
          </cell>
          <cell r="H19">
            <v>-534138.12000000477</v>
          </cell>
          <cell r="I19">
            <v>-368580.55000001192</v>
          </cell>
          <cell r="J19">
            <v>-83834.659999996424</v>
          </cell>
          <cell r="K19">
            <v>347572.1400000006</v>
          </cell>
          <cell r="L19">
            <v>39785.94999999553</v>
          </cell>
          <cell r="M19">
            <v>-279624.56000000238</v>
          </cell>
        </row>
        <row r="20">
          <cell r="B20">
            <v>-1769841.6999999881</v>
          </cell>
          <cell r="C20">
            <v>-3186079.0799999833</v>
          </cell>
          <cell r="D20">
            <v>-1811991.4200000167</v>
          </cell>
          <cell r="E20">
            <v>6581080.8300001621</v>
          </cell>
          <cell r="F20">
            <v>383529.25999999046</v>
          </cell>
          <cell r="G20">
            <v>3788848.1400001049</v>
          </cell>
          <cell r="H20">
            <v>144448.57000005245</v>
          </cell>
          <cell r="I20">
            <v>-3722508.3799999952</v>
          </cell>
          <cell r="J20">
            <v>1873917.25</v>
          </cell>
          <cell r="K20">
            <v>521231.07999992371</v>
          </cell>
          <cell r="L20">
            <v>820710.88000011444</v>
          </cell>
          <cell r="M20">
            <v>1385551.560000062</v>
          </cell>
        </row>
        <row r="21">
          <cell r="B21">
            <v>-12472.790000000037</v>
          </cell>
          <cell r="C21">
            <v>-13259.540000000037</v>
          </cell>
          <cell r="D21">
            <v>0</v>
          </cell>
          <cell r="E21">
            <v>0</v>
          </cell>
          <cell r="F21">
            <v>-9879.8699999999953</v>
          </cell>
          <cell r="G21">
            <v>-384.67999999999302</v>
          </cell>
          <cell r="H21">
            <v>5381.3499999999767</v>
          </cell>
          <cell r="I21">
            <v>-78527.610000000102</v>
          </cell>
          <cell r="J21">
            <v>36.539999999979045</v>
          </cell>
          <cell r="K21">
            <v>14495.75</v>
          </cell>
          <cell r="L21">
            <v>-9953.1499999999069</v>
          </cell>
          <cell r="M21">
            <v>23565.449999999953</v>
          </cell>
        </row>
        <row r="22">
          <cell r="B22">
            <v>-77698.909999999974</v>
          </cell>
          <cell r="C22">
            <v>-113347.17000000004</v>
          </cell>
          <cell r="D22">
            <v>-144481.57999999996</v>
          </cell>
          <cell r="E22">
            <v>0</v>
          </cell>
          <cell r="F22">
            <v>-363.35999999998603</v>
          </cell>
          <cell r="G22">
            <v>-7704.5800000000017</v>
          </cell>
          <cell r="H22">
            <v>0</v>
          </cell>
          <cell r="I22">
            <v>-11798.12000000001</v>
          </cell>
          <cell r="J22">
            <v>-16559.880000000005</v>
          </cell>
          <cell r="K22">
            <v>800</v>
          </cell>
          <cell r="L22">
            <v>-79122</v>
          </cell>
          <cell r="M22">
            <v>11011.359999999986</v>
          </cell>
        </row>
        <row r="24">
          <cell r="B24">
            <v>-338579.8900000006</v>
          </cell>
          <cell r="C24">
            <v>150178</v>
          </cell>
          <cell r="D24">
            <v>-162763.21000000089</v>
          </cell>
          <cell r="E24">
            <v>10522.839999999851</v>
          </cell>
          <cell r="F24">
            <v>348978.27999999747</v>
          </cell>
          <cell r="G24">
            <v>-135586.73000000045</v>
          </cell>
          <cell r="H24">
            <v>-9808.3499999977648</v>
          </cell>
          <cell r="I24">
            <v>-1020079.7199999988</v>
          </cell>
          <cell r="J24">
            <v>80450.969999998808</v>
          </cell>
          <cell r="K24">
            <v>329310</v>
          </cell>
          <cell r="L24">
            <v>-237748.99000000209</v>
          </cell>
          <cell r="M24">
            <v>-1525613.7400000095</v>
          </cell>
        </row>
        <row r="25">
          <cell r="B25">
            <v>7772987.3100000024</v>
          </cell>
          <cell r="C25">
            <v>7057344.9700000063</v>
          </cell>
          <cell r="D25">
            <v>-4259704.9899999946</v>
          </cell>
          <cell r="E25">
            <v>-6829771.3100000024</v>
          </cell>
          <cell r="F25">
            <v>-115056.67000000179</v>
          </cell>
          <cell r="G25">
            <v>-4129829.859999992</v>
          </cell>
          <cell r="H25">
            <v>1778083.2400000021</v>
          </cell>
          <cell r="I25">
            <v>5871569.7299999967</v>
          </cell>
          <cell r="J25">
            <v>-4876920.849999994</v>
          </cell>
          <cell r="K25">
            <v>163487.61999999732</v>
          </cell>
          <cell r="L25">
            <v>-2880032.7600000054</v>
          </cell>
          <cell r="M25">
            <v>596515.85000000894</v>
          </cell>
        </row>
        <row r="26">
          <cell r="B26">
            <v>685</v>
          </cell>
          <cell r="C26">
            <v>51220</v>
          </cell>
          <cell r="D26">
            <v>-140610</v>
          </cell>
          <cell r="E26">
            <v>6250</v>
          </cell>
          <cell r="F26">
            <v>-4325</v>
          </cell>
          <cell r="H26">
            <v>0</v>
          </cell>
          <cell r="I26">
            <v>-522.5</v>
          </cell>
          <cell r="J26">
            <v>-6000</v>
          </cell>
          <cell r="K26">
            <v>0</v>
          </cell>
          <cell r="L26">
            <v>-19205</v>
          </cell>
          <cell r="M26">
            <v>-145</v>
          </cell>
        </row>
        <row r="27">
          <cell r="B27">
            <v>0</v>
          </cell>
          <cell r="C27">
            <v>360</v>
          </cell>
          <cell r="D27">
            <v>0</v>
          </cell>
          <cell r="E27">
            <v>0</v>
          </cell>
          <cell r="F27">
            <v>-4241.25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B30">
            <v>-8318.14</v>
          </cell>
          <cell r="C30">
            <v>10768.95</v>
          </cell>
          <cell r="D30">
            <v>15840.98</v>
          </cell>
          <cell r="E30">
            <v>8369.92</v>
          </cell>
          <cell r="G30">
            <v>9768.4599999999991</v>
          </cell>
          <cell r="H30">
            <v>-3432.81</v>
          </cell>
          <cell r="J30">
            <v>9865.67</v>
          </cell>
        </row>
        <row r="37">
          <cell r="D37">
            <v>28589.71</v>
          </cell>
          <cell r="J37">
            <v>25878.199999999997</v>
          </cell>
        </row>
        <row r="43">
          <cell r="B43">
            <v>-390962.77468910383</v>
          </cell>
          <cell r="C43">
            <v>191484.75999995461</v>
          </cell>
          <cell r="D43">
            <v>174377.15069807682</v>
          </cell>
          <cell r="E43">
            <v>125379.96807707613</v>
          </cell>
          <cell r="F43">
            <v>8418.1544007868506</v>
          </cell>
          <cell r="G43">
            <v>6001.3901691896608</v>
          </cell>
          <cell r="H43">
            <v>-143786.82331730897</v>
          </cell>
          <cell r="I43">
            <v>-21845.218134135706</v>
          </cell>
          <cell r="J43">
            <v>-87434.016893041087</v>
          </cell>
          <cell r="K43">
            <v>97083.270662990515</v>
          </cell>
          <cell r="L43">
            <v>-120551.0907314684</v>
          </cell>
          <cell r="M43">
            <v>-10093.900000064285</v>
          </cell>
          <cell r="N43">
            <v>-171929.1297575552</v>
          </cell>
        </row>
        <row r="159">
          <cell r="K159">
            <v>3147.89</v>
          </cell>
          <cell r="L159">
            <v>-3755.83</v>
          </cell>
          <cell r="M159">
            <v>10321.5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61617.767739999807</v>
          </cell>
        </row>
      </sheetData>
      <sheetData sheetId="14">
        <row r="28">
          <cell r="E28">
            <v>-792480.57759999973</v>
          </cell>
        </row>
      </sheetData>
      <sheetData sheetId="15">
        <row r="28">
          <cell r="E28">
            <v>-9626.9199999999983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12FF-AB7F-4B27-9A5C-27414A2F5837}">
  <sheetPr>
    <pageSetUpPr fitToPage="1"/>
  </sheetPr>
  <dimension ref="A1:N303"/>
  <sheetViews>
    <sheetView tabSelected="1" topLeftCell="A66" zoomScaleNormal="100" workbookViewId="0">
      <selection activeCell="J74" sqref="J74"/>
    </sheetView>
  </sheetViews>
  <sheetFormatPr defaultColWidth="8.6640625" defaultRowHeight="14.4" x14ac:dyDescent="0.3"/>
  <cols>
    <col min="1" max="1" width="27.33203125" style="9" customWidth="1"/>
    <col min="2" max="2" width="19" style="67" bestFit="1" customWidth="1"/>
    <col min="3" max="3" width="19.109375" style="67" bestFit="1" customWidth="1"/>
    <col min="4" max="5" width="16.88671875" style="67" bestFit="1" customWidth="1"/>
    <col min="6" max="6" width="14.88671875" style="67" bestFit="1" customWidth="1"/>
    <col min="7" max="7" width="24" style="67" bestFit="1" customWidth="1"/>
    <col min="8" max="8" width="16.6640625" style="8" customWidth="1"/>
    <col min="9" max="9" width="16" style="9" bestFit="1" customWidth="1"/>
    <col min="10" max="10" width="14.33203125" style="9" bestFit="1" customWidth="1"/>
    <col min="11" max="12" width="8.6640625" style="9"/>
    <col min="13" max="13" width="13.33203125" style="67" bestFit="1" customWidth="1"/>
    <col min="14" max="14" width="14" style="67" bestFit="1" customWidth="1"/>
    <col min="15" max="16384" width="8.6640625" style="9"/>
  </cols>
  <sheetData>
    <row r="1" spans="1:14" x14ac:dyDescent="0.3">
      <c r="A1" s="98" t="s">
        <v>12</v>
      </c>
      <c r="B1" s="99"/>
      <c r="C1" s="99"/>
      <c r="D1" s="99"/>
      <c r="E1" s="99"/>
      <c r="F1" s="99"/>
      <c r="G1" s="100"/>
    </row>
    <row r="2" spans="1:14" x14ac:dyDescent="0.3">
      <c r="A2" s="101" t="s">
        <v>13</v>
      </c>
      <c r="B2" s="102"/>
      <c r="C2" s="102"/>
      <c r="D2" s="102"/>
      <c r="E2" s="102"/>
      <c r="F2" s="102"/>
      <c r="G2" s="103"/>
    </row>
    <row r="3" spans="1:14" x14ac:dyDescent="0.3">
      <c r="A3" s="95">
        <v>43131</v>
      </c>
      <c r="B3" s="96"/>
      <c r="C3" s="96"/>
      <c r="D3" s="96"/>
      <c r="E3" s="96"/>
      <c r="F3" s="96"/>
      <c r="G3" s="97"/>
    </row>
    <row r="4" spans="1:14" x14ac:dyDescent="0.3">
      <c r="A4" s="10"/>
      <c r="B4" s="11"/>
      <c r="C4" s="11"/>
      <c r="D4" s="11"/>
      <c r="E4" s="11"/>
      <c r="F4" s="11"/>
      <c r="G4" s="12"/>
    </row>
    <row r="5" spans="1:14" s="17" customFormat="1" x14ac:dyDescent="0.3">
      <c r="A5" s="13"/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5" t="s">
        <v>10</v>
      </c>
      <c r="H5" s="16"/>
      <c r="M5" s="70"/>
      <c r="N5" s="70"/>
    </row>
    <row r="6" spans="1:14" x14ac:dyDescent="0.3">
      <c r="A6" s="13" t="s">
        <v>0</v>
      </c>
      <c r="B6" s="90">
        <f>'[1]P&amp;L Compare to Hedge 2018'!$B$5</f>
        <v>154563428.67000002</v>
      </c>
      <c r="C6" s="90">
        <f>'[1]P&amp;L Compare to Hedge 2018'!$B$6</f>
        <v>424529753.21999997</v>
      </c>
      <c r="D6" s="90">
        <f>'[1]P&amp;L Compare to Hedge 2018'!$B$7</f>
        <v>2884704.37</v>
      </c>
      <c r="E6" s="90">
        <f>'[1]P&amp;L Compare to Hedge 2018'!$B$8</f>
        <v>3238349</v>
      </c>
      <c r="F6" s="90">
        <f>'[1]P&amp;L Compare to Hedge 2018'!$B$9</f>
        <v>85825</v>
      </c>
      <c r="G6" s="28">
        <f>SUM(B6:F6)</f>
        <v>585302060.25999999</v>
      </c>
    </row>
    <row r="7" spans="1:14" x14ac:dyDescent="0.3">
      <c r="A7" s="13" t="s">
        <v>1</v>
      </c>
      <c r="B7" s="90">
        <f>'[1]P&amp;L Compare to Hedge 2018'!$B$14</f>
        <v>157842383.69</v>
      </c>
      <c r="C7" s="90">
        <f>'[1]P&amp;L Compare to Hedge 2018'!$B$15</f>
        <v>422465521.94999993</v>
      </c>
      <c r="D7" s="90">
        <f>'[1]P&amp;L Compare to Hedge 2018'!$B$16</f>
        <v>2842624.1900000004</v>
      </c>
      <c r="E7" s="90">
        <f>'[1]P&amp;L Compare to Hedge 2018'!$B$17</f>
        <v>3972878.5</v>
      </c>
      <c r="F7" s="90">
        <f>'[1]P&amp;L Compare to Hedge 2018'!$B$18</f>
        <v>103200.43</v>
      </c>
      <c r="G7" s="28">
        <f>SUM(B7:F7)</f>
        <v>587226608.75999987</v>
      </c>
    </row>
    <row r="8" spans="1:14" x14ac:dyDescent="0.3">
      <c r="A8" s="13" t="s">
        <v>2</v>
      </c>
      <c r="B8" s="90">
        <f>'[1]P&amp;L Compare to Hedge 2018'!$B$21</f>
        <v>-4303584.0399999917</v>
      </c>
      <c r="C8" s="90">
        <f>'[1]P&amp;L Compare to Hedge 2018'!$B$22</f>
        <v>-198311.54999999702</v>
      </c>
      <c r="D8" s="90">
        <f>'[1]P&amp;L Compare to Hedge 2018'!$B$23</f>
        <v>-28077.910000000033</v>
      </c>
      <c r="E8" s="90">
        <f>'[1]P&amp;L Compare to Hedge 2018'!$B$24</f>
        <v>-17915.510000000009</v>
      </c>
      <c r="F8" s="90">
        <f>0</f>
        <v>0</v>
      </c>
      <c r="G8" s="28">
        <f>SUM(B8:F8)</f>
        <v>-4547889.0099999886</v>
      </c>
    </row>
    <row r="9" spans="1:14" x14ac:dyDescent="0.3">
      <c r="A9" s="13" t="s">
        <v>3</v>
      </c>
      <c r="B9" s="90">
        <f>'[1]P&amp;L Compare to Hedge 2018'!$B$26</f>
        <v>-1451390.0700000077</v>
      </c>
      <c r="C9" s="90">
        <f>'[1]P&amp;L Compare to Hedge 2018'!$B$27</f>
        <v>287951.64999999851</v>
      </c>
      <c r="D9" s="90">
        <f>'[1]P&amp;L Compare to Hedge 2018'!$B$28</f>
        <v>0</v>
      </c>
      <c r="E9" s="90">
        <f>'[1]P&amp;L Compare to Hedge 2018'!$B$29</f>
        <v>0</v>
      </c>
      <c r="F9" s="90">
        <v>0</v>
      </c>
      <c r="G9" s="28">
        <f>SUM(B9:F9)</f>
        <v>-1163438.4200000092</v>
      </c>
    </row>
    <row r="10" spans="1:14" ht="15" thickBot="1" x14ac:dyDescent="0.35">
      <c r="A10" s="13" t="s">
        <v>4</v>
      </c>
      <c r="B10" s="90">
        <f>'[2]Mrkg to Mkt Gold'!$E$28</f>
        <v>2094840.4523199946</v>
      </c>
      <c r="C10" s="90">
        <f>'[2]Mkg to Mkt Silver'!$E$28</f>
        <v>1671312.9767381023</v>
      </c>
      <c r="D10" s="90">
        <f>'[2]Mkg to Mkt Platinum  '!$E$28</f>
        <v>53210.820259999891</v>
      </c>
      <c r="E10" s="90">
        <f>'[2]Mkg to Mkt Palladium'!$E$28</f>
        <v>-759397.27174999984</v>
      </c>
      <c r="F10" s="90">
        <f>'[2]Mkg to Mkt Rhodium'!$E$28</f>
        <v>-20088.849999999991</v>
      </c>
      <c r="G10" s="28">
        <f>SUM(B10:F10)</f>
        <v>3039878.1275680969</v>
      </c>
      <c r="H10" s="94">
        <f>'[2]Mkg to Mkt All'!$E$39-G10</f>
        <v>0</v>
      </c>
      <c r="I10" s="71" t="s">
        <v>14</v>
      </c>
    </row>
    <row r="11" spans="1:14" ht="15" thickBot="1" x14ac:dyDescent="0.35">
      <c r="A11" s="13" t="s">
        <v>18</v>
      </c>
      <c r="B11" s="20"/>
      <c r="C11" s="20"/>
      <c r="D11" s="20"/>
      <c r="E11" s="20"/>
      <c r="F11" s="20"/>
      <c r="G11" s="21">
        <v>2682.05</v>
      </c>
    </row>
    <row r="12" spans="1:14" ht="15" thickBot="1" x14ac:dyDescent="0.35">
      <c r="A12" s="13"/>
      <c r="B12" s="91">
        <f>+B6-B7-B8-B9-B10</f>
        <v>381178.63768002391</v>
      </c>
      <c r="C12" s="22">
        <f>+C6-C7-C8-C9-C10</f>
        <v>303278.19326193677</v>
      </c>
      <c r="D12" s="22">
        <f>+D6-D7-D8-D9-D10</f>
        <v>16947.269739999843</v>
      </c>
      <c r="E12" s="22">
        <f>+E6-E7-E8-E9-E10</f>
        <v>42783.281749999849</v>
      </c>
      <c r="F12" s="22">
        <f>+F6-F7-F8-F9-F10</f>
        <v>2713.4199999999983</v>
      </c>
      <c r="G12" s="43">
        <f>+G6-G7-G8-G9-G10-G11</f>
        <v>744218.75243202015</v>
      </c>
    </row>
    <row r="13" spans="1:14" ht="15" thickTop="1" x14ac:dyDescent="0.3">
      <c r="A13" s="13"/>
      <c r="B13" s="24"/>
      <c r="C13" s="24"/>
      <c r="D13" s="24"/>
      <c r="E13" s="24"/>
      <c r="F13" s="24"/>
      <c r="G13" s="19"/>
    </row>
    <row r="14" spans="1:14" x14ac:dyDescent="0.3">
      <c r="A14" s="13" t="s">
        <v>11</v>
      </c>
      <c r="B14" s="90">
        <f>'[3]Comparison 2017-2018'!$B$30</f>
        <v>459437.98398514051</v>
      </c>
      <c r="C14" s="90">
        <f>'[3]Comparison 2017-2018'!$C$30</f>
        <v>365257.53999999905</v>
      </c>
      <c r="D14" s="90">
        <f>'[3]Comparison 2017-2018'!$D$30</f>
        <v>21090.145499999966</v>
      </c>
      <c r="E14" s="90">
        <f>'[3]Comparison 2017-2018'!$E$30</f>
        <v>37097.844600000004</v>
      </c>
      <c r="F14" s="90">
        <f>'[3]Comparison 2017-2018'!$F$30</f>
        <v>3045</v>
      </c>
      <c r="G14" s="28">
        <f t="shared" ref="G14:G20" si="0">SUM(B14:F14)</f>
        <v>885928.5140851395</v>
      </c>
    </row>
    <row r="15" spans="1:14" x14ac:dyDescent="0.3">
      <c r="A15" s="13" t="s">
        <v>17</v>
      </c>
      <c r="B15" s="90">
        <v>11347.91</v>
      </c>
      <c r="C15" s="90">
        <v>1307.73</v>
      </c>
      <c r="D15" s="90">
        <v>0</v>
      </c>
      <c r="E15" s="90">
        <v>0</v>
      </c>
      <c r="F15" s="90">
        <v>0</v>
      </c>
      <c r="G15" s="28">
        <f t="shared" si="0"/>
        <v>12655.64</v>
      </c>
    </row>
    <row r="16" spans="1:14" x14ac:dyDescent="0.3">
      <c r="A16" s="13" t="s">
        <v>19</v>
      </c>
      <c r="B16" s="90">
        <f>[4]Jan!$B$10</f>
        <v>20228.97</v>
      </c>
      <c r="C16" s="90">
        <f>[4]Jan!$B$20</f>
        <v>31705.259999999995</v>
      </c>
      <c r="D16" s="90">
        <f>[4]Jan!$B$26</f>
        <v>0</v>
      </c>
      <c r="E16" s="90">
        <v>0</v>
      </c>
      <c r="F16" s="90">
        <v>0</v>
      </c>
      <c r="G16" s="28">
        <f t="shared" si="0"/>
        <v>51934.229999999996</v>
      </c>
    </row>
    <row r="17" spans="1:14" x14ac:dyDescent="0.3">
      <c r="A17" s="13" t="s">
        <v>20</v>
      </c>
      <c r="B17" s="90">
        <f>-11152</f>
        <v>-11152</v>
      </c>
      <c r="C17" s="90">
        <f>-36907.01</f>
        <v>-36907.01</v>
      </c>
      <c r="D17" s="90">
        <v>0</v>
      </c>
      <c r="E17" s="90">
        <v>0</v>
      </c>
      <c r="F17" s="90">
        <v>0</v>
      </c>
      <c r="G17" s="28">
        <f t="shared" si="0"/>
        <v>-48059.01</v>
      </c>
    </row>
    <row r="18" spans="1:14" x14ac:dyDescent="0.3">
      <c r="A18" s="13" t="s">
        <v>292</v>
      </c>
      <c r="B18" s="90">
        <v>-51657.33</v>
      </c>
      <c r="C18" s="90">
        <v>-70861</v>
      </c>
      <c r="D18" s="90">
        <v>0</v>
      </c>
      <c r="E18" s="90">
        <v>0</v>
      </c>
      <c r="F18" s="90">
        <v>0</v>
      </c>
      <c r="G18" s="28">
        <f t="shared" si="0"/>
        <v>-122518.33</v>
      </c>
    </row>
    <row r="19" spans="1:14" x14ac:dyDescent="0.3">
      <c r="A19" s="13" t="s">
        <v>21</v>
      </c>
      <c r="B19" s="90">
        <v>-129582</v>
      </c>
      <c r="C19" s="90"/>
      <c r="D19" s="90"/>
      <c r="E19" s="90">
        <v>0</v>
      </c>
      <c r="F19" s="90">
        <v>0</v>
      </c>
      <c r="G19" s="28">
        <f t="shared" si="0"/>
        <v>-129582</v>
      </c>
    </row>
    <row r="20" spans="1:14" x14ac:dyDescent="0.3">
      <c r="A20" s="13" t="s">
        <v>291</v>
      </c>
      <c r="B20" s="90">
        <v>-18000</v>
      </c>
      <c r="C20" s="90">
        <v>-17000</v>
      </c>
      <c r="D20" s="90">
        <v>0</v>
      </c>
      <c r="E20" s="90">
        <v>0</v>
      </c>
      <c r="F20" s="90">
        <v>0</v>
      </c>
      <c r="G20" s="28">
        <f t="shared" si="0"/>
        <v>-35000</v>
      </c>
    </row>
    <row r="21" spans="1:14" x14ac:dyDescent="0.3">
      <c r="A21" s="69"/>
      <c r="B21" s="90"/>
      <c r="C21" s="90"/>
      <c r="D21" s="90"/>
      <c r="E21" s="90"/>
      <c r="F21" s="90"/>
      <c r="G21" s="28"/>
    </row>
    <row r="22" spans="1:14" x14ac:dyDescent="0.3">
      <c r="A22" s="13" t="s">
        <v>14</v>
      </c>
      <c r="B22" s="90">
        <f>+B12-SUM(B14:B20)</f>
        <v>100555.10369488347</v>
      </c>
      <c r="C22" s="90">
        <f t="shared" ref="C22:F22" si="1">+C12-SUM(C14:C20)</f>
        <v>29775.673261937744</v>
      </c>
      <c r="D22" s="90">
        <f t="shared" si="1"/>
        <v>-4142.8757600001227</v>
      </c>
      <c r="E22" s="90">
        <f t="shared" si="1"/>
        <v>5685.4371499998451</v>
      </c>
      <c r="F22" s="90">
        <f t="shared" si="1"/>
        <v>-331.58000000000175</v>
      </c>
      <c r="G22" s="28">
        <f>+G12-SUM(G14:G20)</f>
        <v>128859.70834688062</v>
      </c>
      <c r="H22" s="38">
        <f>SUM(B22:F22)-G11</f>
        <v>128859.70834682095</v>
      </c>
      <c r="I22" s="33">
        <f>G22-H22</f>
        <v>5.9677404351532459E-8</v>
      </c>
      <c r="J22" s="34" t="s">
        <v>23</v>
      </c>
    </row>
    <row r="23" spans="1:14" ht="15" thickBot="1" x14ac:dyDescent="0.35">
      <c r="A23" s="35" t="s">
        <v>16</v>
      </c>
      <c r="B23" s="90">
        <v>1339</v>
      </c>
      <c r="C23" s="90">
        <v>17.204000000000001</v>
      </c>
      <c r="D23" s="90">
        <v>1001.3</v>
      </c>
      <c r="E23" s="90">
        <v>1027.5</v>
      </c>
      <c r="F23" s="90">
        <v>1650</v>
      </c>
      <c r="G23" s="28"/>
      <c r="H23" s="38">
        <f>'[1]P&amp;L Compare to Hedge 2018'!$B$45</f>
        <v>128859.70591497957</v>
      </c>
      <c r="I23" s="33">
        <f>G22-H23</f>
        <v>2.4319010553881526E-3</v>
      </c>
      <c r="J23" s="9" t="s">
        <v>22</v>
      </c>
    </row>
    <row r="24" spans="1:14" x14ac:dyDescent="0.3">
      <c r="A24" s="98" t="s">
        <v>12</v>
      </c>
      <c r="B24" s="99"/>
      <c r="C24" s="99"/>
      <c r="D24" s="99"/>
      <c r="E24" s="99"/>
      <c r="F24" s="99"/>
      <c r="G24" s="100"/>
    </row>
    <row r="25" spans="1:14" x14ac:dyDescent="0.3">
      <c r="A25" s="101" t="s">
        <v>13</v>
      </c>
      <c r="B25" s="102"/>
      <c r="C25" s="102"/>
      <c r="D25" s="102"/>
      <c r="E25" s="102"/>
      <c r="F25" s="102"/>
      <c r="G25" s="103"/>
    </row>
    <row r="26" spans="1:14" x14ac:dyDescent="0.3">
      <c r="A26" s="95">
        <v>43159</v>
      </c>
      <c r="B26" s="96"/>
      <c r="C26" s="96"/>
      <c r="D26" s="96"/>
      <c r="E26" s="96"/>
      <c r="F26" s="96"/>
      <c r="G26" s="97"/>
    </row>
    <row r="27" spans="1:14" x14ac:dyDescent="0.3">
      <c r="A27" s="10"/>
      <c r="B27" s="11"/>
      <c r="C27" s="11"/>
      <c r="D27" s="11"/>
      <c r="E27" s="11"/>
      <c r="F27" s="11"/>
      <c r="G27" s="12"/>
    </row>
    <row r="28" spans="1:14" s="17" customFormat="1" x14ac:dyDescent="0.3">
      <c r="A28" s="13"/>
      <c r="B28" s="14" t="s">
        <v>5</v>
      </c>
      <c r="C28" s="14" t="s">
        <v>6</v>
      </c>
      <c r="D28" s="14" t="s">
        <v>7</v>
      </c>
      <c r="E28" s="14" t="s">
        <v>8</v>
      </c>
      <c r="F28" s="14" t="s">
        <v>9</v>
      </c>
      <c r="G28" s="15" t="s">
        <v>10</v>
      </c>
      <c r="H28" s="16"/>
      <c r="M28" s="70"/>
      <c r="N28" s="70"/>
    </row>
    <row r="29" spans="1:14" x14ac:dyDescent="0.3">
      <c r="A29" s="13" t="s">
        <v>0</v>
      </c>
      <c r="B29" s="90">
        <f>'[1]P&amp;L Compare to Hedge 2018'!$C$5</f>
        <v>109601727.78999999</v>
      </c>
      <c r="C29" s="90">
        <f>'[1]P&amp;L Compare to Hedge 2018'!$C$6</f>
        <v>1212317398.3500001</v>
      </c>
      <c r="D29" s="90">
        <f>'[1]P&amp;L Compare to Hedge 2018'!$C$7</f>
        <v>2596535.7200000002</v>
      </c>
      <c r="E29" s="90">
        <f>'[1]P&amp;L Compare to Hedge 2018'!$C$8</f>
        <v>1478660.42</v>
      </c>
      <c r="F29" s="90">
        <f>'[1]P&amp;L Compare to Hedge 2018'!$C$9</f>
        <v>579872.5</v>
      </c>
      <c r="G29" s="28">
        <f>SUM(B29:F29)</f>
        <v>1326574194.7800002</v>
      </c>
    </row>
    <row r="30" spans="1:14" x14ac:dyDescent="0.3">
      <c r="A30" s="13" t="s">
        <v>1</v>
      </c>
      <c r="B30" s="90">
        <f>'[1]P&amp;L Compare to Hedge 2018'!$C$14</f>
        <v>108846154.46000001</v>
      </c>
      <c r="C30" s="90">
        <f>'[1]P&amp;L Compare to Hedge 2018'!$C$15</f>
        <v>1215546261.6300001</v>
      </c>
      <c r="D30" s="90">
        <f>'[1]P&amp;L Compare to Hedge 2018'!$C$16</f>
        <v>2535222.7399999998</v>
      </c>
      <c r="E30" s="90">
        <f>'[1]P&amp;L Compare to Hedge 2018'!$C$17</f>
        <v>1516251.86</v>
      </c>
      <c r="F30" s="90">
        <f>'[1]P&amp;L Compare to Hedge 2018'!$C$18</f>
        <v>557565.63</v>
      </c>
      <c r="G30" s="28">
        <f>SUM(B30:F30)</f>
        <v>1329001456.3200002</v>
      </c>
    </row>
    <row r="31" spans="1:14" x14ac:dyDescent="0.3">
      <c r="A31" s="13" t="s">
        <v>2</v>
      </c>
      <c r="B31" s="90">
        <f>'[1]P&amp;L Compare to Hedge 2018'!$C$21</f>
        <v>-230168.78000000119</v>
      </c>
      <c r="C31" s="90">
        <f>'[1]P&amp;L Compare to Hedge 2018'!$C$22</f>
        <v>-141071.81000000052</v>
      </c>
      <c r="D31" s="90">
        <f>'[1]P&amp;L Compare to Hedge 2018'!$C$23</f>
        <v>-41342.620000000112</v>
      </c>
      <c r="E31" s="90">
        <f>'[1]P&amp;L Compare to Hedge 2018'!$C$24</f>
        <v>0</v>
      </c>
      <c r="F31" s="90">
        <v>0</v>
      </c>
      <c r="G31" s="28">
        <f>SUM(B31:F31)</f>
        <v>-412583.21000000183</v>
      </c>
    </row>
    <row r="32" spans="1:14" x14ac:dyDescent="0.3">
      <c r="A32" s="13" t="s">
        <v>3</v>
      </c>
      <c r="B32" s="90">
        <f>'[1]P&amp;L Compare to Hedge 2018'!$C$26</f>
        <v>-14017.5</v>
      </c>
      <c r="C32" s="90">
        <f>'[1]P&amp;L Compare to Hedge 2018'!$C$27</f>
        <v>-4461877.3100000024</v>
      </c>
      <c r="D32" s="90">
        <f>'[1]P&amp;L Compare to Hedge 2018'!$C$28</f>
        <v>4535</v>
      </c>
      <c r="E32" s="90">
        <f>'[1]P&amp;L Compare to Hedge 2018'!$C$29</f>
        <v>0</v>
      </c>
      <c r="F32" s="18">
        <v>0</v>
      </c>
      <c r="G32" s="28">
        <f>SUM(B32:F32)</f>
        <v>-4471359.8100000024</v>
      </c>
    </row>
    <row r="33" spans="1:10" ht="15" thickBot="1" x14ac:dyDescent="0.35">
      <c r="A33" s="13" t="s">
        <v>4</v>
      </c>
      <c r="B33" s="90">
        <f>'[5]Mrkg to Mkt Gold'!$E$28</f>
        <v>607654.88740001619</v>
      </c>
      <c r="C33" s="90">
        <f>'[5]Mkg to Mkt Silver'!$E$28</f>
        <v>1036939.8168504873</v>
      </c>
      <c r="D33" s="90">
        <f>'[5]Mkg to Mkt Platinum  '!$E$28</f>
        <v>54597.568599999649</v>
      </c>
      <c r="E33" s="90">
        <f>'[5]Mkg to Mkt Palladium'!$E$28</f>
        <v>-56319.259040000208</v>
      </c>
      <c r="F33" s="90">
        <f>'[5]Mkg to Mkt Rhodium'!$E$28</f>
        <v>8290.3699999999953</v>
      </c>
      <c r="G33" s="39">
        <f>SUM(B33:F33)</f>
        <v>1651163.3838105029</v>
      </c>
    </row>
    <row r="34" spans="1:10" ht="15" thickBot="1" x14ac:dyDescent="0.35">
      <c r="A34" s="13" t="s">
        <v>18</v>
      </c>
      <c r="B34" s="40"/>
      <c r="C34" s="40"/>
      <c r="D34" s="40"/>
      <c r="E34" s="40"/>
      <c r="F34" s="40"/>
      <c r="G34" s="41">
        <v>-1617.38</v>
      </c>
    </row>
    <row r="35" spans="1:10" ht="15" thickBot="1" x14ac:dyDescent="0.35">
      <c r="A35" s="13"/>
      <c r="B35" s="42">
        <f>+B29-B30-B31-B32-B33</f>
        <v>392104.72259996831</v>
      </c>
      <c r="C35" s="42">
        <f>+C29-C30-C31-C32-C33</f>
        <v>337146.02314954426</v>
      </c>
      <c r="D35" s="42">
        <f>+D29-D30-D31-D32-D33</f>
        <v>43523.031400000909</v>
      </c>
      <c r="E35" s="42">
        <f>+E29-E30-E31-E32-E33</f>
        <v>18727.819040000031</v>
      </c>
      <c r="F35" s="42">
        <f>+F29-F30-F31-F32-F33</f>
        <v>14016.5</v>
      </c>
      <c r="G35" s="43">
        <f>+G29-G30-G31-G32-G33-G34</f>
        <v>807135.47618953942</v>
      </c>
    </row>
    <row r="36" spans="1:10" ht="15" thickTop="1" x14ac:dyDescent="0.3">
      <c r="A36" s="13"/>
      <c r="B36" s="44"/>
      <c r="C36" s="44"/>
      <c r="D36" s="44"/>
      <c r="E36" s="44"/>
      <c r="F36" s="44"/>
      <c r="G36" s="28"/>
    </row>
    <row r="37" spans="1:10" x14ac:dyDescent="0.3">
      <c r="A37" s="13" t="s">
        <v>11</v>
      </c>
      <c r="B37" s="90">
        <f>'[3]Comparison 2017-2018'!$B$54</f>
        <v>301276.599516891</v>
      </c>
      <c r="C37" s="90">
        <f>'[3]Comparison 2017-2018'!$C$54</f>
        <v>314838.27600001462</v>
      </c>
      <c r="D37" s="90">
        <f>'[3]Comparison 2017-2018'!$D$54</f>
        <v>40496.840099999994</v>
      </c>
      <c r="E37" s="90">
        <f>'[3]Comparison 2017-2018'!$E$54</f>
        <v>14645.328399999986</v>
      </c>
      <c r="F37" s="90">
        <f>'[3]Comparison 2017-2018'!$F$54</f>
        <v>10671.25</v>
      </c>
      <c r="G37" s="28">
        <f t="shared" ref="G37:G43" si="2">SUM(B37:F37)</f>
        <v>681928.29401690571</v>
      </c>
    </row>
    <row r="38" spans="1:10" x14ac:dyDescent="0.3">
      <c r="A38" s="13" t="s">
        <v>17</v>
      </c>
      <c r="B38" s="90">
        <v>2264.54</v>
      </c>
      <c r="C38" s="90">
        <v>222.6</v>
      </c>
      <c r="D38" s="90">
        <v>0</v>
      </c>
      <c r="E38" s="90">
        <v>0</v>
      </c>
      <c r="F38" s="90">
        <v>0</v>
      </c>
      <c r="G38" s="28">
        <f t="shared" si="2"/>
        <v>2487.14</v>
      </c>
    </row>
    <row r="39" spans="1:10" x14ac:dyDescent="0.3">
      <c r="A39" s="13" t="s">
        <v>19</v>
      </c>
      <c r="B39" s="90">
        <f>[4]Feb!$B$10</f>
        <v>23083.65</v>
      </c>
      <c r="C39" s="90">
        <f>[4]Feb!$B$20</f>
        <v>3212.99</v>
      </c>
      <c r="D39" s="90">
        <f>[4]Feb!$B$26</f>
        <v>9893.18</v>
      </c>
      <c r="E39" s="90">
        <v>0</v>
      </c>
      <c r="F39" s="90">
        <v>0</v>
      </c>
      <c r="G39" s="28">
        <f t="shared" si="2"/>
        <v>36189.82</v>
      </c>
    </row>
    <row r="40" spans="1:10" x14ac:dyDescent="0.3">
      <c r="A40" s="13" t="s">
        <v>20</v>
      </c>
      <c r="B40" s="90">
        <v>-4530.13</v>
      </c>
      <c r="C40" s="90">
        <v>-104404.39</v>
      </c>
      <c r="D40" s="90">
        <v>0</v>
      </c>
      <c r="E40" s="90">
        <v>0</v>
      </c>
      <c r="F40" s="90">
        <v>0</v>
      </c>
      <c r="G40" s="28">
        <f t="shared" si="2"/>
        <v>-108934.52</v>
      </c>
    </row>
    <row r="41" spans="1:10" x14ac:dyDescent="0.3">
      <c r="A41" s="13" t="s">
        <v>292</v>
      </c>
      <c r="B41" s="90">
        <v>8840</v>
      </c>
      <c r="C41" s="90">
        <v>42577</v>
      </c>
      <c r="D41" s="90"/>
      <c r="E41" s="90"/>
      <c r="F41" s="90"/>
      <c r="G41" s="28">
        <f t="shared" si="2"/>
        <v>51417</v>
      </c>
    </row>
    <row r="42" spans="1:10" x14ac:dyDescent="0.3">
      <c r="A42" s="13" t="s">
        <v>21</v>
      </c>
      <c r="B42" s="90">
        <v>0</v>
      </c>
      <c r="C42" s="90">
        <v>0</v>
      </c>
      <c r="D42" s="90"/>
      <c r="E42" s="90"/>
      <c r="F42" s="90"/>
      <c r="G42" s="28">
        <f t="shared" si="2"/>
        <v>0</v>
      </c>
    </row>
    <row r="43" spans="1:10" x14ac:dyDescent="0.3">
      <c r="A43" s="13" t="s">
        <v>291</v>
      </c>
      <c r="B43" s="90">
        <v>-18000</v>
      </c>
      <c r="C43" s="90">
        <v>-17000</v>
      </c>
      <c r="D43" s="90"/>
      <c r="E43" s="90"/>
      <c r="F43" s="90"/>
      <c r="G43" s="28">
        <f t="shared" si="2"/>
        <v>-35000</v>
      </c>
    </row>
    <row r="44" spans="1:10" x14ac:dyDescent="0.3">
      <c r="A44" s="13"/>
      <c r="B44" s="18"/>
      <c r="C44" s="18"/>
      <c r="D44" s="18"/>
      <c r="E44" s="18"/>
      <c r="F44" s="18"/>
      <c r="G44" s="28"/>
    </row>
    <row r="45" spans="1:10" x14ac:dyDescent="0.3">
      <c r="A45" s="13" t="s">
        <v>14</v>
      </c>
      <c r="B45" s="46">
        <f>B35-SUM(B37:B43)</f>
        <v>79170.063083077315</v>
      </c>
      <c r="C45" s="46">
        <f t="shared" ref="C45:F45" si="3">C35-SUM(C37:C43)</f>
        <v>97699.547149529681</v>
      </c>
      <c r="D45" s="46">
        <f t="shared" si="3"/>
        <v>-6866.9886999990849</v>
      </c>
      <c r="E45" s="46">
        <f t="shared" si="3"/>
        <v>4082.4906400000455</v>
      </c>
      <c r="F45" s="46">
        <f t="shared" si="3"/>
        <v>3345.25</v>
      </c>
      <c r="G45" s="28">
        <f>+G35-SUM(G37:G43)</f>
        <v>179047.74217263376</v>
      </c>
      <c r="H45" s="8">
        <f>SUM(B45:F45)-G34</f>
        <v>179047.74217260795</v>
      </c>
      <c r="I45" s="33">
        <f>G45-H45</f>
        <v>2.5815097615122795E-8</v>
      </c>
      <c r="J45" s="8" t="s">
        <v>23</v>
      </c>
    </row>
    <row r="46" spans="1:10" ht="15" thickBot="1" x14ac:dyDescent="0.35">
      <c r="A46" s="35" t="s">
        <v>16</v>
      </c>
      <c r="B46" s="47">
        <v>1315.5</v>
      </c>
      <c r="C46" s="47">
        <v>16.324000000000002</v>
      </c>
      <c r="D46" s="47">
        <v>986.6</v>
      </c>
      <c r="E46" s="47">
        <v>1047.2</v>
      </c>
      <c r="F46" s="47">
        <v>1870</v>
      </c>
      <c r="G46" s="48"/>
      <c r="H46" s="8">
        <f>'[1]P&amp;L Compare to Hedge 2018'!$C$45</f>
        <v>179047.73598288454</v>
      </c>
      <c r="I46" s="49">
        <f>G45-H46-0.01</f>
        <v>-3.8102507730945947E-3</v>
      </c>
      <c r="J46" s="9" t="s">
        <v>22</v>
      </c>
    </row>
    <row r="47" spans="1:10" x14ac:dyDescent="0.3">
      <c r="A47" s="98" t="s">
        <v>12</v>
      </c>
      <c r="B47" s="99"/>
      <c r="C47" s="99"/>
      <c r="D47" s="99"/>
      <c r="E47" s="99"/>
      <c r="F47" s="99"/>
      <c r="G47" s="100"/>
    </row>
    <row r="48" spans="1:10" x14ac:dyDescent="0.3">
      <c r="A48" s="101" t="s">
        <v>13</v>
      </c>
      <c r="B48" s="102"/>
      <c r="C48" s="102"/>
      <c r="D48" s="102"/>
      <c r="E48" s="102"/>
      <c r="F48" s="102"/>
      <c r="G48" s="103"/>
    </row>
    <row r="49" spans="1:14" x14ac:dyDescent="0.3">
      <c r="A49" s="95">
        <v>43190</v>
      </c>
      <c r="B49" s="96"/>
      <c r="C49" s="96"/>
      <c r="D49" s="96"/>
      <c r="E49" s="96"/>
      <c r="F49" s="96"/>
      <c r="G49" s="97"/>
    </row>
    <row r="50" spans="1:14" x14ac:dyDescent="0.3">
      <c r="A50" s="10"/>
      <c r="B50" s="11"/>
      <c r="C50" s="11"/>
      <c r="D50" s="11"/>
      <c r="E50" s="11"/>
      <c r="F50" s="11"/>
      <c r="G50" s="12"/>
    </row>
    <row r="51" spans="1:14" s="17" customFormat="1" x14ac:dyDescent="0.3">
      <c r="A51" s="13"/>
      <c r="B51" s="14" t="s">
        <v>5</v>
      </c>
      <c r="C51" s="14" t="s">
        <v>6</v>
      </c>
      <c r="D51" s="14" t="s">
        <v>7</v>
      </c>
      <c r="E51" s="14" t="s">
        <v>8</v>
      </c>
      <c r="F51" s="14" t="s">
        <v>9</v>
      </c>
      <c r="G51" s="15" t="s">
        <v>10</v>
      </c>
      <c r="H51" s="16"/>
      <c r="M51" s="70"/>
      <c r="N51" s="70"/>
    </row>
    <row r="52" spans="1:14" x14ac:dyDescent="0.3">
      <c r="A52" s="13" t="s">
        <v>0</v>
      </c>
      <c r="B52" s="90">
        <f>'[1]P&amp;L Compare to Hedge 2018'!$D$5</f>
        <v>101069868.19</v>
      </c>
      <c r="C52" s="90">
        <f>'[1]P&amp;L Compare to Hedge 2018'!$D$6</f>
        <v>305312522.13</v>
      </c>
      <c r="D52" s="90">
        <f>'[1]P&amp;L Compare to Hedge 2018'!$D$7</f>
        <v>622399.88</v>
      </c>
      <c r="E52" s="90">
        <f>'[1]P&amp;L Compare to Hedge 2018'!$D$8</f>
        <v>1427673</v>
      </c>
      <c r="F52" s="90">
        <f>'[1]P&amp;L Compare to Hedge 2018'!$D$9</f>
        <v>108078.75</v>
      </c>
      <c r="G52" s="28">
        <f>SUM(B52:F52)</f>
        <v>408540541.94999999</v>
      </c>
    </row>
    <row r="53" spans="1:14" x14ac:dyDescent="0.3">
      <c r="A53" s="13" t="s">
        <v>1</v>
      </c>
      <c r="B53" s="90">
        <f>'[1]P&amp;L Compare to Hedge 2018'!$D$14</f>
        <v>100906197.60999998</v>
      </c>
      <c r="C53" s="90">
        <f>'[1]P&amp;L Compare to Hedge 2018'!$D$15</f>
        <v>305678068.99000001</v>
      </c>
      <c r="D53" s="90">
        <f>'[1]P&amp;L Compare to Hedge 2018'!$D$16</f>
        <v>618326.57000000007</v>
      </c>
      <c r="E53" s="90">
        <f>'[1]P&amp;L Compare to Hedge 2018'!$D$17</f>
        <v>1446310.3</v>
      </c>
      <c r="F53" s="90">
        <f>'[1]P&amp;L Compare to Hedge 2018'!$D$18</f>
        <v>104546.19</v>
      </c>
      <c r="G53" s="28">
        <f>SUM(B53:F53)</f>
        <v>408753449.66000003</v>
      </c>
    </row>
    <row r="54" spans="1:14" x14ac:dyDescent="0.3">
      <c r="A54" s="13" t="s">
        <v>2</v>
      </c>
      <c r="B54" s="90">
        <f>'[1]P&amp;L Compare to Hedge 2018'!$D$21</f>
        <v>-102046.03999999166</v>
      </c>
      <c r="C54" s="90">
        <f>'[1]P&amp;L Compare to Hedge 2018'!$D$22</f>
        <v>73914.890000000596</v>
      </c>
      <c r="D54" s="90">
        <f>'[1]P&amp;L Compare to Hedge 2018'!$D$23</f>
        <v>-28127.939999999944</v>
      </c>
      <c r="E54" s="90">
        <f>'[1]P&amp;L Compare to Hedge 2018'!$D$24</f>
        <v>-35497.39</v>
      </c>
      <c r="F54" s="90">
        <v>0</v>
      </c>
      <c r="G54" s="28">
        <f>SUM(B54:F54)</f>
        <v>-91756.479999991003</v>
      </c>
    </row>
    <row r="55" spans="1:14" x14ac:dyDescent="0.3">
      <c r="A55" s="13" t="s">
        <v>3</v>
      </c>
      <c r="B55" s="90">
        <f>'[1]P&amp;L Compare to Hedge 2018'!$D$26</f>
        <v>-649600</v>
      </c>
      <c r="C55" s="90">
        <f>'[1]P&amp;L Compare to Hedge 2018'!$D$27</f>
        <v>67555.530000001192</v>
      </c>
      <c r="D55" s="90">
        <f>'[1]P&amp;L Compare to Hedge 2018'!$D$28</f>
        <v>-3890</v>
      </c>
      <c r="E55" s="90">
        <f>'[1]P&amp;L Compare to Hedge 2018'!$D$29</f>
        <v>0</v>
      </c>
      <c r="F55" s="18">
        <v>0</v>
      </c>
      <c r="G55" s="28">
        <f>SUM(B55:F55)</f>
        <v>-585934.46999999881</v>
      </c>
    </row>
    <row r="56" spans="1:14" ht="15" thickBot="1" x14ac:dyDescent="0.35">
      <c r="A56" s="13" t="s">
        <v>4</v>
      </c>
      <c r="B56" s="18">
        <f>'[6]Mrkg to Mkt Gold'!$E$28</f>
        <v>567828.19951001555</v>
      </c>
      <c r="C56" s="18">
        <f>'[6]Mkg to Mkt Silver'!$E$28</f>
        <v>-931711.66054889513</v>
      </c>
      <c r="D56" s="18">
        <f>'[6]Mkg to Mkt Platinum  '!$E$28</f>
        <v>-2899.6698899999028</v>
      </c>
      <c r="E56" s="18">
        <f>'[6]Mkg to Mkt Palladium'!$E$28</f>
        <v>-27321.270960000053</v>
      </c>
      <c r="F56" s="18">
        <f>'[6]Mkg to Mkt Rhodium'!$E$28</f>
        <v>-19993.190000000017</v>
      </c>
      <c r="G56" s="39">
        <f>SUM(B56:F56)</f>
        <v>-414097.59188887954</v>
      </c>
    </row>
    <row r="57" spans="1:14" ht="15" thickBot="1" x14ac:dyDescent="0.35">
      <c r="A57" s="13" t="s">
        <v>18</v>
      </c>
      <c r="B57" s="40"/>
      <c r="C57" s="40"/>
      <c r="D57" s="40"/>
      <c r="E57" s="40"/>
      <c r="F57" s="40"/>
      <c r="G57" s="41">
        <f>'[1]P&amp;L Compare to Hedge 2018'!$D$32</f>
        <v>5756.07</v>
      </c>
    </row>
    <row r="58" spans="1:14" ht="15" thickBot="1" x14ac:dyDescent="0.35">
      <c r="A58" s="13"/>
      <c r="B58" s="42">
        <f>+B52-B53-B54-B55-B56</f>
        <v>347488.42048998922</v>
      </c>
      <c r="C58" s="42">
        <f>+C52-C53-C54-C55-C56</f>
        <v>424694.38054887904</v>
      </c>
      <c r="D58" s="42">
        <f>+D52-D53-D54-D55-D56</f>
        <v>38990.919889999786</v>
      </c>
      <c r="E58" s="42">
        <f>+E52-E53-E54-E55-E56</f>
        <v>44181.360960000005</v>
      </c>
      <c r="F58" s="42">
        <f>+F52-F53-F54-F55-F56</f>
        <v>23525.750000000015</v>
      </c>
      <c r="G58" s="43">
        <f>+G52-G53-G54-G55-G56-G57</f>
        <v>873124.76188883127</v>
      </c>
      <c r="I58" s="33"/>
    </row>
    <row r="59" spans="1:14" ht="15" thickTop="1" x14ac:dyDescent="0.3">
      <c r="A59" s="13"/>
      <c r="B59" s="44"/>
      <c r="C59" s="44"/>
      <c r="D59" s="44"/>
      <c r="E59" s="44"/>
      <c r="F59" s="44"/>
      <c r="G59" s="28"/>
    </row>
    <row r="60" spans="1:14" x14ac:dyDescent="0.3">
      <c r="A60" s="13" t="s">
        <v>11</v>
      </c>
      <c r="B60" s="45">
        <f>'[3]Comparison 2017-2018'!$B$80</f>
        <v>332184.39528701216</v>
      </c>
      <c r="C60" s="45">
        <f>'[3]Comparison 2017-2018'!$C$80</f>
        <v>311757.88299998752</v>
      </c>
      <c r="D60" s="45">
        <f>'[3]Comparison 2017-2018'!$D$80</f>
        <v>8782.1078999999936</v>
      </c>
      <c r="E60" s="45">
        <f>'[3]Comparison 2017-2018'!$E$80</f>
        <v>14892.187999999987</v>
      </c>
      <c r="F60" s="45">
        <f>'[3]Comparison 2017-2018'!$F$80</f>
        <v>6747.14</v>
      </c>
      <c r="G60" s="28">
        <f t="shared" ref="G60:G66" si="4">SUM(B60:F60)</f>
        <v>674363.7141869996</v>
      </c>
    </row>
    <row r="61" spans="1:14" x14ac:dyDescent="0.3">
      <c r="A61" s="13" t="s">
        <v>17</v>
      </c>
      <c r="B61" s="18">
        <v>3529.42</v>
      </c>
      <c r="C61" s="18">
        <v>2652.3</v>
      </c>
      <c r="D61" s="18">
        <v>0</v>
      </c>
      <c r="E61" s="18">
        <v>0</v>
      </c>
      <c r="F61" s="18">
        <v>0</v>
      </c>
      <c r="G61" s="28">
        <f t="shared" si="4"/>
        <v>6181.72</v>
      </c>
    </row>
    <row r="62" spans="1:14" x14ac:dyDescent="0.3">
      <c r="A62" s="13" t="s">
        <v>19</v>
      </c>
      <c r="B62" s="18">
        <f>[4]Mar!$B$10</f>
        <v>22978.059999999998</v>
      </c>
      <c r="C62" s="18">
        <f>[4]Mar!$B$20</f>
        <v>8036.34</v>
      </c>
      <c r="D62" s="18">
        <f>[4]Mar!$B$26+[4]Mar!$B$31</f>
        <v>59317.869999999995</v>
      </c>
      <c r="E62" s="18">
        <v>0</v>
      </c>
      <c r="F62" s="18">
        <v>0</v>
      </c>
      <c r="G62" s="28">
        <f t="shared" si="4"/>
        <v>90332.26999999999</v>
      </c>
    </row>
    <row r="63" spans="1:14" x14ac:dyDescent="0.3">
      <c r="A63" s="13" t="s">
        <v>20</v>
      </c>
      <c r="B63" s="18">
        <v>-7369.6</v>
      </c>
      <c r="C63" s="18">
        <f>-27223.4+7369.6</f>
        <v>-19853.800000000003</v>
      </c>
      <c r="D63" s="18">
        <v>0</v>
      </c>
      <c r="E63" s="18">
        <v>0</v>
      </c>
      <c r="F63" s="18">
        <v>0</v>
      </c>
      <c r="G63" s="28">
        <f t="shared" si="4"/>
        <v>-27223.4</v>
      </c>
    </row>
    <row r="64" spans="1:14" x14ac:dyDescent="0.3">
      <c r="A64" s="13" t="s">
        <v>292</v>
      </c>
      <c r="B64" s="18">
        <v>-5460</v>
      </c>
      <c r="C64" s="18">
        <v>61057</v>
      </c>
      <c r="D64" s="27">
        <v>-530</v>
      </c>
      <c r="E64" s="27"/>
      <c r="F64" s="27"/>
      <c r="G64" s="28">
        <f t="shared" si="4"/>
        <v>55067</v>
      </c>
    </row>
    <row r="65" spans="1:14" x14ac:dyDescent="0.3">
      <c r="A65" s="13" t="s">
        <v>291</v>
      </c>
      <c r="B65" s="18">
        <v>-18000</v>
      </c>
      <c r="C65" s="18">
        <v>-17000</v>
      </c>
      <c r="D65" s="18"/>
      <c r="E65" s="18"/>
      <c r="F65" s="18"/>
      <c r="G65" s="28">
        <f t="shared" si="4"/>
        <v>-35000</v>
      </c>
    </row>
    <row r="66" spans="1:14" x14ac:dyDescent="0.3">
      <c r="A66" s="13" t="s">
        <v>21</v>
      </c>
      <c r="B66" s="18">
        <v>0</v>
      </c>
      <c r="C66" s="18">
        <v>0</v>
      </c>
      <c r="D66" s="18"/>
      <c r="E66" s="18"/>
      <c r="F66" s="18"/>
      <c r="G66" s="28">
        <f t="shared" si="4"/>
        <v>0</v>
      </c>
    </row>
    <row r="67" spans="1:14" x14ac:dyDescent="0.3">
      <c r="A67" s="13"/>
      <c r="B67" s="18"/>
      <c r="C67" s="18"/>
      <c r="D67" s="18"/>
      <c r="E67" s="18"/>
      <c r="F67" s="18"/>
      <c r="G67" s="28"/>
      <c r="H67" s="8">
        <f>SUM(B68:F68)-G57</f>
        <v>109403.45770186838</v>
      </c>
      <c r="I67" s="33">
        <f>G68-H67</f>
        <v>-3.6670826375484467E-8</v>
      </c>
      <c r="J67" s="8" t="s">
        <v>23</v>
      </c>
    </row>
    <row r="68" spans="1:14" x14ac:dyDescent="0.3">
      <c r="A68" s="13" t="s">
        <v>14</v>
      </c>
      <c r="B68" s="46">
        <f>+B58-SUM(B60:B66)</f>
        <v>19626.145202977059</v>
      </c>
      <c r="C68" s="46">
        <f t="shared" ref="C68:F68" si="5">+C58-SUM(C60:C66)</f>
        <v>78044.657548891497</v>
      </c>
      <c r="D68" s="46">
        <f t="shared" si="5"/>
        <v>-28579.058010000197</v>
      </c>
      <c r="E68" s="46">
        <f t="shared" si="5"/>
        <v>29289.172960000018</v>
      </c>
      <c r="F68" s="46">
        <f t="shared" si="5"/>
        <v>16778.610000000015</v>
      </c>
      <c r="G68" s="28">
        <f>+G58-SUM(G60:G66)</f>
        <v>109403.45770183171</v>
      </c>
      <c r="H68" s="8">
        <f>'[1]P&amp;L Compare to Hedge 2018'!$D$45</f>
        <v>109403.45581293106</v>
      </c>
      <c r="I68" s="49">
        <f>G68-H68</f>
        <v>1.8889006460085511E-3</v>
      </c>
      <c r="J68" s="9" t="s">
        <v>22</v>
      </c>
    </row>
    <row r="69" spans="1:14" ht="15" thickBot="1" x14ac:dyDescent="0.35">
      <c r="A69" s="35" t="s">
        <v>16</v>
      </c>
      <c r="B69" s="47">
        <v>1322.8</v>
      </c>
      <c r="C69" s="47">
        <v>16.222999999999999</v>
      </c>
      <c r="D69" s="47">
        <v>927.3</v>
      </c>
      <c r="E69" s="47">
        <v>944.8</v>
      </c>
      <c r="F69" s="47">
        <v>2040</v>
      </c>
      <c r="G69" s="48"/>
    </row>
    <row r="70" spans="1:14" x14ac:dyDescent="0.3">
      <c r="A70" s="98" t="s">
        <v>12</v>
      </c>
      <c r="B70" s="99"/>
      <c r="C70" s="99"/>
      <c r="D70" s="99"/>
      <c r="E70" s="99"/>
      <c r="F70" s="99"/>
      <c r="G70" s="100"/>
    </row>
    <row r="71" spans="1:14" x14ac:dyDescent="0.3">
      <c r="A71" s="101" t="s">
        <v>13</v>
      </c>
      <c r="B71" s="102"/>
      <c r="C71" s="102"/>
      <c r="D71" s="102"/>
      <c r="E71" s="102"/>
      <c r="F71" s="102"/>
      <c r="G71" s="103"/>
    </row>
    <row r="72" spans="1:14" x14ac:dyDescent="0.3">
      <c r="A72" s="95">
        <v>43220</v>
      </c>
      <c r="B72" s="96"/>
      <c r="C72" s="96"/>
      <c r="D72" s="96"/>
      <c r="E72" s="96"/>
      <c r="F72" s="96"/>
      <c r="G72" s="97"/>
    </row>
    <row r="73" spans="1:14" s="17" customFormat="1" x14ac:dyDescent="0.3">
      <c r="A73" s="10"/>
      <c r="B73" s="11"/>
      <c r="C73" s="11"/>
      <c r="D73" s="11"/>
      <c r="E73" s="11"/>
      <c r="F73" s="11"/>
      <c r="G73" s="12"/>
      <c r="H73" s="16"/>
      <c r="M73" s="70"/>
      <c r="N73" s="70"/>
    </row>
    <row r="74" spans="1:14" x14ac:dyDescent="0.3">
      <c r="A74" s="13"/>
      <c r="B74" s="14" t="s">
        <v>5</v>
      </c>
      <c r="C74" s="14" t="s">
        <v>6</v>
      </c>
      <c r="D74" s="14" t="s">
        <v>7</v>
      </c>
      <c r="E74" s="14" t="s">
        <v>8</v>
      </c>
      <c r="F74" s="14" t="s">
        <v>9</v>
      </c>
      <c r="G74" s="15" t="s">
        <v>10</v>
      </c>
    </row>
    <row r="75" spans="1:14" x14ac:dyDescent="0.3">
      <c r="A75" s="13" t="s">
        <v>0</v>
      </c>
      <c r="B75" s="90">
        <f>'[1]P&amp;L Compare to Hedge 2018'!$E$5</f>
        <v>92671539.059999987</v>
      </c>
      <c r="C75" s="90">
        <f>'[1]P&amp;L Compare to Hedge 2018'!$E$6</f>
        <v>46941731.32</v>
      </c>
      <c r="D75" s="90">
        <f>'[1]P&amp;L Compare to Hedge 2018'!$E$7</f>
        <v>1945746.84</v>
      </c>
      <c r="E75" s="90">
        <f>'[1]P&amp;L Compare to Hedge 2018'!$E$8</f>
        <v>2167697.4500000002</v>
      </c>
      <c r="F75" s="90">
        <f>'[1]P&amp;L Compare to Hedge 2018'!$E$9</f>
        <v>903549.14</v>
      </c>
      <c r="G75" s="28">
        <f t="shared" ref="G75:G80" si="6">SUM(B75:F75)</f>
        <v>144630263.80999997</v>
      </c>
    </row>
    <row r="76" spans="1:14" x14ac:dyDescent="0.3">
      <c r="A76" s="13" t="s">
        <v>1</v>
      </c>
      <c r="B76" s="90">
        <f>'[1]P&amp;L Compare to Hedge 2018'!$E$14</f>
        <v>92373678.780000001</v>
      </c>
      <c r="C76" s="90">
        <f>'[1]P&amp;L Compare to Hedge 2018'!$E$15</f>
        <v>48482029.219999999</v>
      </c>
      <c r="D76" s="90">
        <f>'[1]P&amp;L Compare to Hedge 2018'!$E$16</f>
        <v>1945380.79</v>
      </c>
      <c r="E76" s="90">
        <f>'[1]P&amp;L Compare to Hedge 2018'!$E$17</f>
        <v>2111524.9700000002</v>
      </c>
      <c r="F76" s="90">
        <f>'[1]P&amp;L Compare to Hedge 2018'!$E$18</f>
        <v>891459.31</v>
      </c>
      <c r="G76" s="28">
        <f t="shared" si="6"/>
        <v>145804073.06999999</v>
      </c>
    </row>
    <row r="77" spans="1:14" x14ac:dyDescent="0.3">
      <c r="A77" s="13" t="s">
        <v>2</v>
      </c>
      <c r="B77" s="90">
        <f>'[1]P&amp;L Compare to Hedge 2018'!$E$21</f>
        <v>14781.879999995232</v>
      </c>
      <c r="C77" s="90">
        <f>'[1]P&amp;L Compare to Hedge 2018'!$E$22</f>
        <v>442679.44999998808</v>
      </c>
      <c r="D77" s="90">
        <f>'[1]P&amp;L Compare to Hedge 2018'!$E$23</f>
        <v>1048.5499999999884</v>
      </c>
      <c r="E77" s="90">
        <f>'[1]P&amp;L Compare to Hedge 2018'!$E$24</f>
        <v>2061.8000000000466</v>
      </c>
      <c r="F77" s="90">
        <v>0</v>
      </c>
      <c r="G77" s="28">
        <f t="shared" si="6"/>
        <v>460571.67999998335</v>
      </c>
    </row>
    <row r="78" spans="1:14" x14ac:dyDescent="0.3">
      <c r="A78" s="13" t="s">
        <v>3</v>
      </c>
      <c r="B78" s="90">
        <f>'[1]P&amp;L Compare to Hedge 2018'!$E$26</f>
        <v>339010</v>
      </c>
      <c r="C78" s="90">
        <f>'[1]P&amp;L Compare to Hedge 2018'!$E$27</f>
        <v>-3414426</v>
      </c>
      <c r="D78" s="90">
        <f>'[1]P&amp;L Compare to Hedge 2018'!$E$28</f>
        <v>-555</v>
      </c>
      <c r="E78" s="90">
        <f>'[1]P&amp;L Compare to Hedge 2018'!$E$29</f>
        <v>0</v>
      </c>
      <c r="F78" s="18">
        <v>0</v>
      </c>
      <c r="G78" s="28">
        <f t="shared" si="6"/>
        <v>-3075971</v>
      </c>
    </row>
    <row r="79" spans="1:14" x14ac:dyDescent="0.3">
      <c r="A79" s="13" t="s">
        <v>4</v>
      </c>
      <c r="B79" s="18">
        <f>'[7]Mrkg to Mkt Gold'!$E$28</f>
        <v>-212199.27639002353</v>
      </c>
      <c r="C79" s="18">
        <f>'[7]Mkg to Mkt Silver'!$E$28</f>
        <v>1133883.7106935014</v>
      </c>
      <c r="D79" s="24">
        <f>'[7]Mkg to Mkt Platinum  '!$E$28</f>
        <v>-17872.84760000027</v>
      </c>
      <c r="E79" s="24">
        <f>'[7]Mkg to Mkt Palladium'!$E$28</f>
        <v>35879.561575000058</v>
      </c>
      <c r="F79" s="24">
        <f>'[7]Mkg to Mkt Rhodium'!$E$28</f>
        <v>24746.690000000002</v>
      </c>
      <c r="G79" s="28">
        <f t="shared" si="6"/>
        <v>964437.83827847778</v>
      </c>
    </row>
    <row r="80" spans="1:14" ht="15" thickBot="1" x14ac:dyDescent="0.35">
      <c r="A80" s="69" t="s">
        <v>298</v>
      </c>
      <c r="B80" s="90">
        <f>'[1]P&amp;L Compare to Hedge 2018'!$E$10-'[1]P&amp;L Compare to Hedge 2018'!$E$19</f>
        <v>111322.78999999998</v>
      </c>
      <c r="C80" s="18"/>
      <c r="D80" s="24"/>
      <c r="E80" s="24"/>
      <c r="F80" s="24"/>
      <c r="G80" s="28">
        <f t="shared" si="6"/>
        <v>111322.78999999998</v>
      </c>
    </row>
    <row r="81" spans="1:10" ht="15" thickBot="1" x14ac:dyDescent="0.35">
      <c r="A81" s="13" t="s">
        <v>18</v>
      </c>
      <c r="B81" s="40"/>
      <c r="C81" s="40"/>
      <c r="D81" s="40"/>
      <c r="E81" s="40"/>
      <c r="F81" s="40"/>
      <c r="G81" s="41">
        <f>'[1]P&amp;L Compare to Hedge 2018'!$E$32</f>
        <v>9048.32</v>
      </c>
    </row>
    <row r="82" spans="1:10" ht="15" thickBot="1" x14ac:dyDescent="0.35">
      <c r="A82" s="13"/>
      <c r="B82" s="42">
        <f>+B75-B76-B77-B78-B79+B80</f>
        <v>267590.46639001457</v>
      </c>
      <c r="C82" s="42">
        <f t="shared" ref="C82:F82" si="7">+C75-C76-C77-C78-C79+C80</f>
        <v>297564.93930651201</v>
      </c>
      <c r="D82" s="42">
        <f t="shared" si="7"/>
        <v>17745.347600000328</v>
      </c>
      <c r="E82" s="42">
        <f t="shared" si="7"/>
        <v>18231.118424999877</v>
      </c>
      <c r="F82" s="42">
        <f t="shared" si="7"/>
        <v>-12656.860000000044</v>
      </c>
      <c r="G82" s="43">
        <f>+G75-G76-G77-G78-G79-G81+G80</f>
        <v>579426.69172151852</v>
      </c>
    </row>
    <row r="83" spans="1:10" ht="15" thickTop="1" x14ac:dyDescent="0.3">
      <c r="A83" s="13"/>
      <c r="B83" s="44"/>
      <c r="C83" s="44"/>
      <c r="D83" s="44"/>
      <c r="E83" s="44"/>
      <c r="F83" s="44"/>
      <c r="G83" s="28"/>
    </row>
    <row r="84" spans="1:10" x14ac:dyDescent="0.3">
      <c r="A84" s="13" t="s">
        <v>11</v>
      </c>
      <c r="B84" s="44">
        <f>'[3]April 2018'!$B$31</f>
        <v>281330.66382510529</v>
      </c>
      <c r="C84" s="44">
        <f>'[3]April 2018'!$C$31</f>
        <v>364001.01299999474</v>
      </c>
      <c r="D84" s="44">
        <f>'[3]April 2018'!$D$31</f>
        <v>17527.93</v>
      </c>
      <c r="E84" s="44">
        <f>'[3]April 2018'!$E$31</f>
        <v>16414.477200000103</v>
      </c>
      <c r="F84" s="44">
        <f>'[3]April 2018'!$F$31</f>
        <v>6239</v>
      </c>
      <c r="G84" s="28">
        <f t="shared" ref="G84:G91" si="8">SUM(B84:F84)</f>
        <v>685513.08402510022</v>
      </c>
    </row>
    <row r="85" spans="1:10" x14ac:dyDescent="0.3">
      <c r="A85" s="13" t="s">
        <v>17</v>
      </c>
      <c r="B85" s="27">
        <v>1105.6999999999971</v>
      </c>
      <c r="C85" s="27">
        <v>1899.663196997717</v>
      </c>
      <c r="D85" s="27"/>
      <c r="E85" s="27"/>
      <c r="F85" s="27"/>
      <c r="G85" s="28">
        <f t="shared" si="8"/>
        <v>3005.3631969977141</v>
      </c>
    </row>
    <row r="86" spans="1:10" x14ac:dyDescent="0.3">
      <c r="A86" s="13" t="s">
        <v>19</v>
      </c>
      <c r="B86" s="26">
        <f>[4]Apr!$B$10</f>
        <v>42087.81</v>
      </c>
      <c r="C86" s="27">
        <v>0</v>
      </c>
      <c r="D86" s="27"/>
      <c r="E86" s="27"/>
      <c r="F86" s="27"/>
      <c r="G86" s="28">
        <f t="shared" si="8"/>
        <v>42087.81</v>
      </c>
    </row>
    <row r="87" spans="1:10" x14ac:dyDescent="0.3">
      <c r="A87" s="13" t="s">
        <v>20</v>
      </c>
      <c r="B87" s="27">
        <v>-590.9</v>
      </c>
      <c r="C87" s="27">
        <v>-45185.93</v>
      </c>
      <c r="D87" s="27"/>
      <c r="E87" s="27"/>
      <c r="F87" s="27"/>
      <c r="G87" s="28">
        <f t="shared" si="8"/>
        <v>-45776.83</v>
      </c>
    </row>
    <row r="88" spans="1:10" x14ac:dyDescent="0.3">
      <c r="A88" s="13" t="s">
        <v>292</v>
      </c>
      <c r="B88" s="27">
        <v>9250</v>
      </c>
      <c r="C88" s="27">
        <v>15494</v>
      </c>
      <c r="D88" s="27">
        <v>530</v>
      </c>
      <c r="E88" s="27"/>
      <c r="F88" s="27"/>
      <c r="G88" s="28">
        <f t="shared" si="8"/>
        <v>25274</v>
      </c>
    </row>
    <row r="89" spans="1:10" x14ac:dyDescent="0.3">
      <c r="A89" s="13" t="s">
        <v>291</v>
      </c>
      <c r="B89" s="18">
        <v>-18000</v>
      </c>
      <c r="C89" s="18">
        <v>-17000</v>
      </c>
      <c r="D89" s="27"/>
      <c r="E89" s="27"/>
      <c r="F89" s="27"/>
      <c r="G89" s="28">
        <f t="shared" si="8"/>
        <v>-35000</v>
      </c>
    </row>
    <row r="90" spans="1:10" x14ac:dyDescent="0.3">
      <c r="A90" s="13" t="s">
        <v>21</v>
      </c>
      <c r="B90" s="27"/>
      <c r="C90" s="27"/>
      <c r="D90" s="27"/>
      <c r="E90" s="27"/>
      <c r="F90" s="27"/>
      <c r="G90" s="28">
        <f t="shared" si="8"/>
        <v>0</v>
      </c>
    </row>
    <row r="91" spans="1:10" x14ac:dyDescent="0.3">
      <c r="A91" s="69" t="s">
        <v>299</v>
      </c>
      <c r="B91" s="44">
        <v>-4500</v>
      </c>
      <c r="C91" s="44"/>
      <c r="D91" s="44"/>
      <c r="E91" s="44"/>
      <c r="F91" s="44"/>
      <c r="G91" s="28">
        <f t="shared" si="8"/>
        <v>-4500</v>
      </c>
      <c r="H91" s="8">
        <f>SUM(B92:F92)-G81</f>
        <v>-91176.735500571114</v>
      </c>
      <c r="I91" s="33">
        <f>G92-H91</f>
        <v>-8.2363840192556381E-9</v>
      </c>
      <c r="J91" s="8" t="s">
        <v>23</v>
      </c>
    </row>
    <row r="92" spans="1:10" x14ac:dyDescent="0.3">
      <c r="A92" s="13" t="s">
        <v>14</v>
      </c>
      <c r="B92" s="27">
        <f>+B82-SUM(B84:B91)</f>
        <v>-43092.807435090712</v>
      </c>
      <c r="C92" s="27">
        <f t="shared" ref="C92:F92" si="9">+C82-SUM(C84:C91)</f>
        <v>-21643.806890480453</v>
      </c>
      <c r="D92" s="27">
        <f t="shared" si="9"/>
        <v>-312.58239999967191</v>
      </c>
      <c r="E92" s="27">
        <f t="shared" si="9"/>
        <v>1816.6412249997738</v>
      </c>
      <c r="F92" s="27">
        <f t="shared" si="9"/>
        <v>-18895.860000000044</v>
      </c>
      <c r="G92" s="28">
        <f>+G82-SUM(G84:G91)</f>
        <v>-91176.735500579351</v>
      </c>
      <c r="H92" s="8">
        <f>'[1]P&amp;L Compare to Hedge 2018'!$E$45</f>
        <v>-91176.724025141797</v>
      </c>
      <c r="I92" s="33">
        <f>G92-H92</f>
        <v>-1.1475437553599477E-2</v>
      </c>
      <c r="J92" s="9" t="s">
        <v>22</v>
      </c>
    </row>
    <row r="93" spans="1:10" ht="15" thickBot="1" x14ac:dyDescent="0.35">
      <c r="A93" s="35" t="s">
        <v>16</v>
      </c>
      <c r="B93" s="47"/>
      <c r="C93" s="47"/>
      <c r="D93" s="47"/>
      <c r="E93" s="47"/>
      <c r="F93" s="47"/>
      <c r="G93" s="48"/>
    </row>
    <row r="94" spans="1:10" hidden="1" x14ac:dyDescent="0.3">
      <c r="A94" s="98" t="s">
        <v>12</v>
      </c>
      <c r="B94" s="99"/>
      <c r="C94" s="99"/>
      <c r="D94" s="99"/>
      <c r="E94" s="99"/>
      <c r="F94" s="99"/>
      <c r="G94" s="100"/>
    </row>
    <row r="95" spans="1:10" hidden="1" x14ac:dyDescent="0.3">
      <c r="A95" s="101" t="s">
        <v>13</v>
      </c>
      <c r="B95" s="102"/>
      <c r="C95" s="102"/>
      <c r="D95" s="102"/>
      <c r="E95" s="102"/>
      <c r="F95" s="102"/>
      <c r="G95" s="103"/>
    </row>
    <row r="96" spans="1:10" hidden="1" x14ac:dyDescent="0.3">
      <c r="A96" s="95">
        <v>43251</v>
      </c>
      <c r="B96" s="96"/>
      <c r="C96" s="96"/>
      <c r="D96" s="96"/>
      <c r="E96" s="96"/>
      <c r="F96" s="96"/>
      <c r="G96" s="97"/>
    </row>
    <row r="97" spans="1:14" s="17" customFormat="1" hidden="1" x14ac:dyDescent="0.3">
      <c r="A97" s="10"/>
      <c r="B97" s="11"/>
      <c r="C97" s="11"/>
      <c r="D97" s="11"/>
      <c r="E97" s="11"/>
      <c r="F97" s="11"/>
      <c r="G97" s="12"/>
      <c r="H97" s="16"/>
      <c r="M97" s="70"/>
      <c r="N97" s="70"/>
    </row>
    <row r="98" spans="1:14" hidden="1" x14ac:dyDescent="0.3">
      <c r="A98" s="13"/>
      <c r="B98" s="14" t="s">
        <v>5</v>
      </c>
      <c r="C98" s="14" t="s">
        <v>6</v>
      </c>
      <c r="D98" s="14" t="s">
        <v>7</v>
      </c>
      <c r="E98" s="14" t="s">
        <v>8</v>
      </c>
      <c r="F98" s="14" t="s">
        <v>9</v>
      </c>
      <c r="G98" s="15" t="s">
        <v>10</v>
      </c>
    </row>
    <row r="99" spans="1:14" hidden="1" x14ac:dyDescent="0.3">
      <c r="A99" s="13" t="s">
        <v>0</v>
      </c>
      <c r="B99" s="50"/>
      <c r="C99" s="50"/>
      <c r="D99" s="50"/>
      <c r="E99" s="50"/>
      <c r="F99" s="50"/>
      <c r="G99" s="28">
        <f>SUM(B99:F99)</f>
        <v>0</v>
      </c>
    </row>
    <row r="100" spans="1:14" hidden="1" x14ac:dyDescent="0.3">
      <c r="A100" s="13" t="s">
        <v>1</v>
      </c>
      <c r="B100" s="50"/>
      <c r="C100" s="50"/>
      <c r="D100" s="50"/>
      <c r="E100" s="50"/>
      <c r="F100" s="50"/>
      <c r="G100" s="28">
        <f>SUM(B100:F100)</f>
        <v>0</v>
      </c>
    </row>
    <row r="101" spans="1:14" hidden="1" x14ac:dyDescent="0.3">
      <c r="A101" s="13" t="s">
        <v>2</v>
      </c>
      <c r="B101" s="50"/>
      <c r="C101" s="50"/>
      <c r="D101" s="50"/>
      <c r="E101" s="50"/>
      <c r="F101" s="50"/>
      <c r="G101" s="28">
        <f>SUM(B101:F101)</f>
        <v>0</v>
      </c>
    </row>
    <row r="102" spans="1:14" hidden="1" x14ac:dyDescent="0.3">
      <c r="A102" s="13" t="s">
        <v>3</v>
      </c>
      <c r="B102" s="50"/>
      <c r="C102" s="50"/>
      <c r="D102" s="50"/>
      <c r="E102" s="50"/>
      <c r="F102" s="50"/>
      <c r="G102" s="28">
        <f>SUM(B102:F102)</f>
        <v>0</v>
      </c>
    </row>
    <row r="103" spans="1:14" hidden="1" x14ac:dyDescent="0.3">
      <c r="A103" s="13" t="s">
        <v>4</v>
      </c>
      <c r="B103" s="18"/>
      <c r="C103" s="18"/>
      <c r="D103" s="24"/>
      <c r="E103" s="24"/>
      <c r="F103" s="24"/>
      <c r="G103" s="28">
        <f>SUM(B103:F103)</f>
        <v>0</v>
      </c>
    </row>
    <row r="104" spans="1:14" ht="15" hidden="1" thickBot="1" x14ac:dyDescent="0.35">
      <c r="A104" s="13" t="s">
        <v>18</v>
      </c>
      <c r="B104" s="40"/>
      <c r="C104" s="40"/>
      <c r="D104" s="40"/>
      <c r="E104" s="40"/>
      <c r="F104" s="40"/>
      <c r="G104" s="41"/>
    </row>
    <row r="105" spans="1:14" ht="15" hidden="1" thickBot="1" x14ac:dyDescent="0.35">
      <c r="A105" s="13"/>
      <c r="B105" s="42">
        <f>+B99-B100-B101-B102-B103</f>
        <v>0</v>
      </c>
      <c r="C105" s="42">
        <f>+C99-C100-C101-C102-C103</f>
        <v>0</v>
      </c>
      <c r="D105" s="42">
        <f>+D99-D100-D101-D102-D103</f>
        <v>0</v>
      </c>
      <c r="E105" s="42">
        <f>+E99-E100-E101-E102-E103</f>
        <v>0</v>
      </c>
      <c r="F105" s="42">
        <f>+F99-F100-F101-F102-F103</f>
        <v>0</v>
      </c>
      <c r="G105" s="43">
        <f>+G99-G100-G101-G102-G103-G104</f>
        <v>0</v>
      </c>
    </row>
    <row r="106" spans="1:14" hidden="1" x14ac:dyDescent="0.3">
      <c r="A106" s="13"/>
      <c r="B106" s="44"/>
      <c r="C106" s="44"/>
      <c r="D106" s="44"/>
      <c r="E106" s="44"/>
      <c r="F106" s="44"/>
      <c r="G106" s="28"/>
    </row>
    <row r="107" spans="1:14" hidden="1" x14ac:dyDescent="0.3">
      <c r="A107" s="13" t="s">
        <v>11</v>
      </c>
      <c r="B107" s="44"/>
      <c r="C107" s="44"/>
      <c r="D107" s="44"/>
      <c r="E107" s="44"/>
      <c r="F107" s="44"/>
      <c r="G107" s="28">
        <f t="shared" ref="G107:G113" si="10">SUM(B107:F107)</f>
        <v>0</v>
      </c>
    </row>
    <row r="108" spans="1:14" hidden="1" x14ac:dyDescent="0.3">
      <c r="A108" s="13" t="s">
        <v>17</v>
      </c>
      <c r="B108" s="27"/>
      <c r="C108" s="27"/>
      <c r="D108" s="27"/>
      <c r="E108" s="27"/>
      <c r="F108" s="27"/>
      <c r="G108" s="28">
        <f t="shared" si="10"/>
        <v>0</v>
      </c>
    </row>
    <row r="109" spans="1:14" hidden="1" x14ac:dyDescent="0.3">
      <c r="A109" s="13" t="s">
        <v>19</v>
      </c>
      <c r="B109" s="27"/>
      <c r="C109" s="27"/>
      <c r="D109" s="27"/>
      <c r="E109" s="27"/>
      <c r="F109" s="27"/>
      <c r="G109" s="28">
        <f t="shared" si="10"/>
        <v>0</v>
      </c>
    </row>
    <row r="110" spans="1:14" hidden="1" x14ac:dyDescent="0.3">
      <c r="A110" s="13" t="s">
        <v>20</v>
      </c>
      <c r="B110" s="27"/>
      <c r="C110" s="27"/>
      <c r="D110" s="27"/>
      <c r="E110" s="27"/>
      <c r="F110" s="27"/>
      <c r="G110" s="28">
        <f t="shared" si="10"/>
        <v>0</v>
      </c>
    </row>
    <row r="111" spans="1:14" hidden="1" x14ac:dyDescent="0.3">
      <c r="A111" s="13" t="s">
        <v>292</v>
      </c>
      <c r="B111" s="27"/>
      <c r="C111" s="27"/>
      <c r="D111" s="27"/>
      <c r="E111" s="27"/>
      <c r="F111" s="27"/>
      <c r="G111" s="28">
        <f t="shared" si="10"/>
        <v>0</v>
      </c>
    </row>
    <row r="112" spans="1:14" hidden="1" x14ac:dyDescent="0.3">
      <c r="A112" s="13" t="s">
        <v>291</v>
      </c>
      <c r="B112" s="27"/>
      <c r="C112" s="27"/>
      <c r="D112" s="27"/>
      <c r="E112" s="27"/>
      <c r="F112" s="27"/>
      <c r="G112" s="28">
        <f t="shared" si="10"/>
        <v>0</v>
      </c>
    </row>
    <row r="113" spans="1:14" hidden="1" x14ac:dyDescent="0.3">
      <c r="A113" s="13" t="s">
        <v>21</v>
      </c>
      <c r="B113" s="27"/>
      <c r="C113" s="27"/>
      <c r="D113" s="27"/>
      <c r="E113" s="27"/>
      <c r="F113" s="27"/>
      <c r="G113" s="28">
        <f t="shared" si="10"/>
        <v>0</v>
      </c>
    </row>
    <row r="114" spans="1:14" hidden="1" x14ac:dyDescent="0.3">
      <c r="A114" s="13"/>
      <c r="B114" s="44"/>
      <c r="C114" s="44"/>
      <c r="D114" s="44"/>
      <c r="E114" s="44"/>
      <c r="F114" s="44"/>
      <c r="G114" s="28"/>
      <c r="H114" s="8">
        <f>SUM(B115:F115)-G104</f>
        <v>0</v>
      </c>
      <c r="I114" s="33">
        <f>G115-H114</f>
        <v>0</v>
      </c>
      <c r="J114" s="8" t="s">
        <v>23</v>
      </c>
    </row>
    <row r="115" spans="1:14" hidden="1" x14ac:dyDescent="0.3">
      <c r="A115" s="13" t="s">
        <v>14</v>
      </c>
      <c r="B115" s="46"/>
      <c r="C115" s="46"/>
      <c r="D115" s="46"/>
      <c r="E115" s="46"/>
      <c r="F115" s="46"/>
      <c r="G115" s="51">
        <f>+G105-G107-G108-G109-G110-G113-G111-G112</f>
        <v>0</v>
      </c>
      <c r="I115" s="33">
        <f>G115-H115</f>
        <v>0</v>
      </c>
      <c r="J115" s="9" t="s">
        <v>22</v>
      </c>
    </row>
    <row r="116" spans="1:14" ht="15" hidden="1" thickBot="1" x14ac:dyDescent="0.35">
      <c r="A116" s="35" t="s">
        <v>16</v>
      </c>
      <c r="B116" s="47"/>
      <c r="C116" s="47"/>
      <c r="D116" s="47"/>
      <c r="E116" s="47"/>
      <c r="F116" s="47"/>
      <c r="G116" s="48"/>
    </row>
    <row r="117" spans="1:14" hidden="1" x14ac:dyDescent="0.3">
      <c r="A117" s="98" t="s">
        <v>12</v>
      </c>
      <c r="B117" s="99"/>
      <c r="C117" s="99"/>
      <c r="D117" s="99"/>
      <c r="E117" s="99"/>
      <c r="F117" s="99"/>
      <c r="G117" s="100"/>
    </row>
    <row r="118" spans="1:14" hidden="1" x14ac:dyDescent="0.3">
      <c r="A118" s="101" t="s">
        <v>13</v>
      </c>
      <c r="B118" s="102"/>
      <c r="C118" s="102"/>
      <c r="D118" s="102"/>
      <c r="E118" s="102"/>
      <c r="F118" s="102"/>
      <c r="G118" s="103"/>
    </row>
    <row r="119" spans="1:14" hidden="1" x14ac:dyDescent="0.3">
      <c r="A119" s="95">
        <v>43281</v>
      </c>
      <c r="B119" s="96"/>
      <c r="C119" s="96"/>
      <c r="D119" s="96"/>
      <c r="E119" s="96"/>
      <c r="F119" s="96"/>
      <c r="G119" s="97"/>
    </row>
    <row r="120" spans="1:14" s="17" customFormat="1" hidden="1" x14ac:dyDescent="0.3">
      <c r="A120" s="10"/>
      <c r="B120" s="11"/>
      <c r="C120" s="11"/>
      <c r="D120" s="11"/>
      <c r="E120" s="11"/>
      <c r="F120" s="11"/>
      <c r="G120" s="12"/>
      <c r="H120" s="16"/>
      <c r="M120" s="70"/>
      <c r="N120" s="70"/>
    </row>
    <row r="121" spans="1:14" hidden="1" x14ac:dyDescent="0.3">
      <c r="A121" s="13"/>
      <c r="B121" s="14" t="s">
        <v>5</v>
      </c>
      <c r="C121" s="14" t="s">
        <v>6</v>
      </c>
      <c r="D121" s="14" t="s">
        <v>7</v>
      </c>
      <c r="E121" s="14" t="s">
        <v>8</v>
      </c>
      <c r="F121" s="14" t="s">
        <v>9</v>
      </c>
      <c r="G121" s="15" t="s">
        <v>10</v>
      </c>
    </row>
    <row r="122" spans="1:14" hidden="1" x14ac:dyDescent="0.3">
      <c r="A122" s="13" t="s">
        <v>0</v>
      </c>
      <c r="B122" s="50"/>
      <c r="C122" s="50"/>
      <c r="D122" s="50"/>
      <c r="E122" s="50"/>
      <c r="F122" s="50"/>
      <c r="G122" s="28">
        <f>SUM(B122:F122)</f>
        <v>0</v>
      </c>
    </row>
    <row r="123" spans="1:14" hidden="1" x14ac:dyDescent="0.3">
      <c r="A123" s="13" t="s">
        <v>1</v>
      </c>
      <c r="B123" s="50"/>
      <c r="C123" s="50"/>
      <c r="D123" s="50"/>
      <c r="E123" s="50"/>
      <c r="F123" s="50"/>
      <c r="G123" s="28">
        <f>SUM(B123:F123)</f>
        <v>0</v>
      </c>
    </row>
    <row r="124" spans="1:14" hidden="1" x14ac:dyDescent="0.3">
      <c r="A124" s="13" t="s">
        <v>2</v>
      </c>
      <c r="B124" s="50"/>
      <c r="C124" s="50"/>
      <c r="D124" s="50"/>
      <c r="E124" s="50"/>
      <c r="F124" s="50"/>
      <c r="G124" s="28">
        <f>SUM(B124:F124)</f>
        <v>0</v>
      </c>
    </row>
    <row r="125" spans="1:14" hidden="1" x14ac:dyDescent="0.3">
      <c r="A125" s="13" t="s">
        <v>3</v>
      </c>
      <c r="B125" s="50"/>
      <c r="C125" s="50"/>
      <c r="D125" s="50"/>
      <c r="E125" s="50"/>
      <c r="F125" s="50"/>
      <c r="G125" s="28">
        <f>SUM(B125:F125)</f>
        <v>0</v>
      </c>
    </row>
    <row r="126" spans="1:14" hidden="1" x14ac:dyDescent="0.3">
      <c r="A126" s="13" t="s">
        <v>4</v>
      </c>
      <c r="B126" s="18"/>
      <c r="C126" s="18"/>
      <c r="D126" s="24"/>
      <c r="E126" s="24"/>
      <c r="F126" s="24"/>
      <c r="G126" s="28">
        <f>SUM(B126:F126)</f>
        <v>0</v>
      </c>
    </row>
    <row r="127" spans="1:14" ht="15" hidden="1" thickBot="1" x14ac:dyDescent="0.35">
      <c r="A127" s="13" t="s">
        <v>18</v>
      </c>
      <c r="B127" s="40"/>
      <c r="C127" s="40"/>
      <c r="D127" s="40"/>
      <c r="E127" s="40"/>
      <c r="F127" s="40"/>
      <c r="G127" s="41"/>
    </row>
    <row r="128" spans="1:14" ht="15" hidden="1" thickBot="1" x14ac:dyDescent="0.35">
      <c r="A128" s="13"/>
      <c r="B128" s="42">
        <f>+B122-B123-B124-B125-B126</f>
        <v>0</v>
      </c>
      <c r="C128" s="42">
        <f>+C122-C123-C124-C125-C126</f>
        <v>0</v>
      </c>
      <c r="D128" s="42">
        <f>+D122-D123-D124-D125-D126</f>
        <v>0</v>
      </c>
      <c r="E128" s="42">
        <f>+E122-E123-E124-E125-E126</f>
        <v>0</v>
      </c>
      <c r="F128" s="42">
        <f>+F122-F123-F124-F125-F126</f>
        <v>0</v>
      </c>
      <c r="G128" s="43">
        <f>+G122-G123-G124-G125-G126-G127</f>
        <v>0</v>
      </c>
    </row>
    <row r="129" spans="1:14" hidden="1" x14ac:dyDescent="0.3">
      <c r="A129" s="13"/>
      <c r="B129" s="44"/>
      <c r="C129" s="44"/>
      <c r="D129" s="44"/>
      <c r="E129" s="44"/>
      <c r="F129" s="44"/>
      <c r="G129" s="28"/>
    </row>
    <row r="130" spans="1:14" hidden="1" x14ac:dyDescent="0.3">
      <c r="A130" s="13" t="s">
        <v>11</v>
      </c>
      <c r="B130" s="44"/>
      <c r="C130" s="44"/>
      <c r="D130" s="44"/>
      <c r="E130" s="44"/>
      <c r="F130" s="44"/>
      <c r="G130" s="28">
        <f t="shared" ref="G130:G136" si="11">SUM(B130:F130)</f>
        <v>0</v>
      </c>
    </row>
    <row r="131" spans="1:14" hidden="1" x14ac:dyDescent="0.3">
      <c r="A131" s="13" t="s">
        <v>17</v>
      </c>
      <c r="B131" s="27"/>
      <c r="C131" s="27"/>
      <c r="D131" s="27"/>
      <c r="E131" s="27"/>
      <c r="F131" s="27"/>
      <c r="G131" s="28">
        <f t="shared" si="11"/>
        <v>0</v>
      </c>
    </row>
    <row r="132" spans="1:14" hidden="1" x14ac:dyDescent="0.3">
      <c r="A132" s="13" t="s">
        <v>19</v>
      </c>
      <c r="B132" s="27"/>
      <c r="C132" s="27"/>
      <c r="D132" s="27"/>
      <c r="E132" s="27"/>
      <c r="F132" s="27"/>
      <c r="G132" s="28">
        <f t="shared" si="11"/>
        <v>0</v>
      </c>
    </row>
    <row r="133" spans="1:14" hidden="1" x14ac:dyDescent="0.3">
      <c r="A133" s="13" t="s">
        <v>20</v>
      </c>
      <c r="B133" s="27"/>
      <c r="C133" s="27"/>
      <c r="D133" s="27"/>
      <c r="E133" s="27"/>
      <c r="F133" s="27"/>
      <c r="G133" s="28">
        <f t="shared" si="11"/>
        <v>0</v>
      </c>
    </row>
    <row r="134" spans="1:14" hidden="1" x14ac:dyDescent="0.3">
      <c r="A134" s="13" t="s">
        <v>292</v>
      </c>
      <c r="B134" s="27"/>
      <c r="C134" s="27"/>
      <c r="D134" s="27"/>
      <c r="E134" s="27"/>
      <c r="F134" s="27"/>
      <c r="G134" s="28">
        <f t="shared" si="11"/>
        <v>0</v>
      </c>
    </row>
    <row r="135" spans="1:14" hidden="1" x14ac:dyDescent="0.3">
      <c r="A135" s="13" t="s">
        <v>291</v>
      </c>
      <c r="B135" s="27"/>
      <c r="C135" s="27"/>
      <c r="D135" s="27"/>
      <c r="E135" s="27"/>
      <c r="F135" s="27"/>
      <c r="G135" s="28">
        <f t="shared" si="11"/>
        <v>0</v>
      </c>
    </row>
    <row r="136" spans="1:14" hidden="1" x14ac:dyDescent="0.3">
      <c r="A136" s="13" t="s">
        <v>21</v>
      </c>
      <c r="B136" s="27"/>
      <c r="C136" s="27"/>
      <c r="D136" s="27"/>
      <c r="E136" s="27"/>
      <c r="F136" s="27"/>
      <c r="G136" s="28">
        <f t="shared" si="11"/>
        <v>0</v>
      </c>
    </row>
    <row r="137" spans="1:14" hidden="1" x14ac:dyDescent="0.3">
      <c r="A137" s="13"/>
      <c r="B137" s="44"/>
      <c r="C137" s="44"/>
      <c r="D137" s="44"/>
      <c r="E137" s="44"/>
      <c r="F137" s="44"/>
      <c r="G137" s="28"/>
      <c r="H137" s="8">
        <f>SUM(B138:F138)-G127</f>
        <v>0</v>
      </c>
      <c r="I137" s="33">
        <f>G138-H137</f>
        <v>0</v>
      </c>
      <c r="J137" s="8" t="s">
        <v>23</v>
      </c>
    </row>
    <row r="138" spans="1:14" hidden="1" x14ac:dyDescent="0.3">
      <c r="A138" s="13" t="s">
        <v>14</v>
      </c>
      <c r="B138" s="46"/>
      <c r="C138" s="46"/>
      <c r="D138" s="46"/>
      <c r="E138" s="46"/>
      <c r="F138" s="46"/>
      <c r="G138" s="51">
        <f>+G128-G130-G131-G132-G133-G136-G134-G135</f>
        <v>0</v>
      </c>
      <c r="I138" s="33">
        <f>G138-H138</f>
        <v>0</v>
      </c>
      <c r="J138" s="9" t="s">
        <v>22</v>
      </c>
    </row>
    <row r="139" spans="1:14" ht="15" hidden="1" thickBot="1" x14ac:dyDescent="0.35">
      <c r="A139" s="35" t="s">
        <v>16</v>
      </c>
      <c r="B139" s="47"/>
      <c r="C139" s="47"/>
      <c r="D139" s="47"/>
      <c r="E139" s="47"/>
      <c r="F139" s="47"/>
      <c r="G139" s="48"/>
    </row>
    <row r="140" spans="1:14" hidden="1" x14ac:dyDescent="0.3">
      <c r="A140" s="98" t="s">
        <v>12</v>
      </c>
      <c r="B140" s="99"/>
      <c r="C140" s="99"/>
      <c r="D140" s="99"/>
      <c r="E140" s="99"/>
      <c r="F140" s="99"/>
      <c r="G140" s="100"/>
    </row>
    <row r="141" spans="1:14" hidden="1" x14ac:dyDescent="0.3">
      <c r="A141" s="101" t="s">
        <v>13</v>
      </c>
      <c r="B141" s="102"/>
      <c r="C141" s="102"/>
      <c r="D141" s="102"/>
      <c r="E141" s="102"/>
      <c r="F141" s="102"/>
      <c r="G141" s="103"/>
    </row>
    <row r="142" spans="1:14" hidden="1" x14ac:dyDescent="0.3">
      <c r="A142" s="95">
        <v>43312</v>
      </c>
      <c r="B142" s="96"/>
      <c r="C142" s="96"/>
      <c r="D142" s="96"/>
      <c r="E142" s="96"/>
      <c r="F142" s="96"/>
      <c r="G142" s="97"/>
    </row>
    <row r="143" spans="1:14" s="17" customFormat="1" hidden="1" x14ac:dyDescent="0.3">
      <c r="A143" s="10"/>
      <c r="B143" s="11"/>
      <c r="C143" s="11"/>
      <c r="D143" s="11"/>
      <c r="E143" s="11"/>
      <c r="F143" s="11"/>
      <c r="G143" s="12"/>
      <c r="H143" s="16"/>
      <c r="M143" s="70"/>
      <c r="N143" s="70"/>
    </row>
    <row r="144" spans="1:14" hidden="1" x14ac:dyDescent="0.3">
      <c r="A144" s="13"/>
      <c r="B144" s="14" t="s">
        <v>5</v>
      </c>
      <c r="C144" s="14" t="s">
        <v>6</v>
      </c>
      <c r="D144" s="14" t="s">
        <v>7</v>
      </c>
      <c r="E144" s="14" t="s">
        <v>8</v>
      </c>
      <c r="F144" s="14" t="s">
        <v>9</v>
      </c>
      <c r="G144" s="15" t="s">
        <v>10</v>
      </c>
    </row>
    <row r="145" spans="1:10" hidden="1" x14ac:dyDescent="0.3">
      <c r="A145" s="13" t="s">
        <v>0</v>
      </c>
      <c r="B145" s="50"/>
      <c r="C145" s="50"/>
      <c r="D145" s="50"/>
      <c r="E145" s="50"/>
      <c r="F145" s="50"/>
      <c r="G145" s="28">
        <f>SUM(B145:F145)</f>
        <v>0</v>
      </c>
    </row>
    <row r="146" spans="1:10" hidden="1" x14ac:dyDescent="0.3">
      <c r="A146" s="13" t="s">
        <v>1</v>
      </c>
      <c r="B146" s="50"/>
      <c r="C146" s="50"/>
      <c r="D146" s="50"/>
      <c r="E146" s="50"/>
      <c r="F146" s="50"/>
      <c r="G146" s="28">
        <f>SUM(B146:F146)</f>
        <v>0</v>
      </c>
    </row>
    <row r="147" spans="1:10" hidden="1" x14ac:dyDescent="0.3">
      <c r="A147" s="13" t="s">
        <v>2</v>
      </c>
      <c r="B147" s="50"/>
      <c r="C147" s="50"/>
      <c r="D147" s="50"/>
      <c r="E147" s="50"/>
      <c r="F147" s="50"/>
      <c r="G147" s="28">
        <f>SUM(B147:F147)</f>
        <v>0</v>
      </c>
    </row>
    <row r="148" spans="1:10" hidden="1" x14ac:dyDescent="0.3">
      <c r="A148" s="13" t="s">
        <v>3</v>
      </c>
      <c r="B148" s="50"/>
      <c r="C148" s="50"/>
      <c r="D148" s="50"/>
      <c r="E148" s="50"/>
      <c r="F148" s="50"/>
      <c r="G148" s="28">
        <f>SUM(B148:F148)</f>
        <v>0</v>
      </c>
    </row>
    <row r="149" spans="1:10" hidden="1" x14ac:dyDescent="0.3">
      <c r="A149" s="13" t="s">
        <v>4</v>
      </c>
      <c r="B149" s="18"/>
      <c r="C149" s="18"/>
      <c r="D149" s="24"/>
      <c r="E149" s="24"/>
      <c r="F149" s="24"/>
      <c r="G149" s="28">
        <f>SUM(B149:F149)</f>
        <v>0</v>
      </c>
    </row>
    <row r="150" spans="1:10" ht="15" hidden="1" thickBot="1" x14ac:dyDescent="0.35">
      <c r="A150" s="13" t="s">
        <v>18</v>
      </c>
      <c r="B150" s="40"/>
      <c r="C150" s="40"/>
      <c r="D150" s="40"/>
      <c r="E150" s="40"/>
      <c r="F150" s="40"/>
      <c r="G150" s="41"/>
    </row>
    <row r="151" spans="1:10" ht="15" hidden="1" thickBot="1" x14ac:dyDescent="0.35">
      <c r="A151" s="13"/>
      <c r="B151" s="42">
        <f>+B145-B146-B147-B148-B149</f>
        <v>0</v>
      </c>
      <c r="C151" s="42">
        <f>+C145-C146-C147-C148-C149</f>
        <v>0</v>
      </c>
      <c r="D151" s="42">
        <f>+D145-D146-D147-D148-D149</f>
        <v>0</v>
      </c>
      <c r="E151" s="42">
        <f>+E145-E146-E147-E148-E149</f>
        <v>0</v>
      </c>
      <c r="F151" s="42">
        <f>+F145-F146-F147-F148-F149</f>
        <v>0</v>
      </c>
      <c r="G151" s="43">
        <f>+G145-G146-G147-G148-G149-G150</f>
        <v>0</v>
      </c>
    </row>
    <row r="152" spans="1:10" hidden="1" x14ac:dyDescent="0.3">
      <c r="A152" s="13"/>
      <c r="B152" s="44"/>
      <c r="C152" s="44"/>
      <c r="D152" s="44"/>
      <c r="E152" s="44"/>
      <c r="F152" s="44"/>
      <c r="G152" s="28"/>
    </row>
    <row r="153" spans="1:10" hidden="1" x14ac:dyDescent="0.3">
      <c r="A153" s="13" t="s">
        <v>11</v>
      </c>
      <c r="B153" s="44"/>
      <c r="C153" s="44"/>
      <c r="D153" s="44"/>
      <c r="E153" s="44"/>
      <c r="F153" s="44"/>
      <c r="G153" s="28">
        <f t="shared" ref="G153:G159" si="12">SUM(B153:F153)</f>
        <v>0</v>
      </c>
    </row>
    <row r="154" spans="1:10" hidden="1" x14ac:dyDescent="0.3">
      <c r="A154" s="13" t="s">
        <v>17</v>
      </c>
      <c r="B154" s="27"/>
      <c r="C154" s="27"/>
      <c r="D154" s="27"/>
      <c r="E154" s="27"/>
      <c r="F154" s="27"/>
      <c r="G154" s="28">
        <f t="shared" si="12"/>
        <v>0</v>
      </c>
    </row>
    <row r="155" spans="1:10" hidden="1" x14ac:dyDescent="0.3">
      <c r="A155" s="13" t="s">
        <v>19</v>
      </c>
      <c r="B155" s="27"/>
      <c r="C155" s="27"/>
      <c r="D155" s="27"/>
      <c r="E155" s="27"/>
      <c r="F155" s="27"/>
      <c r="G155" s="28">
        <f t="shared" si="12"/>
        <v>0</v>
      </c>
    </row>
    <row r="156" spans="1:10" hidden="1" x14ac:dyDescent="0.3">
      <c r="A156" s="13" t="s">
        <v>20</v>
      </c>
      <c r="B156" s="27"/>
      <c r="C156" s="27"/>
      <c r="D156" s="27"/>
      <c r="E156" s="27"/>
      <c r="F156" s="27"/>
      <c r="G156" s="28">
        <f t="shared" si="12"/>
        <v>0</v>
      </c>
    </row>
    <row r="157" spans="1:10" hidden="1" x14ac:dyDescent="0.3">
      <c r="A157" s="13" t="s">
        <v>292</v>
      </c>
      <c r="B157" s="27"/>
      <c r="C157" s="27"/>
      <c r="D157" s="27"/>
      <c r="E157" s="27"/>
      <c r="F157" s="27"/>
      <c r="G157" s="28">
        <f t="shared" si="12"/>
        <v>0</v>
      </c>
    </row>
    <row r="158" spans="1:10" hidden="1" x14ac:dyDescent="0.3">
      <c r="A158" s="13" t="s">
        <v>291</v>
      </c>
      <c r="B158" s="27"/>
      <c r="C158" s="27"/>
      <c r="D158" s="27"/>
      <c r="E158" s="27"/>
      <c r="F158" s="27"/>
      <c r="G158" s="28">
        <f t="shared" si="12"/>
        <v>0</v>
      </c>
    </row>
    <row r="159" spans="1:10" hidden="1" x14ac:dyDescent="0.3">
      <c r="A159" s="13" t="s">
        <v>21</v>
      </c>
      <c r="B159" s="27"/>
      <c r="C159" s="27"/>
      <c r="D159" s="27"/>
      <c r="E159" s="27"/>
      <c r="F159" s="27"/>
      <c r="G159" s="28">
        <f t="shared" si="12"/>
        <v>0</v>
      </c>
    </row>
    <row r="160" spans="1:10" hidden="1" x14ac:dyDescent="0.3">
      <c r="A160" s="13"/>
      <c r="B160" s="44"/>
      <c r="C160" s="44"/>
      <c r="D160" s="44"/>
      <c r="E160" s="44"/>
      <c r="F160" s="44"/>
      <c r="G160" s="28"/>
      <c r="H160" s="8">
        <f>SUM(B161:F161)-G150</f>
        <v>0</v>
      </c>
      <c r="I160" s="33">
        <f>G161-H160</f>
        <v>0</v>
      </c>
      <c r="J160" s="8" t="s">
        <v>23</v>
      </c>
    </row>
    <row r="161" spans="1:14" hidden="1" x14ac:dyDescent="0.3">
      <c r="A161" s="13" t="s">
        <v>14</v>
      </c>
      <c r="B161" s="46"/>
      <c r="C161" s="46"/>
      <c r="D161" s="46"/>
      <c r="E161" s="46"/>
      <c r="F161" s="46"/>
      <c r="G161" s="51">
        <f>+G151-G153-G154-G155-G156-G159-G157-G158</f>
        <v>0</v>
      </c>
      <c r="I161" s="33">
        <f>G161-H161</f>
        <v>0</v>
      </c>
      <c r="J161" s="9" t="s">
        <v>22</v>
      </c>
    </row>
    <row r="162" spans="1:14" ht="15" hidden="1" thickBot="1" x14ac:dyDescent="0.35">
      <c r="A162" s="35" t="s">
        <v>16</v>
      </c>
      <c r="B162" s="47"/>
      <c r="C162" s="47"/>
      <c r="D162" s="47"/>
      <c r="E162" s="47"/>
      <c r="F162" s="47"/>
      <c r="G162" s="48"/>
    </row>
    <row r="163" spans="1:14" hidden="1" x14ac:dyDescent="0.3">
      <c r="A163" s="98" t="s">
        <v>12</v>
      </c>
      <c r="B163" s="99"/>
      <c r="C163" s="99"/>
      <c r="D163" s="99"/>
      <c r="E163" s="99"/>
      <c r="F163" s="99"/>
      <c r="G163" s="100"/>
    </row>
    <row r="164" spans="1:14" hidden="1" x14ac:dyDescent="0.3">
      <c r="A164" s="101" t="s">
        <v>13</v>
      </c>
      <c r="B164" s="102"/>
      <c r="C164" s="102"/>
      <c r="D164" s="102"/>
      <c r="E164" s="102"/>
      <c r="F164" s="102"/>
      <c r="G164" s="103"/>
    </row>
    <row r="165" spans="1:14" hidden="1" x14ac:dyDescent="0.3">
      <c r="A165" s="95">
        <v>43343</v>
      </c>
      <c r="B165" s="96"/>
      <c r="C165" s="96"/>
      <c r="D165" s="96"/>
      <c r="E165" s="96"/>
      <c r="F165" s="96"/>
      <c r="G165" s="97"/>
    </row>
    <row r="166" spans="1:14" s="17" customFormat="1" hidden="1" x14ac:dyDescent="0.3">
      <c r="A166" s="10"/>
      <c r="B166" s="11"/>
      <c r="C166" s="11"/>
      <c r="D166" s="11"/>
      <c r="E166" s="11"/>
      <c r="F166" s="11"/>
      <c r="G166" s="12"/>
      <c r="H166" s="16"/>
      <c r="M166" s="70"/>
      <c r="N166" s="70"/>
    </row>
    <row r="167" spans="1:14" hidden="1" x14ac:dyDescent="0.3">
      <c r="A167" s="13"/>
      <c r="B167" s="14" t="s">
        <v>5</v>
      </c>
      <c r="C167" s="14" t="s">
        <v>6</v>
      </c>
      <c r="D167" s="14" t="s">
        <v>7</v>
      </c>
      <c r="E167" s="14" t="s">
        <v>8</v>
      </c>
      <c r="F167" s="14" t="s">
        <v>9</v>
      </c>
      <c r="G167" s="15" t="s">
        <v>10</v>
      </c>
    </row>
    <row r="168" spans="1:14" hidden="1" x14ac:dyDescent="0.3">
      <c r="A168" s="13" t="s">
        <v>0</v>
      </c>
      <c r="B168" s="50"/>
      <c r="C168" s="50"/>
      <c r="D168" s="50"/>
      <c r="E168" s="50"/>
      <c r="F168" s="50"/>
      <c r="G168" s="28">
        <f>SUM(B168:F168)</f>
        <v>0</v>
      </c>
    </row>
    <row r="169" spans="1:14" hidden="1" x14ac:dyDescent="0.3">
      <c r="A169" s="13" t="s">
        <v>1</v>
      </c>
      <c r="B169" s="50"/>
      <c r="C169" s="50"/>
      <c r="D169" s="50"/>
      <c r="E169" s="50"/>
      <c r="F169" s="50"/>
      <c r="G169" s="28">
        <f>SUM(B169:F169)</f>
        <v>0</v>
      </c>
    </row>
    <row r="170" spans="1:14" hidden="1" x14ac:dyDescent="0.3">
      <c r="A170" s="13" t="s">
        <v>2</v>
      </c>
      <c r="B170" s="50"/>
      <c r="C170" s="50"/>
      <c r="D170" s="50"/>
      <c r="E170" s="50"/>
      <c r="F170" s="50"/>
      <c r="G170" s="28">
        <f>SUM(B170:F170)</f>
        <v>0</v>
      </c>
    </row>
    <row r="171" spans="1:14" hidden="1" x14ac:dyDescent="0.3">
      <c r="A171" s="13" t="s">
        <v>3</v>
      </c>
      <c r="B171" s="50"/>
      <c r="C171" s="50"/>
      <c r="D171" s="50"/>
      <c r="E171" s="50"/>
      <c r="F171" s="50"/>
      <c r="G171" s="28">
        <f>SUM(B171:F171)</f>
        <v>0</v>
      </c>
    </row>
    <row r="172" spans="1:14" hidden="1" x14ac:dyDescent="0.3">
      <c r="A172" s="13" t="s">
        <v>4</v>
      </c>
      <c r="B172" s="18"/>
      <c r="C172" s="18"/>
      <c r="D172" s="24"/>
      <c r="E172" s="24"/>
      <c r="F172" s="24"/>
      <c r="G172" s="28">
        <f>SUM(B172:F172)</f>
        <v>0</v>
      </c>
    </row>
    <row r="173" spans="1:14" ht="15" hidden="1" thickBot="1" x14ac:dyDescent="0.35">
      <c r="A173" s="13" t="s">
        <v>18</v>
      </c>
      <c r="B173" s="40"/>
      <c r="C173" s="40"/>
      <c r="D173" s="40"/>
      <c r="E173" s="40"/>
      <c r="F173" s="40"/>
      <c r="G173" s="41"/>
    </row>
    <row r="174" spans="1:14" ht="15" hidden="1" thickBot="1" x14ac:dyDescent="0.35">
      <c r="A174" s="13"/>
      <c r="B174" s="42">
        <f>+B168-B169-B170-B171-B172</f>
        <v>0</v>
      </c>
      <c r="C174" s="42">
        <f>+C168-C169-C170-C171-C172</f>
        <v>0</v>
      </c>
      <c r="D174" s="42">
        <f>+D168-D169-D170-D171-D172</f>
        <v>0</v>
      </c>
      <c r="E174" s="42">
        <f>+E168-E169-E170-E171-E172</f>
        <v>0</v>
      </c>
      <c r="F174" s="42">
        <f>+F168-F169-F170-F171-F172</f>
        <v>0</v>
      </c>
      <c r="G174" s="43">
        <f>+G168-G169-G170-G171-G172-G173</f>
        <v>0</v>
      </c>
    </row>
    <row r="175" spans="1:14" hidden="1" x14ac:dyDescent="0.3">
      <c r="A175" s="13"/>
      <c r="B175" s="44"/>
      <c r="C175" s="44"/>
      <c r="D175" s="44"/>
      <c r="E175" s="44"/>
      <c r="F175" s="44"/>
      <c r="G175" s="28"/>
    </row>
    <row r="176" spans="1:14" hidden="1" x14ac:dyDescent="0.3">
      <c r="A176" s="13" t="s">
        <v>11</v>
      </c>
      <c r="B176" s="44"/>
      <c r="C176" s="44"/>
      <c r="D176" s="44"/>
      <c r="E176" s="44"/>
      <c r="F176" s="44"/>
      <c r="G176" s="28">
        <f t="shared" ref="G176:G182" si="13">SUM(B176:F176)</f>
        <v>0</v>
      </c>
    </row>
    <row r="177" spans="1:14" hidden="1" x14ac:dyDescent="0.3">
      <c r="A177" s="13" t="s">
        <v>17</v>
      </c>
      <c r="B177" s="27"/>
      <c r="C177" s="27"/>
      <c r="D177" s="27"/>
      <c r="E177" s="27"/>
      <c r="F177" s="27"/>
      <c r="G177" s="28">
        <f t="shared" si="13"/>
        <v>0</v>
      </c>
    </row>
    <row r="178" spans="1:14" hidden="1" x14ac:dyDescent="0.3">
      <c r="A178" s="13" t="s">
        <v>19</v>
      </c>
      <c r="B178" s="26"/>
      <c r="C178" s="26"/>
      <c r="D178" s="27"/>
      <c r="E178" s="27"/>
      <c r="F178" s="27"/>
      <c r="G178" s="28">
        <f t="shared" si="13"/>
        <v>0</v>
      </c>
    </row>
    <row r="179" spans="1:14" hidden="1" x14ac:dyDescent="0.3">
      <c r="A179" s="13" t="s">
        <v>20</v>
      </c>
      <c r="B179" s="27"/>
      <c r="C179" s="27"/>
      <c r="D179" s="27"/>
      <c r="E179" s="27"/>
      <c r="F179" s="27"/>
      <c r="G179" s="28">
        <f t="shared" si="13"/>
        <v>0</v>
      </c>
    </row>
    <row r="180" spans="1:14" hidden="1" x14ac:dyDescent="0.3">
      <c r="A180" s="13" t="s">
        <v>292</v>
      </c>
      <c r="B180" s="27"/>
      <c r="C180" s="27"/>
      <c r="D180" s="27"/>
      <c r="E180" s="27"/>
      <c r="F180" s="27"/>
      <c r="G180" s="28">
        <f t="shared" si="13"/>
        <v>0</v>
      </c>
    </row>
    <row r="181" spans="1:14" hidden="1" x14ac:dyDescent="0.3">
      <c r="A181" s="13" t="s">
        <v>291</v>
      </c>
      <c r="B181" s="27"/>
      <c r="C181" s="27"/>
      <c r="D181" s="27"/>
      <c r="E181" s="27"/>
      <c r="F181" s="27"/>
      <c r="G181" s="28">
        <f t="shared" si="13"/>
        <v>0</v>
      </c>
    </row>
    <row r="182" spans="1:14" hidden="1" x14ac:dyDescent="0.3">
      <c r="A182" s="13" t="s">
        <v>21</v>
      </c>
      <c r="B182" s="27"/>
      <c r="C182" s="27"/>
      <c r="D182" s="27"/>
      <c r="E182" s="27"/>
      <c r="F182" s="27"/>
      <c r="G182" s="28">
        <f t="shared" si="13"/>
        <v>0</v>
      </c>
    </row>
    <row r="183" spans="1:14" hidden="1" x14ac:dyDescent="0.3">
      <c r="A183" s="13"/>
      <c r="B183" s="44"/>
      <c r="C183" s="44"/>
      <c r="D183" s="44"/>
      <c r="E183" s="44"/>
      <c r="F183" s="44"/>
      <c r="G183" s="28"/>
      <c r="H183" s="8">
        <f>SUM(B184:F184)-G173</f>
        <v>0</v>
      </c>
      <c r="I183" s="33">
        <f>G184-H183</f>
        <v>0</v>
      </c>
      <c r="J183" s="8" t="s">
        <v>23</v>
      </c>
    </row>
    <row r="184" spans="1:14" hidden="1" x14ac:dyDescent="0.3">
      <c r="A184" s="13" t="s">
        <v>14</v>
      </c>
      <c r="B184" s="46">
        <f>+B174-SUM(B176:B182)</f>
        <v>0</v>
      </c>
      <c r="C184" s="46">
        <f>+C174-SUM(C176:C182)</f>
        <v>0</v>
      </c>
      <c r="D184" s="46">
        <f>+D174-SUM(D176:D182)</f>
        <v>0</v>
      </c>
      <c r="E184" s="46">
        <f>+E174-SUM(E176:E182)</f>
        <v>0</v>
      </c>
      <c r="F184" s="46">
        <f>+F174-SUM(F176:F182)</f>
        <v>0</v>
      </c>
      <c r="G184" s="51">
        <f>+G174-G176-G177-G178-G179-G182-G180-G181</f>
        <v>0</v>
      </c>
      <c r="I184" s="33">
        <f>G184-H184</f>
        <v>0</v>
      </c>
      <c r="J184" s="9" t="s">
        <v>22</v>
      </c>
    </row>
    <row r="185" spans="1:14" ht="15" hidden="1" thickBot="1" x14ac:dyDescent="0.35">
      <c r="A185" s="35" t="s">
        <v>16</v>
      </c>
      <c r="B185" s="47"/>
      <c r="C185" s="47"/>
      <c r="D185" s="47"/>
      <c r="E185" s="47"/>
      <c r="F185" s="47"/>
      <c r="G185" s="48"/>
    </row>
    <row r="186" spans="1:14" hidden="1" x14ac:dyDescent="0.3">
      <c r="A186" s="98" t="s">
        <v>12</v>
      </c>
      <c r="B186" s="99"/>
      <c r="C186" s="99"/>
      <c r="D186" s="99"/>
      <c r="E186" s="99"/>
      <c r="F186" s="99"/>
      <c r="G186" s="100"/>
    </row>
    <row r="187" spans="1:14" hidden="1" x14ac:dyDescent="0.3">
      <c r="A187" s="101" t="s">
        <v>13</v>
      </c>
      <c r="B187" s="102"/>
      <c r="C187" s="102"/>
      <c r="D187" s="102"/>
      <c r="E187" s="102"/>
      <c r="F187" s="102"/>
      <c r="G187" s="103"/>
    </row>
    <row r="188" spans="1:14" hidden="1" x14ac:dyDescent="0.3">
      <c r="A188" s="95">
        <v>43373</v>
      </c>
      <c r="B188" s="96"/>
      <c r="C188" s="96"/>
      <c r="D188" s="96"/>
      <c r="E188" s="96"/>
      <c r="F188" s="96"/>
      <c r="G188" s="97"/>
    </row>
    <row r="189" spans="1:14" s="17" customFormat="1" hidden="1" x14ac:dyDescent="0.3">
      <c r="A189" s="10"/>
      <c r="B189" s="11"/>
      <c r="C189" s="11"/>
      <c r="D189" s="11"/>
      <c r="E189" s="11"/>
      <c r="F189" s="11"/>
      <c r="G189" s="12"/>
      <c r="H189" s="16"/>
      <c r="M189" s="70"/>
      <c r="N189" s="70"/>
    </row>
    <row r="190" spans="1:14" hidden="1" x14ac:dyDescent="0.3">
      <c r="A190" s="13"/>
      <c r="B190" s="14" t="s">
        <v>5</v>
      </c>
      <c r="C190" s="14" t="s">
        <v>6</v>
      </c>
      <c r="D190" s="14" t="s">
        <v>7</v>
      </c>
      <c r="E190" s="14" t="s">
        <v>8</v>
      </c>
      <c r="F190" s="14" t="s">
        <v>9</v>
      </c>
      <c r="G190" s="15" t="s">
        <v>10</v>
      </c>
    </row>
    <row r="191" spans="1:14" hidden="1" x14ac:dyDescent="0.3">
      <c r="A191" s="13" t="s">
        <v>0</v>
      </c>
      <c r="B191" s="50"/>
      <c r="C191" s="50"/>
      <c r="D191" s="50"/>
      <c r="E191" s="50"/>
      <c r="F191" s="50"/>
      <c r="G191" s="28">
        <f>SUM(B191:F191)</f>
        <v>0</v>
      </c>
    </row>
    <row r="192" spans="1:14" hidden="1" x14ac:dyDescent="0.3">
      <c r="A192" s="13" t="s">
        <v>1</v>
      </c>
      <c r="B192" s="50"/>
      <c r="C192" s="50"/>
      <c r="D192" s="50"/>
      <c r="E192" s="50"/>
      <c r="F192" s="50"/>
      <c r="G192" s="28">
        <f>SUM(B192:F192)</f>
        <v>0</v>
      </c>
    </row>
    <row r="193" spans="1:14" hidden="1" x14ac:dyDescent="0.3">
      <c r="A193" s="13" t="s">
        <v>2</v>
      </c>
      <c r="B193" s="50"/>
      <c r="C193" s="50"/>
      <c r="D193" s="50"/>
      <c r="E193" s="50"/>
      <c r="F193" s="50"/>
      <c r="G193" s="28">
        <f>SUM(B193:F193)</f>
        <v>0</v>
      </c>
    </row>
    <row r="194" spans="1:14" hidden="1" x14ac:dyDescent="0.3">
      <c r="A194" s="13" t="s">
        <v>3</v>
      </c>
      <c r="B194" s="50"/>
      <c r="C194" s="50"/>
      <c r="D194" s="50"/>
      <c r="E194" s="50"/>
      <c r="F194" s="50"/>
      <c r="G194" s="28">
        <f>SUM(B194:F194)</f>
        <v>0</v>
      </c>
    </row>
    <row r="195" spans="1:14" hidden="1" x14ac:dyDescent="0.3">
      <c r="A195" s="13" t="s">
        <v>4</v>
      </c>
      <c r="B195" s="18"/>
      <c r="C195" s="18"/>
      <c r="D195" s="24"/>
      <c r="E195" s="24"/>
      <c r="F195" s="24"/>
      <c r="G195" s="28">
        <f>SUM(B195:F195)</f>
        <v>0</v>
      </c>
    </row>
    <row r="196" spans="1:14" ht="15" hidden="1" thickBot="1" x14ac:dyDescent="0.35">
      <c r="A196" s="13" t="s">
        <v>18</v>
      </c>
      <c r="B196" s="40"/>
      <c r="C196" s="40"/>
      <c r="D196" s="40"/>
      <c r="E196" s="40"/>
      <c r="F196" s="40"/>
      <c r="G196" s="41"/>
    </row>
    <row r="197" spans="1:14" ht="15" hidden="1" thickBot="1" x14ac:dyDescent="0.35">
      <c r="A197" s="13"/>
      <c r="B197" s="42">
        <f>+B191-B192-B193-B194-B195</f>
        <v>0</v>
      </c>
      <c r="C197" s="42">
        <f>+C191-C192-C193-C194-C195</f>
        <v>0</v>
      </c>
      <c r="D197" s="42">
        <f>+D191-D192-D193-D194-D195</f>
        <v>0</v>
      </c>
      <c r="E197" s="42">
        <f>+E191-E192-E193-E194-E195</f>
        <v>0</v>
      </c>
      <c r="F197" s="42">
        <f>+F191-F192-F193-F194-F195</f>
        <v>0</v>
      </c>
      <c r="G197" s="43">
        <f>+G191-G192-G193-G194-G195-G196</f>
        <v>0</v>
      </c>
    </row>
    <row r="198" spans="1:14" hidden="1" x14ac:dyDescent="0.3">
      <c r="A198" s="13"/>
      <c r="B198" s="44"/>
      <c r="C198" s="44"/>
      <c r="D198" s="44"/>
      <c r="E198" s="44"/>
      <c r="F198" s="44"/>
      <c r="G198" s="28"/>
    </row>
    <row r="199" spans="1:14" hidden="1" x14ac:dyDescent="0.3">
      <c r="A199" s="13" t="s">
        <v>11</v>
      </c>
      <c r="B199" s="44"/>
      <c r="C199" s="44"/>
      <c r="D199" s="44"/>
      <c r="E199" s="44"/>
      <c r="F199" s="44"/>
      <c r="G199" s="28">
        <f t="shared" ref="G199:G205" si="14">SUM(B199:F199)</f>
        <v>0</v>
      </c>
    </row>
    <row r="200" spans="1:14" hidden="1" x14ac:dyDescent="0.3">
      <c r="A200" s="13" t="s">
        <v>17</v>
      </c>
      <c r="B200" s="27"/>
      <c r="C200" s="27"/>
      <c r="D200" s="27"/>
      <c r="E200" s="27"/>
      <c r="F200" s="27"/>
      <c r="G200" s="28">
        <f t="shared" si="14"/>
        <v>0</v>
      </c>
    </row>
    <row r="201" spans="1:14" hidden="1" x14ac:dyDescent="0.3">
      <c r="A201" s="13" t="s">
        <v>19</v>
      </c>
      <c r="B201" s="26"/>
      <c r="C201" s="27"/>
      <c r="D201" s="27"/>
      <c r="E201" s="27"/>
      <c r="F201" s="27"/>
      <c r="G201" s="28">
        <f t="shared" si="14"/>
        <v>0</v>
      </c>
    </row>
    <row r="202" spans="1:14" hidden="1" x14ac:dyDescent="0.3">
      <c r="A202" s="13" t="s">
        <v>292</v>
      </c>
      <c r="B202" s="27"/>
      <c r="C202" s="27"/>
      <c r="D202" s="27"/>
      <c r="E202" s="27"/>
      <c r="F202" s="27"/>
      <c r="G202" s="28">
        <f t="shared" si="14"/>
        <v>0</v>
      </c>
    </row>
    <row r="203" spans="1:14" hidden="1" x14ac:dyDescent="0.3">
      <c r="A203" s="13" t="s">
        <v>20</v>
      </c>
      <c r="B203" s="27"/>
      <c r="C203" s="27"/>
      <c r="D203" s="27"/>
      <c r="E203" s="27"/>
      <c r="F203" s="27"/>
      <c r="G203" s="28">
        <f t="shared" si="14"/>
        <v>0</v>
      </c>
    </row>
    <row r="204" spans="1:14" hidden="1" x14ac:dyDescent="0.3">
      <c r="A204" s="13" t="s">
        <v>291</v>
      </c>
      <c r="B204" s="27"/>
      <c r="C204" s="27"/>
      <c r="D204" s="27"/>
      <c r="E204" s="27"/>
      <c r="F204" s="27"/>
      <c r="G204" s="28">
        <f t="shared" si="14"/>
        <v>0</v>
      </c>
    </row>
    <row r="205" spans="1:14" hidden="1" x14ac:dyDescent="0.3">
      <c r="A205" s="13" t="s">
        <v>21</v>
      </c>
      <c r="B205" s="27"/>
      <c r="C205" s="27"/>
      <c r="D205" s="27"/>
      <c r="E205" s="27"/>
      <c r="F205" s="27"/>
      <c r="G205" s="28">
        <f t="shared" si="14"/>
        <v>0</v>
      </c>
    </row>
    <row r="206" spans="1:14" hidden="1" x14ac:dyDescent="0.3">
      <c r="A206" s="13"/>
      <c r="B206" s="44"/>
      <c r="C206" s="44"/>
      <c r="D206" s="44"/>
      <c r="E206" s="44"/>
      <c r="F206" s="44"/>
      <c r="G206" s="28"/>
      <c r="H206" s="8">
        <f>SUM(B207:F207)-G196</f>
        <v>0</v>
      </c>
      <c r="I206" s="33">
        <f>G207-H206</f>
        <v>0</v>
      </c>
      <c r="J206" s="8" t="s">
        <v>23</v>
      </c>
    </row>
    <row r="207" spans="1:14" hidden="1" x14ac:dyDescent="0.3">
      <c r="A207" s="13" t="s">
        <v>14</v>
      </c>
      <c r="B207" s="46"/>
      <c r="C207" s="46"/>
      <c r="D207" s="46"/>
      <c r="E207" s="46"/>
      <c r="F207" s="46"/>
      <c r="G207" s="51">
        <f>+G197-G199-G200-G201-G202-G205-G203-G204</f>
        <v>0</v>
      </c>
      <c r="I207" s="33">
        <f>G207-H207</f>
        <v>0</v>
      </c>
      <c r="J207" s="9" t="s">
        <v>22</v>
      </c>
      <c r="N207" s="1"/>
    </row>
    <row r="208" spans="1:14" ht="15" hidden="1" thickBot="1" x14ac:dyDescent="0.35">
      <c r="A208" s="35" t="s">
        <v>16</v>
      </c>
      <c r="B208" s="47"/>
      <c r="C208" s="47"/>
      <c r="D208" s="47"/>
      <c r="E208" s="47"/>
      <c r="F208" s="47"/>
      <c r="G208" s="48"/>
    </row>
    <row r="209" spans="1:14" hidden="1" x14ac:dyDescent="0.3">
      <c r="A209" s="104" t="s">
        <v>12</v>
      </c>
      <c r="B209" s="105"/>
      <c r="C209" s="105"/>
      <c r="D209" s="105"/>
      <c r="E209" s="105"/>
      <c r="F209" s="105"/>
      <c r="G209" s="106"/>
    </row>
    <row r="210" spans="1:14" hidden="1" x14ac:dyDescent="0.3">
      <c r="A210" s="107" t="s">
        <v>13</v>
      </c>
      <c r="B210" s="108"/>
      <c r="C210" s="108"/>
      <c r="D210" s="108"/>
      <c r="E210" s="108"/>
      <c r="F210" s="108"/>
      <c r="G210" s="109"/>
    </row>
    <row r="211" spans="1:14" hidden="1" x14ac:dyDescent="0.3">
      <c r="A211" s="110">
        <v>43404</v>
      </c>
      <c r="B211" s="111"/>
      <c r="C211" s="111"/>
      <c r="D211" s="111"/>
      <c r="E211" s="111"/>
      <c r="F211" s="111"/>
      <c r="G211" s="112"/>
    </row>
    <row r="212" spans="1:14" s="17" customFormat="1" hidden="1" x14ac:dyDescent="0.3">
      <c r="A212" s="75"/>
      <c r="B212" s="76"/>
      <c r="C212" s="76"/>
      <c r="D212" s="76"/>
      <c r="E212" s="76"/>
      <c r="F212" s="76"/>
      <c r="G212" s="77"/>
      <c r="H212" s="16"/>
      <c r="M212" s="70"/>
      <c r="N212" s="70"/>
    </row>
    <row r="213" spans="1:14" hidden="1" x14ac:dyDescent="0.3">
      <c r="A213" s="78"/>
      <c r="B213" s="79" t="s">
        <v>5</v>
      </c>
      <c r="C213" s="79" t="s">
        <v>6</v>
      </c>
      <c r="D213" s="79" t="s">
        <v>7</v>
      </c>
      <c r="E213" s="79" t="s">
        <v>8</v>
      </c>
      <c r="F213" s="79" t="s">
        <v>9</v>
      </c>
      <c r="G213" s="80" t="s">
        <v>10</v>
      </c>
    </row>
    <row r="214" spans="1:14" hidden="1" x14ac:dyDescent="0.3">
      <c r="A214" s="78" t="s">
        <v>0</v>
      </c>
      <c r="B214" s="50"/>
      <c r="C214" s="50"/>
      <c r="D214" s="50"/>
      <c r="E214" s="50"/>
      <c r="F214" s="50"/>
      <c r="G214" s="39">
        <f t="shared" ref="G214:G219" si="15">SUM(B214:F214)</f>
        <v>0</v>
      </c>
    </row>
    <row r="215" spans="1:14" hidden="1" x14ac:dyDescent="0.3">
      <c r="A215" s="78" t="s">
        <v>1</v>
      </c>
      <c r="B215" s="50"/>
      <c r="C215" s="50"/>
      <c r="D215" s="50"/>
      <c r="E215" s="50"/>
      <c r="F215" s="50"/>
      <c r="G215" s="39">
        <f t="shared" si="15"/>
        <v>0</v>
      </c>
    </row>
    <row r="216" spans="1:14" hidden="1" x14ac:dyDescent="0.3">
      <c r="A216" s="78" t="s">
        <v>2</v>
      </c>
      <c r="B216" s="50"/>
      <c r="C216" s="50"/>
      <c r="D216" s="50"/>
      <c r="E216" s="50"/>
      <c r="F216" s="50"/>
      <c r="G216" s="39">
        <f t="shared" si="15"/>
        <v>0</v>
      </c>
    </row>
    <row r="217" spans="1:14" hidden="1" x14ac:dyDescent="0.3">
      <c r="A217" s="78" t="s">
        <v>3</v>
      </c>
      <c r="B217" s="50"/>
      <c r="C217" s="50"/>
      <c r="D217" s="50"/>
      <c r="E217" s="50"/>
      <c r="F217" s="50"/>
      <c r="G217" s="39">
        <f t="shared" si="15"/>
        <v>0</v>
      </c>
    </row>
    <row r="218" spans="1:14" hidden="1" x14ac:dyDescent="0.3">
      <c r="A218" s="78" t="s">
        <v>4</v>
      </c>
      <c r="B218" s="18"/>
      <c r="C218" s="18"/>
      <c r="D218" s="26"/>
      <c r="E218" s="26"/>
      <c r="F218" s="26"/>
      <c r="G218" s="89">
        <f>SUM(B218:F218)</f>
        <v>0</v>
      </c>
    </row>
    <row r="219" spans="1:14" hidden="1" x14ac:dyDescent="0.3">
      <c r="A219" s="78" t="s">
        <v>4</v>
      </c>
      <c r="B219" s="18"/>
      <c r="C219" s="18"/>
      <c r="D219" s="26"/>
      <c r="E219" s="26"/>
      <c r="F219" s="26"/>
      <c r="G219" s="39">
        <f t="shared" si="15"/>
        <v>0</v>
      </c>
      <c r="J219" s="71"/>
    </row>
    <row r="220" spans="1:14" ht="15" hidden="1" thickBot="1" x14ac:dyDescent="0.35">
      <c r="A220" s="78" t="s">
        <v>18</v>
      </c>
      <c r="B220" s="27"/>
      <c r="C220" s="27"/>
      <c r="D220" s="27"/>
      <c r="E220" s="27"/>
      <c r="F220" s="27"/>
      <c r="G220" s="81"/>
      <c r="J220" s="71"/>
    </row>
    <row r="221" spans="1:14" ht="15" hidden="1" thickBot="1" x14ac:dyDescent="0.35">
      <c r="A221" s="78"/>
      <c r="B221" s="82">
        <f>+B214-B215-B216-B217-B218</f>
        <v>0</v>
      </c>
      <c r="C221" s="82">
        <f>+C214-C215-C216-C217-C218</f>
        <v>0</v>
      </c>
      <c r="D221" s="82">
        <f>+D214-D215-D216-D217-D218</f>
        <v>0</v>
      </c>
      <c r="E221" s="82">
        <f>+E214-E215-E216-E217-E218</f>
        <v>0</v>
      </c>
      <c r="F221" s="82">
        <f>+F214-F215-F216-F217-F218</f>
        <v>0</v>
      </c>
      <c r="G221" s="83">
        <f>+G214-G215-G216-G217-G218-G220</f>
        <v>0</v>
      </c>
      <c r="J221" s="71"/>
    </row>
    <row r="222" spans="1:14" hidden="1" x14ac:dyDescent="0.3">
      <c r="A222" s="78"/>
      <c r="B222" s="27"/>
      <c r="C222" s="27"/>
      <c r="D222" s="27"/>
      <c r="E222" s="27"/>
      <c r="F222" s="27"/>
      <c r="G222" s="39"/>
    </row>
    <row r="223" spans="1:14" hidden="1" x14ac:dyDescent="0.3">
      <c r="A223" s="78" t="s">
        <v>11</v>
      </c>
      <c r="B223" s="27"/>
      <c r="C223" s="27"/>
      <c r="D223" s="27"/>
      <c r="E223" s="27"/>
      <c r="F223" s="27"/>
      <c r="G223" s="39">
        <f t="shared" ref="G223:G230" si="16">SUM(B223:F223)</f>
        <v>0</v>
      </c>
    </row>
    <row r="224" spans="1:14" hidden="1" x14ac:dyDescent="0.3">
      <c r="A224" s="78" t="s">
        <v>17</v>
      </c>
      <c r="B224" s="84"/>
      <c r="C224" s="27"/>
      <c r="D224" s="27"/>
      <c r="E224" s="27"/>
      <c r="F224" s="27"/>
      <c r="G224" s="39">
        <f t="shared" si="16"/>
        <v>0</v>
      </c>
    </row>
    <row r="225" spans="1:14" hidden="1" x14ac:dyDescent="0.3">
      <c r="A225" s="78" t="s">
        <v>19</v>
      </c>
      <c r="B225" s="27"/>
      <c r="C225" s="27"/>
      <c r="D225" s="27"/>
      <c r="E225" s="27"/>
      <c r="F225" s="27"/>
      <c r="G225" s="39">
        <f t="shared" si="16"/>
        <v>0</v>
      </c>
    </row>
    <row r="226" spans="1:14" hidden="1" x14ac:dyDescent="0.3">
      <c r="A226" s="78" t="s">
        <v>20</v>
      </c>
      <c r="B226" s="27"/>
      <c r="C226" s="27"/>
      <c r="D226" s="27"/>
      <c r="E226" s="27"/>
      <c r="F226" s="27"/>
      <c r="G226" s="39">
        <f t="shared" si="16"/>
        <v>0</v>
      </c>
    </row>
    <row r="227" spans="1:14" hidden="1" x14ac:dyDescent="0.3">
      <c r="A227" s="78" t="s">
        <v>292</v>
      </c>
      <c r="B227" s="27"/>
      <c r="C227" s="27"/>
      <c r="D227" s="27"/>
      <c r="E227" s="27"/>
      <c r="F227" s="27"/>
      <c r="G227" s="39">
        <f t="shared" si="16"/>
        <v>0</v>
      </c>
    </row>
    <row r="228" spans="1:14" hidden="1" x14ac:dyDescent="0.3">
      <c r="A228" s="78" t="s">
        <v>291</v>
      </c>
      <c r="B228" s="27"/>
      <c r="C228" s="27"/>
      <c r="D228" s="27"/>
      <c r="E228" s="27"/>
      <c r="F228" s="27"/>
      <c r="G228" s="39">
        <f t="shared" si="16"/>
        <v>0</v>
      </c>
    </row>
    <row r="229" spans="1:14" hidden="1" x14ac:dyDescent="0.3">
      <c r="A229" s="78" t="s">
        <v>294</v>
      </c>
      <c r="B229" s="27"/>
      <c r="C229" s="27"/>
      <c r="D229" s="27"/>
      <c r="E229" s="27"/>
      <c r="F229" s="27"/>
      <c r="G229" s="39">
        <f t="shared" si="16"/>
        <v>0</v>
      </c>
    </row>
    <row r="230" spans="1:14" hidden="1" x14ac:dyDescent="0.3">
      <c r="A230" s="85" t="s">
        <v>295</v>
      </c>
      <c r="B230" s="27"/>
      <c r="C230" s="27"/>
      <c r="D230" s="27"/>
      <c r="E230" s="27"/>
      <c r="F230" s="27"/>
      <c r="G230" s="39">
        <f t="shared" si="16"/>
        <v>0</v>
      </c>
      <c r="I230" s="33"/>
      <c r="J230" s="8"/>
    </row>
    <row r="231" spans="1:14" hidden="1" x14ac:dyDescent="0.3">
      <c r="A231" s="85" t="s">
        <v>296</v>
      </c>
      <c r="B231" s="27"/>
      <c r="C231" s="27"/>
      <c r="D231" s="27"/>
      <c r="E231" s="27"/>
      <c r="F231" s="27"/>
      <c r="G231" s="39">
        <f>SUM(B231:F231)</f>
        <v>0</v>
      </c>
      <c r="H231" s="8">
        <f>SUM(B232:F232)-G220</f>
        <v>0</v>
      </c>
      <c r="I231" s="33">
        <f>G232-H231</f>
        <v>0</v>
      </c>
      <c r="J231" s="8" t="s">
        <v>23</v>
      </c>
    </row>
    <row r="232" spans="1:14" hidden="1" x14ac:dyDescent="0.3">
      <c r="A232" s="78" t="s">
        <v>14</v>
      </c>
      <c r="B232" s="62"/>
      <c r="C232" s="62"/>
      <c r="D232" s="62"/>
      <c r="E232" s="62"/>
      <c r="F232" s="62"/>
      <c r="G232" s="86">
        <f>+G221-G223-G224-G225-G226-G229-G227-G228-G230-G231</f>
        <v>0</v>
      </c>
      <c r="I232" s="33">
        <f>G232-H232</f>
        <v>0</v>
      </c>
      <c r="J232" s="9" t="s">
        <v>22</v>
      </c>
    </row>
    <row r="233" spans="1:14" ht="15" hidden="1" thickBot="1" x14ac:dyDescent="0.35">
      <c r="A233" s="87" t="s">
        <v>16</v>
      </c>
      <c r="B233" s="88"/>
      <c r="C233" s="88"/>
      <c r="D233" s="88"/>
      <c r="E233" s="88"/>
      <c r="F233" s="88"/>
      <c r="G233" s="83"/>
    </row>
    <row r="234" spans="1:14" hidden="1" x14ac:dyDescent="0.3">
      <c r="A234" s="98" t="s">
        <v>12</v>
      </c>
      <c r="B234" s="99"/>
      <c r="C234" s="99"/>
      <c r="D234" s="99"/>
      <c r="E234" s="99"/>
      <c r="F234" s="99"/>
      <c r="G234" s="100"/>
    </row>
    <row r="235" spans="1:14" hidden="1" x14ac:dyDescent="0.3">
      <c r="A235" s="101" t="s">
        <v>13</v>
      </c>
      <c r="B235" s="102"/>
      <c r="C235" s="102"/>
      <c r="D235" s="102"/>
      <c r="E235" s="102"/>
      <c r="F235" s="102"/>
      <c r="G235" s="103"/>
    </row>
    <row r="236" spans="1:14" hidden="1" x14ac:dyDescent="0.3">
      <c r="A236" s="95">
        <v>43434</v>
      </c>
      <c r="B236" s="96"/>
      <c r="C236" s="96"/>
      <c r="D236" s="96"/>
      <c r="E236" s="96"/>
      <c r="F236" s="96"/>
      <c r="G236" s="97"/>
    </row>
    <row r="237" spans="1:14" s="17" customFormat="1" hidden="1" x14ac:dyDescent="0.3">
      <c r="A237" s="10"/>
      <c r="B237" s="11"/>
      <c r="C237" s="11"/>
      <c r="D237" s="11"/>
      <c r="E237" s="11"/>
      <c r="F237" s="11"/>
      <c r="G237" s="12"/>
      <c r="H237" s="16"/>
      <c r="M237" s="70"/>
      <c r="N237" s="70"/>
    </row>
    <row r="238" spans="1:14" hidden="1" x14ac:dyDescent="0.3">
      <c r="A238" s="13"/>
      <c r="B238" s="14" t="s">
        <v>5</v>
      </c>
      <c r="C238" s="14" t="s">
        <v>6</v>
      </c>
      <c r="D238" s="14" t="s">
        <v>7</v>
      </c>
      <c r="E238" s="14" t="s">
        <v>8</v>
      </c>
      <c r="F238" s="14" t="s">
        <v>9</v>
      </c>
      <c r="G238" s="15" t="s">
        <v>10</v>
      </c>
    </row>
    <row r="239" spans="1:14" hidden="1" x14ac:dyDescent="0.3">
      <c r="A239" s="13" t="s">
        <v>0</v>
      </c>
      <c r="B239" s="50"/>
      <c r="C239" s="50"/>
      <c r="D239" s="50"/>
      <c r="E239" s="50"/>
      <c r="F239" s="50"/>
      <c r="G239" s="28">
        <f>SUM(B239:F239)</f>
        <v>0</v>
      </c>
      <c r="H239" s="72"/>
    </row>
    <row r="240" spans="1:14" hidden="1" x14ac:dyDescent="0.3">
      <c r="A240" s="13" t="s">
        <v>1</v>
      </c>
      <c r="B240" s="50"/>
      <c r="C240" s="50"/>
      <c r="D240" s="50"/>
      <c r="E240" s="50"/>
      <c r="F240" s="50"/>
      <c r="G240" s="28">
        <f>SUM(B240:F240)</f>
        <v>0</v>
      </c>
      <c r="H240" s="72"/>
    </row>
    <row r="241" spans="1:10" hidden="1" x14ac:dyDescent="0.3">
      <c r="A241" s="13" t="s">
        <v>2</v>
      </c>
      <c r="B241" s="50"/>
      <c r="C241" s="50"/>
      <c r="D241" s="50"/>
      <c r="E241" s="50"/>
      <c r="F241" s="50"/>
      <c r="G241" s="28">
        <f>SUM(B241:F241)</f>
        <v>0</v>
      </c>
      <c r="H241" s="72"/>
    </row>
    <row r="242" spans="1:10" hidden="1" x14ac:dyDescent="0.3">
      <c r="A242" s="13" t="s">
        <v>3</v>
      </c>
      <c r="B242" s="50"/>
      <c r="C242" s="50"/>
      <c r="D242" s="50"/>
      <c r="E242" s="50"/>
      <c r="F242" s="50"/>
      <c r="G242" s="28">
        <f>SUM(B242:F242)</f>
        <v>0</v>
      </c>
      <c r="H242" s="72"/>
    </row>
    <row r="243" spans="1:10" hidden="1" x14ac:dyDescent="0.3">
      <c r="A243" s="13" t="s">
        <v>4</v>
      </c>
      <c r="B243" s="18"/>
      <c r="C243" s="50"/>
      <c r="D243" s="24"/>
      <c r="E243" s="24"/>
      <c r="F243" s="24"/>
      <c r="G243" s="19">
        <f>SUM(B243:F243)</f>
        <v>0</v>
      </c>
      <c r="H243" s="72"/>
      <c r="I243" s="74"/>
      <c r="J243" s="33"/>
    </row>
    <row r="244" spans="1:10" ht="15" hidden="1" thickBot="1" x14ac:dyDescent="0.35">
      <c r="A244" s="13" t="s">
        <v>18</v>
      </c>
      <c r="B244" s="40"/>
      <c r="C244" s="40"/>
      <c r="D244" s="40"/>
      <c r="E244" s="40"/>
      <c r="F244" s="40"/>
      <c r="G244" s="73"/>
      <c r="H244" s="72"/>
      <c r="I244" s="74"/>
    </row>
    <row r="245" spans="1:10" ht="15" hidden="1" thickBot="1" x14ac:dyDescent="0.35">
      <c r="A245" s="13"/>
      <c r="B245" s="42">
        <f>+B239-B240-B241-B242-B243</f>
        <v>0</v>
      </c>
      <c r="C245" s="42">
        <f>+C239-C240-C241-C242-C243</f>
        <v>0</v>
      </c>
      <c r="D245" s="42">
        <f>+D239-D240-D241-D242-D243</f>
        <v>0</v>
      </c>
      <c r="E245" s="42">
        <f>+E239-E240-E241-E242-E243</f>
        <v>0</v>
      </c>
      <c r="F245" s="42">
        <f>+F239-F240-F241-F242-F243</f>
        <v>0</v>
      </c>
      <c r="G245" s="43">
        <f>+G239-G240-G241-G242-G243-G244</f>
        <v>0</v>
      </c>
      <c r="I245" s="71"/>
    </row>
    <row r="246" spans="1:10" hidden="1" x14ac:dyDescent="0.3">
      <c r="A246" s="13"/>
      <c r="B246" s="44"/>
      <c r="C246" s="44"/>
      <c r="D246" s="44"/>
      <c r="E246" s="44"/>
      <c r="F246" s="44"/>
      <c r="G246" s="28"/>
      <c r="J246" s="33"/>
    </row>
    <row r="247" spans="1:10" hidden="1" x14ac:dyDescent="0.3">
      <c r="A247" s="13" t="s">
        <v>11</v>
      </c>
      <c r="B247" s="50"/>
      <c r="C247" s="50"/>
      <c r="D247" s="50"/>
      <c r="E247" s="50"/>
      <c r="F247" s="50"/>
      <c r="G247" s="28">
        <f t="shared" ref="G247:G254" si="17">SUM(B247:F247)</f>
        <v>0</v>
      </c>
      <c r="H247" s="72"/>
    </row>
    <row r="248" spans="1:10" hidden="1" x14ac:dyDescent="0.3">
      <c r="A248" s="13" t="s">
        <v>17</v>
      </c>
      <c r="B248" s="27"/>
      <c r="C248" s="27"/>
      <c r="D248" s="27"/>
      <c r="E248" s="27"/>
      <c r="F248" s="27"/>
      <c r="G248" s="28">
        <f t="shared" si="17"/>
        <v>0</v>
      </c>
      <c r="H248" s="72"/>
    </row>
    <row r="249" spans="1:10" hidden="1" x14ac:dyDescent="0.3">
      <c r="A249" s="13" t="s">
        <v>19</v>
      </c>
      <c r="B249" s="27"/>
      <c r="C249" s="27"/>
      <c r="D249" s="27"/>
      <c r="E249" s="27"/>
      <c r="F249" s="27"/>
      <c r="G249" s="28">
        <f t="shared" si="17"/>
        <v>0</v>
      </c>
      <c r="H249" s="72"/>
    </row>
    <row r="250" spans="1:10" hidden="1" x14ac:dyDescent="0.3">
      <c r="A250" s="13" t="s">
        <v>20</v>
      </c>
      <c r="B250" s="27"/>
      <c r="C250" s="27"/>
      <c r="D250" s="27"/>
      <c r="E250" s="27"/>
      <c r="F250" s="27"/>
      <c r="G250" s="28">
        <f t="shared" si="17"/>
        <v>0</v>
      </c>
    </row>
    <row r="251" spans="1:10" hidden="1" x14ac:dyDescent="0.3">
      <c r="A251" s="13" t="s">
        <v>292</v>
      </c>
      <c r="B251" s="27"/>
      <c r="C251" s="27"/>
      <c r="D251" s="27"/>
      <c r="E251" s="27"/>
      <c r="F251" s="27"/>
      <c r="G251" s="28">
        <f t="shared" si="17"/>
        <v>0</v>
      </c>
    </row>
    <row r="252" spans="1:10" hidden="1" x14ac:dyDescent="0.3">
      <c r="A252" s="13" t="s">
        <v>291</v>
      </c>
      <c r="B252" s="27"/>
      <c r="C252" s="27"/>
      <c r="D252" s="27"/>
      <c r="E252" s="27"/>
      <c r="F252" s="27"/>
      <c r="G252" s="28">
        <f t="shared" si="17"/>
        <v>0</v>
      </c>
    </row>
    <row r="253" spans="1:10" hidden="1" x14ac:dyDescent="0.3">
      <c r="A253" s="13" t="s">
        <v>21</v>
      </c>
      <c r="B253" s="27"/>
      <c r="C253" s="27"/>
      <c r="D253" s="27"/>
      <c r="E253" s="27"/>
      <c r="F253" s="27"/>
      <c r="G253" s="28">
        <f t="shared" si="17"/>
        <v>0</v>
      </c>
    </row>
    <row r="254" spans="1:10" hidden="1" x14ac:dyDescent="0.3">
      <c r="A254" s="85" t="s">
        <v>296</v>
      </c>
      <c r="B254" s="44"/>
      <c r="C254" s="44"/>
      <c r="D254" s="44"/>
      <c r="E254" s="44"/>
      <c r="F254" s="44"/>
      <c r="G254" s="28">
        <f t="shared" si="17"/>
        <v>0</v>
      </c>
      <c r="H254" s="8">
        <f>SUM(B255:F255)-G244</f>
        <v>0</v>
      </c>
      <c r="I254" s="33">
        <f>G255-H254</f>
        <v>0</v>
      </c>
      <c r="J254" s="8" t="s">
        <v>23</v>
      </c>
    </row>
    <row r="255" spans="1:10" hidden="1" x14ac:dyDescent="0.3">
      <c r="A255" s="13" t="s">
        <v>14</v>
      </c>
      <c r="B255" s="44"/>
      <c r="C255" s="44"/>
      <c r="D255" s="44"/>
      <c r="E255" s="44"/>
      <c r="F255" s="44"/>
      <c r="G255" s="86">
        <f>G245-G247-G248-G249-G250-G251-G252</f>
        <v>0</v>
      </c>
      <c r="I255" s="33">
        <f>G255-H255</f>
        <v>0</v>
      </c>
      <c r="J255" s="9" t="s">
        <v>22</v>
      </c>
    </row>
    <row r="256" spans="1:10" ht="15" hidden="1" thickBot="1" x14ac:dyDescent="0.35">
      <c r="A256" s="35" t="s">
        <v>16</v>
      </c>
      <c r="B256" s="47"/>
      <c r="C256" s="47"/>
      <c r="D256" s="47"/>
      <c r="E256" s="47"/>
      <c r="F256" s="47"/>
      <c r="G256" s="48"/>
    </row>
    <row r="257" spans="1:14" hidden="1" x14ac:dyDescent="0.3">
      <c r="A257" s="98" t="s">
        <v>12</v>
      </c>
      <c r="B257" s="99"/>
      <c r="C257" s="99"/>
      <c r="D257" s="99"/>
      <c r="E257" s="99"/>
      <c r="F257" s="99"/>
      <c r="G257" s="100"/>
      <c r="I257" s="33">
        <f>I255/2</f>
        <v>0</v>
      </c>
    </row>
    <row r="258" spans="1:14" hidden="1" x14ac:dyDescent="0.3">
      <c r="A258" s="101" t="s">
        <v>13</v>
      </c>
      <c r="B258" s="102"/>
      <c r="C258" s="102"/>
      <c r="D258" s="102"/>
      <c r="E258" s="102"/>
      <c r="F258" s="102"/>
      <c r="G258" s="103"/>
    </row>
    <row r="259" spans="1:14" hidden="1" x14ac:dyDescent="0.3">
      <c r="A259" s="95">
        <v>43465</v>
      </c>
      <c r="B259" s="96"/>
      <c r="C259" s="96"/>
      <c r="D259" s="96"/>
      <c r="E259" s="96"/>
      <c r="F259" s="96"/>
      <c r="G259" s="97"/>
    </row>
    <row r="260" spans="1:14" s="17" customFormat="1" hidden="1" x14ac:dyDescent="0.3">
      <c r="A260" s="10"/>
      <c r="B260" s="11"/>
      <c r="C260" s="11"/>
      <c r="D260" s="11"/>
      <c r="E260" s="11"/>
      <c r="F260" s="11"/>
      <c r="G260" s="12"/>
      <c r="H260" s="16"/>
      <c r="M260" s="70"/>
      <c r="N260" s="70"/>
    </row>
    <row r="261" spans="1:14" hidden="1" x14ac:dyDescent="0.3">
      <c r="A261" s="13"/>
      <c r="B261" s="14" t="s">
        <v>5</v>
      </c>
      <c r="C261" s="14" t="s">
        <v>6</v>
      </c>
      <c r="D261" s="14" t="s">
        <v>7</v>
      </c>
      <c r="E261" s="14" t="s">
        <v>8</v>
      </c>
      <c r="F261" s="14" t="s">
        <v>9</v>
      </c>
      <c r="G261" s="15" t="s">
        <v>10</v>
      </c>
    </row>
    <row r="262" spans="1:14" hidden="1" x14ac:dyDescent="0.3">
      <c r="A262" s="13" t="s">
        <v>0</v>
      </c>
      <c r="B262" s="50"/>
      <c r="C262" s="50"/>
      <c r="D262" s="50"/>
      <c r="E262" s="50"/>
      <c r="F262" s="50"/>
      <c r="G262" s="28">
        <f>SUM(B262:F262)</f>
        <v>0</v>
      </c>
    </row>
    <row r="263" spans="1:14" hidden="1" x14ac:dyDescent="0.3">
      <c r="A263" s="13" t="s">
        <v>1</v>
      </c>
      <c r="B263" s="50"/>
      <c r="C263" s="50"/>
      <c r="D263" s="50"/>
      <c r="E263" s="50"/>
      <c r="F263" s="50"/>
      <c r="G263" s="28">
        <f>SUM(B263:F263)</f>
        <v>0</v>
      </c>
    </row>
    <row r="264" spans="1:14" hidden="1" x14ac:dyDescent="0.3">
      <c r="A264" s="13" t="s">
        <v>2</v>
      </c>
      <c r="B264" s="50"/>
      <c r="C264" s="50"/>
      <c r="D264" s="50"/>
      <c r="E264" s="50"/>
      <c r="F264" s="50"/>
      <c r="G264" s="28">
        <f>SUM(B264:F264)</f>
        <v>0</v>
      </c>
    </row>
    <row r="265" spans="1:14" hidden="1" x14ac:dyDescent="0.3">
      <c r="A265" s="13" t="s">
        <v>3</v>
      </c>
      <c r="B265" s="50"/>
      <c r="C265" s="50"/>
      <c r="D265" s="50"/>
      <c r="E265" s="50"/>
      <c r="F265" s="50"/>
      <c r="G265" s="28">
        <f>SUM(B265:F265)</f>
        <v>0</v>
      </c>
    </row>
    <row r="266" spans="1:14" hidden="1" x14ac:dyDescent="0.3">
      <c r="A266" s="13" t="s">
        <v>4</v>
      </c>
      <c r="B266" s="50"/>
      <c r="C266" s="50"/>
      <c r="D266" s="50"/>
      <c r="E266" s="50"/>
      <c r="F266" s="50"/>
      <c r="G266" s="28">
        <f>SUM(B266:F266)</f>
        <v>0</v>
      </c>
    </row>
    <row r="267" spans="1:14" ht="15" hidden="1" thickBot="1" x14ac:dyDescent="0.35">
      <c r="A267" s="13" t="s">
        <v>18</v>
      </c>
      <c r="B267" s="40"/>
      <c r="C267" s="40"/>
      <c r="D267" s="40"/>
      <c r="E267" s="40"/>
      <c r="F267" s="40"/>
      <c r="G267" s="41"/>
    </row>
    <row r="268" spans="1:14" ht="15" hidden="1" thickBot="1" x14ac:dyDescent="0.35">
      <c r="A268" s="13"/>
      <c r="B268" s="42">
        <f>+B262-B263-B264-B265-B266</f>
        <v>0</v>
      </c>
      <c r="C268" s="42">
        <f>+C262-C263-C264-C265-C266</f>
        <v>0</v>
      </c>
      <c r="D268" s="42">
        <f>+D262-D263-D264-D265-D266</f>
        <v>0</v>
      </c>
      <c r="E268" s="42">
        <f>+E262-E263-E264-E265-E266</f>
        <v>0</v>
      </c>
      <c r="F268" s="42">
        <f>+F262-F263-F264-F265-F266</f>
        <v>0</v>
      </c>
      <c r="G268" s="43">
        <f>+G262-G263-G264-G265-G266-G267</f>
        <v>0</v>
      </c>
    </row>
    <row r="269" spans="1:14" hidden="1" x14ac:dyDescent="0.3">
      <c r="A269" s="13"/>
      <c r="B269" s="44"/>
      <c r="C269" s="44"/>
      <c r="D269" s="44"/>
      <c r="E269" s="44"/>
      <c r="F269" s="44"/>
      <c r="G269" s="28"/>
    </row>
    <row r="270" spans="1:14" hidden="1" x14ac:dyDescent="0.3">
      <c r="A270" s="13" t="s">
        <v>11</v>
      </c>
      <c r="B270" s="44"/>
      <c r="C270" s="44"/>
      <c r="D270" s="44"/>
      <c r="E270" s="44"/>
      <c r="F270" s="44"/>
      <c r="G270" s="28">
        <f t="shared" ref="G270:G276" si="18">SUM(B270:F270)</f>
        <v>0</v>
      </c>
    </row>
    <row r="271" spans="1:14" hidden="1" x14ac:dyDescent="0.3">
      <c r="A271" s="13" t="s">
        <v>17</v>
      </c>
      <c r="B271" s="27"/>
      <c r="C271" s="27"/>
      <c r="D271" s="27"/>
      <c r="E271" s="27"/>
      <c r="F271" s="27"/>
      <c r="G271" s="28">
        <f t="shared" si="18"/>
        <v>0</v>
      </c>
    </row>
    <row r="272" spans="1:14" hidden="1" x14ac:dyDescent="0.3">
      <c r="A272" s="13" t="s">
        <v>19</v>
      </c>
      <c r="B272" s="26"/>
      <c r="C272" s="26"/>
      <c r="D272" s="27"/>
      <c r="E272" s="27"/>
      <c r="F272" s="27"/>
      <c r="G272" s="28">
        <f t="shared" si="18"/>
        <v>0</v>
      </c>
    </row>
    <row r="273" spans="1:10" hidden="1" x14ac:dyDescent="0.3">
      <c r="A273" s="13" t="s">
        <v>20</v>
      </c>
      <c r="B273" s="27"/>
      <c r="C273" s="27"/>
      <c r="D273" s="27"/>
      <c r="E273" s="27"/>
      <c r="F273" s="27"/>
      <c r="G273" s="28">
        <f t="shared" si="18"/>
        <v>0</v>
      </c>
    </row>
    <row r="274" spans="1:10" hidden="1" x14ac:dyDescent="0.3">
      <c r="A274" s="13" t="s">
        <v>292</v>
      </c>
      <c r="B274" s="27"/>
      <c r="C274" s="27"/>
      <c r="D274" s="27"/>
      <c r="E274" s="27"/>
      <c r="F274" s="27"/>
      <c r="G274" s="28">
        <f t="shared" si="18"/>
        <v>0</v>
      </c>
    </row>
    <row r="275" spans="1:10" hidden="1" x14ac:dyDescent="0.3">
      <c r="A275" s="13" t="s">
        <v>291</v>
      </c>
      <c r="B275" s="27"/>
      <c r="C275" s="27"/>
      <c r="D275" s="27"/>
      <c r="E275" s="27"/>
      <c r="F275" s="27"/>
      <c r="G275" s="28">
        <f t="shared" si="18"/>
        <v>0</v>
      </c>
    </row>
    <row r="276" spans="1:10" hidden="1" x14ac:dyDescent="0.3">
      <c r="A276" s="13" t="s">
        <v>21</v>
      </c>
      <c r="B276" s="27"/>
      <c r="C276" s="27"/>
      <c r="D276" s="27"/>
      <c r="E276" s="27"/>
      <c r="F276" s="27"/>
      <c r="G276" s="28">
        <f t="shared" si="18"/>
        <v>0</v>
      </c>
    </row>
    <row r="277" spans="1:10" hidden="1" x14ac:dyDescent="0.3">
      <c r="A277" s="85" t="s">
        <v>297</v>
      </c>
      <c r="B277" s="27"/>
      <c r="C277" s="27"/>
      <c r="D277" s="27"/>
      <c r="E277" s="27"/>
      <c r="F277" s="27"/>
      <c r="G277" s="39">
        <f>SUM(B277:F277)</f>
        <v>0</v>
      </c>
      <c r="H277" s="8">
        <f>SUM(B278:F278)-G267</f>
        <v>0</v>
      </c>
      <c r="I277" s="33">
        <f>G278-H277</f>
        <v>0</v>
      </c>
      <c r="J277" s="8" t="s">
        <v>23</v>
      </c>
    </row>
    <row r="278" spans="1:10" hidden="1" x14ac:dyDescent="0.3">
      <c r="A278" s="13" t="s">
        <v>14</v>
      </c>
      <c r="B278" s="46"/>
      <c r="C278" s="46"/>
      <c r="D278" s="46"/>
      <c r="E278" s="46"/>
      <c r="F278" s="46"/>
      <c r="G278" s="51">
        <f>+G268-G270-G271-G272-G273-G276-G274-G275</f>
        <v>0</v>
      </c>
      <c r="I278" s="33">
        <f>G278-H278</f>
        <v>0</v>
      </c>
      <c r="J278" s="9" t="s">
        <v>22</v>
      </c>
    </row>
    <row r="279" spans="1:10" hidden="1" x14ac:dyDescent="0.3">
      <c r="A279" s="53" t="s">
        <v>16</v>
      </c>
      <c r="B279" s="44"/>
      <c r="C279" s="44"/>
      <c r="D279" s="44"/>
      <c r="E279" s="44"/>
      <c r="F279" s="44"/>
      <c r="G279" s="28"/>
    </row>
    <row r="280" spans="1:10" x14ac:dyDescent="0.3">
      <c r="A280" s="54" t="s">
        <v>13</v>
      </c>
      <c r="B280" s="55"/>
      <c r="C280" s="55"/>
      <c r="D280" s="55"/>
      <c r="E280" s="55"/>
      <c r="F280" s="55"/>
      <c r="G280" s="56"/>
    </row>
    <row r="281" spans="1:10" x14ac:dyDescent="0.3">
      <c r="A281" s="10" t="s">
        <v>15</v>
      </c>
      <c r="B281" s="11"/>
      <c r="C281" s="11"/>
      <c r="D281" s="11"/>
      <c r="E281" s="11"/>
      <c r="F281" s="11"/>
      <c r="G281" s="12"/>
    </row>
    <row r="282" spans="1:10" x14ac:dyDescent="0.3">
      <c r="A282" s="10"/>
      <c r="B282" s="11"/>
      <c r="C282" s="11"/>
      <c r="D282" s="11"/>
      <c r="E282" s="11"/>
      <c r="F282" s="11"/>
      <c r="G282" s="12"/>
    </row>
    <row r="283" spans="1:10" x14ac:dyDescent="0.3">
      <c r="A283" s="13"/>
      <c r="B283" s="14" t="s">
        <v>5</v>
      </c>
      <c r="C283" s="14" t="s">
        <v>6</v>
      </c>
      <c r="D283" s="14" t="s">
        <v>7</v>
      </c>
      <c r="E283" s="14" t="s">
        <v>8</v>
      </c>
      <c r="F283" s="14" t="s">
        <v>9</v>
      </c>
      <c r="G283" s="15" t="s">
        <v>10</v>
      </c>
    </row>
    <row r="284" spans="1:10" x14ac:dyDescent="0.3">
      <c r="A284" s="13" t="s">
        <v>0</v>
      </c>
      <c r="B284" s="90">
        <f t="shared" ref="B284:F288" si="19">+B6+B29+B52+B75+B99+B122+B145+B168+B191+B214+B239+B262</f>
        <v>457906563.70999998</v>
      </c>
      <c r="C284" s="90">
        <f t="shared" si="19"/>
        <v>1989101405.0200002</v>
      </c>
      <c r="D284" s="90">
        <f t="shared" si="19"/>
        <v>8049386.8099999996</v>
      </c>
      <c r="E284" s="90">
        <f t="shared" si="19"/>
        <v>8312379.8700000001</v>
      </c>
      <c r="F284" s="90">
        <f t="shared" si="19"/>
        <v>1677325.3900000001</v>
      </c>
      <c r="G284" s="28">
        <f t="shared" ref="G284:G289" si="20">SUM(B284:F284)</f>
        <v>2465047060.7999997</v>
      </c>
    </row>
    <row r="285" spans="1:10" x14ac:dyDescent="0.3">
      <c r="A285" s="13" t="s">
        <v>1</v>
      </c>
      <c r="B285" s="90">
        <f t="shared" si="19"/>
        <v>459968414.53999996</v>
      </c>
      <c r="C285" s="90">
        <f t="shared" si="19"/>
        <v>1992171881.79</v>
      </c>
      <c r="D285" s="90">
        <f t="shared" si="19"/>
        <v>7941554.29</v>
      </c>
      <c r="E285" s="90">
        <f t="shared" si="19"/>
        <v>9046965.6300000008</v>
      </c>
      <c r="F285" s="90">
        <f t="shared" si="19"/>
        <v>1656771.56</v>
      </c>
      <c r="G285" s="28">
        <f t="shared" si="20"/>
        <v>2470785587.8099999</v>
      </c>
    </row>
    <row r="286" spans="1:10" x14ac:dyDescent="0.3">
      <c r="A286" s="13" t="s">
        <v>2</v>
      </c>
      <c r="B286" s="90">
        <f t="shared" si="19"/>
        <v>-4621016.9799999893</v>
      </c>
      <c r="C286" s="90">
        <f t="shared" si="19"/>
        <v>177210.97999999113</v>
      </c>
      <c r="D286" s="90">
        <f t="shared" si="19"/>
        <v>-96499.9200000001</v>
      </c>
      <c r="E286" s="90">
        <f t="shared" si="19"/>
        <v>-51351.099999999962</v>
      </c>
      <c r="F286" s="90">
        <f t="shared" si="19"/>
        <v>0</v>
      </c>
      <c r="G286" s="28">
        <f t="shared" si="20"/>
        <v>-4591657.0199999977</v>
      </c>
    </row>
    <row r="287" spans="1:10" x14ac:dyDescent="0.3">
      <c r="A287" s="13" t="s">
        <v>3</v>
      </c>
      <c r="B287" s="90">
        <f t="shared" si="19"/>
        <v>-1775997.5700000077</v>
      </c>
      <c r="C287" s="90">
        <f t="shared" si="19"/>
        <v>-7520796.1300000027</v>
      </c>
      <c r="D287" s="90">
        <f t="shared" si="19"/>
        <v>90</v>
      </c>
      <c r="E287" s="90">
        <f t="shared" si="19"/>
        <v>0</v>
      </c>
      <c r="F287" s="90">
        <f t="shared" si="19"/>
        <v>0</v>
      </c>
      <c r="G287" s="28">
        <f t="shared" si="20"/>
        <v>-9296703.7000000104</v>
      </c>
    </row>
    <row r="288" spans="1:10" x14ac:dyDescent="0.3">
      <c r="A288" s="13" t="s">
        <v>4</v>
      </c>
      <c r="B288" s="90">
        <f t="shared" si="19"/>
        <v>3058124.2628400028</v>
      </c>
      <c r="C288" s="90">
        <f t="shared" si="19"/>
        <v>2910424.8437331957</v>
      </c>
      <c r="D288" s="90">
        <f t="shared" si="19"/>
        <v>87035.871369999368</v>
      </c>
      <c r="E288" s="90">
        <f t="shared" si="19"/>
        <v>-807158.24017500004</v>
      </c>
      <c r="F288" s="90">
        <f t="shared" si="19"/>
        <v>-7044.9800000000105</v>
      </c>
      <c r="G288" s="28">
        <f t="shared" si="20"/>
        <v>5241381.7577681961</v>
      </c>
    </row>
    <row r="289" spans="1:13" x14ac:dyDescent="0.3">
      <c r="A289" s="69" t="s">
        <v>298</v>
      </c>
      <c r="B289" s="90">
        <f>+B11+B34+B57+B80+B104+B127+B150+B173+B196+B219+B244+B267</f>
        <v>111322.78999999998</v>
      </c>
      <c r="C289" s="90">
        <f t="shared" ref="C289:F289" si="21">+C11+C34+C57+C80+C104+C127+C150+C173+C196+C219+C244+C267</f>
        <v>0</v>
      </c>
      <c r="D289" s="90">
        <f t="shared" si="21"/>
        <v>0</v>
      </c>
      <c r="E289" s="90">
        <f t="shared" si="21"/>
        <v>0</v>
      </c>
      <c r="F289" s="90">
        <f t="shared" si="21"/>
        <v>0</v>
      </c>
      <c r="G289" s="28">
        <f t="shared" si="20"/>
        <v>111322.78999999998</v>
      </c>
    </row>
    <row r="290" spans="1:13" x14ac:dyDescent="0.3">
      <c r="A290" s="13" t="s">
        <v>18</v>
      </c>
      <c r="B290" s="57"/>
      <c r="C290" s="57"/>
      <c r="D290" s="57"/>
      <c r="E290" s="57"/>
      <c r="F290" s="57"/>
      <c r="G290" s="28">
        <f>+G244+G220+G196+G173+G150+G127+G104+G81+G57+G34+G11+G267</f>
        <v>15869.059999999998</v>
      </c>
    </row>
    <row r="291" spans="1:13" ht="15" thickBot="1" x14ac:dyDescent="0.35">
      <c r="A291" s="13"/>
      <c r="B291" s="91">
        <f>+B284-SUM(B285:B289)</f>
        <v>1165716.6671600342</v>
      </c>
      <c r="C291" s="91">
        <f t="shared" ref="C291:F291" si="22">+C284-SUM(C285:C289)</f>
        <v>1362683.5362670422</v>
      </c>
      <c r="D291" s="91">
        <f t="shared" si="22"/>
        <v>117206.56862999965</v>
      </c>
      <c r="E291" s="91">
        <f t="shared" si="22"/>
        <v>123923.58017499931</v>
      </c>
      <c r="F291" s="91">
        <f t="shared" si="22"/>
        <v>27598.810000000056</v>
      </c>
      <c r="G291" s="43">
        <f>+G284-G285-G286-G287-G288-G290+G289</f>
        <v>3003905.6822315832</v>
      </c>
    </row>
    <row r="292" spans="1:13" ht="15" thickTop="1" x14ac:dyDescent="0.3">
      <c r="A292" s="13"/>
      <c r="B292" s="46"/>
      <c r="C292" s="46"/>
      <c r="D292" s="46"/>
      <c r="E292" s="46"/>
      <c r="F292" s="46"/>
      <c r="G292" s="19"/>
    </row>
    <row r="293" spans="1:13" x14ac:dyDescent="0.3">
      <c r="A293" s="13" t="s">
        <v>11</v>
      </c>
      <c r="B293" s="27">
        <f t="shared" ref="B293:F295" si="23">+B14+B37+B60+B84+B107+B130+B153+B176+B199+B223+B247+B270</f>
        <v>1374229.642614149</v>
      </c>
      <c r="C293" s="27">
        <f t="shared" si="23"/>
        <v>1355854.7119999959</v>
      </c>
      <c r="D293" s="27">
        <f t="shared" si="23"/>
        <v>87897.023499999952</v>
      </c>
      <c r="E293" s="27">
        <f t="shared" si="23"/>
        <v>83049.838200000086</v>
      </c>
      <c r="F293" s="27">
        <f t="shared" si="23"/>
        <v>26702.39</v>
      </c>
      <c r="G293" s="28">
        <f>SUM(B293:F293)</f>
        <v>2927733.6063141455</v>
      </c>
    </row>
    <row r="294" spans="1:13" x14ac:dyDescent="0.3">
      <c r="A294" s="13" t="s">
        <v>17</v>
      </c>
      <c r="B294" s="27">
        <f t="shared" si="23"/>
        <v>18247.57</v>
      </c>
      <c r="C294" s="27">
        <f t="shared" si="23"/>
        <v>6082.2931969977171</v>
      </c>
      <c r="D294" s="27">
        <f t="shared" si="23"/>
        <v>0</v>
      </c>
      <c r="E294" s="27">
        <f t="shared" si="23"/>
        <v>0</v>
      </c>
      <c r="F294" s="27">
        <f t="shared" si="23"/>
        <v>0</v>
      </c>
      <c r="G294" s="28">
        <f t="shared" ref="G294:G300" si="24">SUM(B294:F294)</f>
        <v>24329.863196997718</v>
      </c>
      <c r="M294" s="1"/>
    </row>
    <row r="295" spans="1:13" x14ac:dyDescent="0.3">
      <c r="A295" s="13" t="s">
        <v>19</v>
      </c>
      <c r="B295" s="27">
        <f t="shared" si="23"/>
        <v>108378.48999999999</v>
      </c>
      <c r="C295" s="27">
        <f t="shared" si="23"/>
        <v>42954.59</v>
      </c>
      <c r="D295" s="27">
        <f t="shared" si="23"/>
        <v>69211.049999999988</v>
      </c>
      <c r="E295" s="27">
        <f t="shared" si="23"/>
        <v>0</v>
      </c>
      <c r="F295" s="27">
        <f t="shared" si="23"/>
        <v>0</v>
      </c>
      <c r="G295" s="28">
        <f t="shared" si="24"/>
        <v>220544.12999999998</v>
      </c>
    </row>
    <row r="296" spans="1:13" x14ac:dyDescent="0.3">
      <c r="A296" s="13" t="s">
        <v>20</v>
      </c>
      <c r="B296" s="27">
        <f>+B17+B40+B63+B87+B110+B133+B156+B179+B203+B226+B250+B273</f>
        <v>-23642.630000000005</v>
      </c>
      <c r="C296" s="27">
        <f>+C17+C40+C63+C87+C110+C133+C156+C179+C203+C226+C250+C273</f>
        <v>-206351.13</v>
      </c>
      <c r="D296" s="27">
        <f>+D17+D40+D63+D87+D110+D133+D156+D179+D203+D226+D250+D273</f>
        <v>0</v>
      </c>
      <c r="E296" s="27">
        <f>+E17+E40+E63+E87+E110+E133+E156+E179+E203+E226+E250+E273</f>
        <v>0</v>
      </c>
      <c r="F296" s="27">
        <f>+F17+F40+F63+F87+F110+F133+F156+F179+F203+F226+F250+F273</f>
        <v>0</v>
      </c>
      <c r="G296" s="28">
        <f t="shared" si="24"/>
        <v>-229993.76</v>
      </c>
    </row>
    <row r="297" spans="1:13" x14ac:dyDescent="0.3">
      <c r="A297" s="13" t="s">
        <v>292</v>
      </c>
      <c r="B297" s="27">
        <f>B18+B41+B64+B88+B111+B134+B157+B180+B202+B227+B251+B274</f>
        <v>-39027.33</v>
      </c>
      <c r="C297" s="27">
        <f>C18+C41+C64+C88+C111+C134+C157+C180+C202+C227+C251+C274</f>
        <v>48267</v>
      </c>
      <c r="D297" s="27">
        <f>D18+D41+D64+D88+D111+D134+D157+D180+D202+D227+D251+D274</f>
        <v>0</v>
      </c>
      <c r="E297" s="27">
        <f>E18+E41+E64+E88+E111+E134+E157+E180+E202+E227+E251+E274</f>
        <v>0</v>
      </c>
      <c r="F297" s="27">
        <f>F18+F41+F64+F88+F111+F134+F157+F180+F202+F227+F251+F274</f>
        <v>0</v>
      </c>
      <c r="G297" s="28">
        <f>SUM(B297:F297)</f>
        <v>9239.6699999999983</v>
      </c>
    </row>
    <row r="298" spans="1:13" x14ac:dyDescent="0.3">
      <c r="A298" s="13" t="s">
        <v>21</v>
      </c>
      <c r="B298" s="27">
        <f>+B19+B42+B66+B90+B113+B136+B159+B182+B205+B229+B253+B276</f>
        <v>-129582</v>
      </c>
      <c r="C298" s="27">
        <f>+C19+C42+C66+C90+C113+C136+C159+C182+C205+C229+C253+C276</f>
        <v>0</v>
      </c>
      <c r="D298" s="27">
        <f>+D19+D42+D66+D90+D113+D136+D159+D182+D205+D229+D253+D276</f>
        <v>0</v>
      </c>
      <c r="E298" s="27">
        <f>+E19+E42+E66+E90+E113+E136+E159+E182+E205+E229+E253+E276</f>
        <v>0</v>
      </c>
      <c r="F298" s="27">
        <f>+F19+F42+F66+F90+F113+F136+F159+F182+F205+F229+F253+F276</f>
        <v>0</v>
      </c>
      <c r="G298" s="28">
        <f t="shared" si="24"/>
        <v>-129582</v>
      </c>
    </row>
    <row r="299" spans="1:13" x14ac:dyDescent="0.3">
      <c r="A299" s="13" t="s">
        <v>291</v>
      </c>
      <c r="B299" s="27">
        <f>+B20+B43+B65+B89+B112+B135+B158+B181+B204+B228+B252+B275</f>
        <v>-72000</v>
      </c>
      <c r="C299" s="27">
        <f>+C20+C43+C65+C89+C112+C135+C158+C181+C204+C228+C252+C275</f>
        <v>-68000</v>
      </c>
      <c r="D299" s="27">
        <f>+D20+D43+D65+D89+D112+D135+D158+D181+D204+D228+D252+D275</f>
        <v>0</v>
      </c>
      <c r="E299" s="27">
        <f>+E20+E43+E65+E89+E112+E135+E158+E181+E204+E228+E252+E275</f>
        <v>0</v>
      </c>
      <c r="F299" s="27">
        <f>+F20+F43+F65+F89+F112+F135+F158+F181+F204+F228+F252+F275</f>
        <v>0</v>
      </c>
      <c r="G299" s="28">
        <f t="shared" si="24"/>
        <v>-140000</v>
      </c>
    </row>
    <row r="300" spans="1:13" x14ac:dyDescent="0.3">
      <c r="A300" s="69" t="s">
        <v>299</v>
      </c>
      <c r="B300" s="61">
        <f>B91</f>
        <v>-4500</v>
      </c>
      <c r="C300" s="62"/>
      <c r="D300" s="62"/>
      <c r="E300" s="62"/>
      <c r="F300" s="62"/>
      <c r="G300" s="28">
        <f t="shared" si="24"/>
        <v>-4500</v>
      </c>
      <c r="H300" s="8">
        <f>SUM(B301:F301)-G290</f>
        <v>326134.17272072617</v>
      </c>
      <c r="I300" s="63">
        <f>G301-H300</f>
        <v>-2.8614886105060577E-7</v>
      </c>
      <c r="J300" s="8" t="s">
        <v>23</v>
      </c>
    </row>
    <row r="301" spans="1:13" x14ac:dyDescent="0.3">
      <c r="A301" s="13" t="s">
        <v>14</v>
      </c>
      <c r="B301" s="27">
        <f>+B22+B45+B68+B92+B115+B138+B161+B184+B207+B232+B255+B278</f>
        <v>156258.50454584713</v>
      </c>
      <c r="C301" s="27">
        <f>+C22+C45+C68+C92+C115+C138+C161+C184+C207+C232+C255+C278</f>
        <v>183876.07106987847</v>
      </c>
      <c r="D301" s="27">
        <f>+D22+D45+D68+D92+D115+D138+D161+D184+D207+D232+D255+D278</f>
        <v>-39901.50486999908</v>
      </c>
      <c r="E301" s="27">
        <f>+E22+E45+E68+E92+E115+E138+E161+E184+E207+E232+E255+E278</f>
        <v>40873.741974999684</v>
      </c>
      <c r="F301" s="27">
        <f>+F22+F45+F68+F92+F115+F138+F161+F184+F207+F232+F255+F278</f>
        <v>896.41999999996915</v>
      </c>
      <c r="G301" s="28">
        <f>+G291-G293-G294-G295-G296-G297-G298-G299-G300</f>
        <v>326134.17272044002</v>
      </c>
      <c r="H301" s="8">
        <f>'[1]P&amp;L Compare to Hedge 2018'!$N$45</f>
        <v>326134.17368568387</v>
      </c>
      <c r="I301" s="63">
        <f>G301-H301</f>
        <v>-9.6524384571239352E-4</v>
      </c>
      <c r="J301" s="64" t="s">
        <v>22</v>
      </c>
    </row>
    <row r="302" spans="1:13" ht="15" thickBot="1" x14ac:dyDescent="0.35">
      <c r="A302" s="35"/>
      <c r="B302" s="65"/>
      <c r="C302" s="65"/>
      <c r="D302" s="65"/>
      <c r="E302" s="65"/>
      <c r="F302" s="65"/>
      <c r="G302" s="28"/>
    </row>
    <row r="303" spans="1:13" x14ac:dyDescent="0.3">
      <c r="G303" s="68"/>
    </row>
  </sheetData>
  <mergeCells count="36">
    <mergeCell ref="A259:G259"/>
    <mergeCell ref="A186:G186"/>
    <mergeCell ref="A187:G187"/>
    <mergeCell ref="A188:G188"/>
    <mergeCell ref="A209:G209"/>
    <mergeCell ref="A210:G210"/>
    <mergeCell ref="A211:G211"/>
    <mergeCell ref="A234:G234"/>
    <mergeCell ref="A235:G235"/>
    <mergeCell ref="A236:G236"/>
    <mergeCell ref="A257:G257"/>
    <mergeCell ref="A258:G258"/>
    <mergeCell ref="A165:G165"/>
    <mergeCell ref="A94:G94"/>
    <mergeCell ref="A95:G95"/>
    <mergeCell ref="A96:G96"/>
    <mergeCell ref="A117:G117"/>
    <mergeCell ref="A118:G118"/>
    <mergeCell ref="A119:G119"/>
    <mergeCell ref="A140:G140"/>
    <mergeCell ref="A141:G141"/>
    <mergeCell ref="A142:G142"/>
    <mergeCell ref="A163:G163"/>
    <mergeCell ref="A164:G164"/>
    <mergeCell ref="A72:G72"/>
    <mergeCell ref="A1:G1"/>
    <mergeCell ref="A2:G2"/>
    <mergeCell ref="A3:G3"/>
    <mergeCell ref="A24:G24"/>
    <mergeCell ref="A25:G25"/>
    <mergeCell ref="A26:G26"/>
    <mergeCell ref="A47:G47"/>
    <mergeCell ref="A48:G48"/>
    <mergeCell ref="A49:G49"/>
    <mergeCell ref="A70:G70"/>
    <mergeCell ref="A71:G71"/>
  </mergeCells>
  <pageMargins left="0.7" right="0.7" top="0.5" bottom="0.5" header="0.3" footer="0.3"/>
  <pageSetup scale="66" fitToHeight="0" orientation="portrait" r:id="rId1"/>
  <rowBreaks count="4" manualBreakCount="4">
    <brk id="46" max="16383" man="1"/>
    <brk id="93" max="16383" man="1"/>
    <brk id="139" max="16383" man="1"/>
    <brk id="2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1"/>
  <sheetViews>
    <sheetView topLeftCell="A202" zoomScaleNormal="100" workbookViewId="0">
      <selection activeCell="B276" sqref="B276"/>
    </sheetView>
  </sheetViews>
  <sheetFormatPr defaultColWidth="8.6640625" defaultRowHeight="14.4" x14ac:dyDescent="0.3"/>
  <cols>
    <col min="1" max="1" width="32.33203125" style="9" bestFit="1" customWidth="1"/>
    <col min="2" max="2" width="19" style="67" bestFit="1" customWidth="1"/>
    <col min="3" max="3" width="19.109375" style="67" bestFit="1" customWidth="1"/>
    <col min="4" max="5" width="16.88671875" style="67" bestFit="1" customWidth="1"/>
    <col min="6" max="6" width="14.88671875" style="67" bestFit="1" customWidth="1"/>
    <col min="7" max="7" width="24" style="67" bestFit="1" customWidth="1"/>
    <col min="8" max="8" width="16.6640625" style="8" customWidth="1"/>
    <col min="9" max="9" width="16" style="9" bestFit="1" customWidth="1"/>
    <col min="10" max="10" width="14.33203125" style="9" bestFit="1" customWidth="1"/>
    <col min="11" max="12" width="8.6640625" style="9"/>
    <col min="13" max="13" width="13.33203125" style="67" bestFit="1" customWidth="1"/>
    <col min="14" max="14" width="14" style="67" bestFit="1" customWidth="1"/>
    <col min="15" max="16384" width="8.6640625" style="9"/>
  </cols>
  <sheetData>
    <row r="1" spans="1:14" x14ac:dyDescent="0.3">
      <c r="A1" s="98" t="s">
        <v>12</v>
      </c>
      <c r="B1" s="99"/>
      <c r="C1" s="99"/>
      <c r="D1" s="99"/>
      <c r="E1" s="99"/>
      <c r="F1" s="99"/>
      <c r="G1" s="100"/>
    </row>
    <row r="2" spans="1:14" x14ac:dyDescent="0.3">
      <c r="A2" s="101" t="s">
        <v>13</v>
      </c>
      <c r="B2" s="102"/>
      <c r="C2" s="102"/>
      <c r="D2" s="102"/>
      <c r="E2" s="102"/>
      <c r="F2" s="102"/>
      <c r="G2" s="103"/>
    </row>
    <row r="3" spans="1:14" x14ac:dyDescent="0.3">
      <c r="A3" s="95">
        <v>42736</v>
      </c>
      <c r="B3" s="96"/>
      <c r="C3" s="96"/>
      <c r="D3" s="96"/>
      <c r="E3" s="96"/>
      <c r="F3" s="96"/>
      <c r="G3" s="97"/>
    </row>
    <row r="4" spans="1:14" x14ac:dyDescent="0.3">
      <c r="A4" s="10"/>
      <c r="B4" s="11"/>
      <c r="C4" s="11"/>
      <c r="D4" s="11"/>
      <c r="E4" s="11"/>
      <c r="F4" s="11"/>
      <c r="G4" s="12"/>
    </row>
    <row r="5" spans="1:14" s="17" customFormat="1" x14ac:dyDescent="0.3">
      <c r="A5" s="13"/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5" t="s">
        <v>10</v>
      </c>
      <c r="H5" s="16"/>
      <c r="M5" s="70"/>
      <c r="N5" s="70"/>
    </row>
    <row r="6" spans="1:14" x14ac:dyDescent="0.3">
      <c r="A6" s="13" t="s">
        <v>0</v>
      </c>
      <c r="B6" s="18">
        <f>'[8]P&amp;L Compare to Hedge 2017'!$B$5</f>
        <v>113292957.56</v>
      </c>
      <c r="C6" s="18">
        <f>'[8]P&amp;L Compare to Hedge 2017'!$B$6</f>
        <v>90221763.13000001</v>
      </c>
      <c r="D6" s="18">
        <f>'[8]P&amp;L Compare to Hedge 2017'!$B$7</f>
        <v>4946963.82</v>
      </c>
      <c r="E6" s="18">
        <f>'[8]P&amp;L Compare to Hedge 2017'!$B$8</f>
        <v>185592.4</v>
      </c>
      <c r="F6" s="18">
        <f>'[8]P&amp;L Compare to Hedge 2017'!$B$9</f>
        <v>279150</v>
      </c>
      <c r="G6" s="19">
        <f>SUM(B6:F6)</f>
        <v>208926426.91</v>
      </c>
    </row>
    <row r="7" spans="1:14" x14ac:dyDescent="0.3">
      <c r="A7" s="13" t="s">
        <v>1</v>
      </c>
      <c r="B7" s="18">
        <f>'[8]P&amp;L Compare to Hedge 2017'!$B$13</f>
        <v>114600413.3</v>
      </c>
      <c r="C7" s="18">
        <f>'[8]P&amp;L Compare to Hedge 2017'!$B$14</f>
        <v>90316592.780000001</v>
      </c>
      <c r="D7" s="18">
        <f>'[8]P&amp;L Compare to Hedge 2017'!$B$15</f>
        <v>4831784.4699999988</v>
      </c>
      <c r="E7" s="18">
        <f>'[8]P&amp;L Compare to Hedge 2017'!$B$16</f>
        <v>1051677.48</v>
      </c>
      <c r="F7" s="18">
        <f>'[8]P&amp;L Compare to Hedge 2017'!$B$17</f>
        <v>285533.92</v>
      </c>
      <c r="G7" s="19">
        <f>SUM(B7:F7)</f>
        <v>211086001.94999996</v>
      </c>
    </row>
    <row r="8" spans="1:14" x14ac:dyDescent="0.3">
      <c r="A8" s="13" t="s">
        <v>2</v>
      </c>
      <c r="B8" s="18">
        <f>'[8]P&amp;L Compare to Hedge 2017'!$B$19</f>
        <v>-3736182.1200000048</v>
      </c>
      <c r="C8" s="18">
        <f>'[8]P&amp;L Compare to Hedge 2017'!$B$20</f>
        <v>-1769841.6999999881</v>
      </c>
      <c r="D8" s="18">
        <f>'[8]P&amp;L Compare to Hedge 2017'!$B$21</f>
        <v>-12472.790000000037</v>
      </c>
      <c r="E8" s="18">
        <f>'[8]P&amp;L Compare to Hedge 2017'!$B$22</f>
        <v>-77698.909999999974</v>
      </c>
      <c r="F8" s="18">
        <v>0</v>
      </c>
      <c r="G8" s="19">
        <f>SUM(B8:F8)</f>
        <v>-5596195.519999993</v>
      </c>
    </row>
    <row r="9" spans="1:14" x14ac:dyDescent="0.3">
      <c r="A9" s="13" t="s">
        <v>3</v>
      </c>
      <c r="B9" s="18">
        <f>'[8]P&amp;L Compare to Hedge 2017'!$B$24</f>
        <v>-338579.8900000006</v>
      </c>
      <c r="C9" s="18">
        <f>'[8]P&amp;L Compare to Hedge 2017'!$B$25</f>
        <v>7772987.3100000024</v>
      </c>
      <c r="D9" s="18">
        <f>'[8]P&amp;L Compare to Hedge 2017'!$B$26</f>
        <v>685</v>
      </c>
      <c r="E9" s="18">
        <f>'[8]P&amp;L Compare to Hedge 2017'!$B$27</f>
        <v>0</v>
      </c>
      <c r="F9" s="18">
        <v>0</v>
      </c>
      <c r="G9" s="19">
        <f>SUM(B9:F9)</f>
        <v>7435092.4200000018</v>
      </c>
    </row>
    <row r="10" spans="1:14" ht="15" thickBot="1" x14ac:dyDescent="0.35">
      <c r="A10" s="13" t="s">
        <v>4</v>
      </c>
      <c r="B10" s="18">
        <v>2604388.2200000002</v>
      </c>
      <c r="C10" s="18">
        <v>-5927484.3099999996</v>
      </c>
      <c r="D10" s="18">
        <f>'[9]Mkg to Mkt Platinum  '!$E$28</f>
        <v>61617.767739999807</v>
      </c>
      <c r="E10" s="18">
        <f>'[9]Mkg to Mkt Palladium'!$E$28</f>
        <v>-792480.57759999973</v>
      </c>
      <c r="F10" s="18">
        <f>'[9]Mkg to Mkt Rhodium'!$E$28</f>
        <v>-9626.9199999999983</v>
      </c>
      <c r="G10" s="19">
        <f>SUM(B10:F10)</f>
        <v>-4063585.8198599992</v>
      </c>
    </row>
    <row r="11" spans="1:14" ht="15" thickBot="1" x14ac:dyDescent="0.35">
      <c r="A11" s="13" t="s">
        <v>18</v>
      </c>
      <c r="B11" s="20"/>
      <c r="C11" s="20"/>
      <c r="D11" s="20"/>
      <c r="E11" s="20"/>
      <c r="F11" s="20"/>
      <c r="G11" s="21">
        <f>'[8]P&amp;L Compare to Hedge 2017'!$B$30</f>
        <v>-8318.14</v>
      </c>
    </row>
    <row r="12" spans="1:14" ht="15" thickBot="1" x14ac:dyDescent="0.35">
      <c r="A12" s="13"/>
      <c r="B12" s="22">
        <f>+B6-B7-B8-B9-B10</f>
        <v>162918.05000001052</v>
      </c>
      <c r="C12" s="22">
        <f>+C6-C7-C8-C9-C10</f>
        <v>-170490.95000000577</v>
      </c>
      <c r="D12" s="22">
        <f>+D6-D7-D8-D9-D10</f>
        <v>65349.372260001721</v>
      </c>
      <c r="E12" s="22">
        <f>+E6-E7-E8-E9-E10</f>
        <v>4094.4075999998022</v>
      </c>
      <c r="F12" s="22">
        <f>+F6-F7-F8-F9-F10</f>
        <v>3243.0000000000146</v>
      </c>
      <c r="G12" s="23">
        <f>+G6-G7-G8-G9-G10-G11</f>
        <v>73432.019860028624</v>
      </c>
    </row>
    <row r="13" spans="1:14" ht="15" thickTop="1" x14ac:dyDescent="0.3">
      <c r="A13" s="13"/>
      <c r="B13" s="24"/>
      <c r="C13" s="24"/>
      <c r="D13" s="24"/>
      <c r="E13" s="24"/>
      <c r="F13" s="24"/>
      <c r="G13" s="19"/>
    </row>
    <row r="14" spans="1:14" x14ac:dyDescent="0.3">
      <c r="A14" s="13" t="s">
        <v>11</v>
      </c>
      <c r="B14" s="24">
        <v>273619.06</v>
      </c>
      <c r="C14" s="25">
        <f>'[10]Comparison 2016-2017'!$C$30</f>
        <v>204094.75699999259</v>
      </c>
      <c r="D14" s="24">
        <v>36892.76</v>
      </c>
      <c r="E14" s="24">
        <v>5324.77</v>
      </c>
      <c r="F14" s="24">
        <v>3309</v>
      </c>
      <c r="G14" s="19">
        <f t="shared" ref="G14:G20" si="0">SUM(B14:F14)</f>
        <v>523240.34699999262</v>
      </c>
      <c r="I14" s="93">
        <v>16850</v>
      </c>
    </row>
    <row r="15" spans="1:14" x14ac:dyDescent="0.3">
      <c r="A15" s="13" t="s">
        <v>17</v>
      </c>
      <c r="B15" s="26">
        <v>2891.05</v>
      </c>
      <c r="C15" s="26">
        <v>2587.65</v>
      </c>
      <c r="D15" s="26">
        <v>0</v>
      </c>
      <c r="E15" s="26">
        <v>0</v>
      </c>
      <c r="F15" s="26">
        <v>0</v>
      </c>
      <c r="G15" s="19">
        <f t="shared" si="0"/>
        <v>5478.7000000000007</v>
      </c>
      <c r="I15" s="93">
        <v>39820</v>
      </c>
    </row>
    <row r="16" spans="1:14" x14ac:dyDescent="0.3">
      <c r="A16" s="13" t="s">
        <v>19</v>
      </c>
      <c r="B16" s="26">
        <f>[11]Jan!$B$10</f>
        <v>46484.15</v>
      </c>
      <c r="C16" s="26">
        <f>[11]Jan!$B$20</f>
        <v>15757.79</v>
      </c>
      <c r="D16" s="26">
        <f>[11]Jan!$B$26</f>
        <v>4167.29</v>
      </c>
      <c r="E16" s="26">
        <v>0</v>
      </c>
      <c r="F16" s="26">
        <v>0</v>
      </c>
      <c r="G16" s="19">
        <f t="shared" si="0"/>
        <v>66409.23</v>
      </c>
      <c r="I16" s="9">
        <v>102165</v>
      </c>
    </row>
    <row r="17" spans="1:14" x14ac:dyDescent="0.3">
      <c r="A17" s="13" t="s">
        <v>20</v>
      </c>
      <c r="B17" s="26">
        <v>-38405</v>
      </c>
      <c r="C17" s="26">
        <v>-33430</v>
      </c>
      <c r="D17" s="26"/>
      <c r="E17" s="26"/>
      <c r="F17" s="26"/>
      <c r="G17" s="19">
        <f t="shared" si="0"/>
        <v>-71835</v>
      </c>
      <c r="I17" s="71">
        <v>65135</v>
      </c>
    </row>
    <row r="18" spans="1:14" x14ac:dyDescent="0.3">
      <c r="A18" s="13" t="s">
        <v>292</v>
      </c>
      <c r="B18" s="27">
        <v>7589.52</v>
      </c>
      <c r="C18" s="27">
        <v>-29213</v>
      </c>
      <c r="D18" s="27">
        <v>-2275</v>
      </c>
      <c r="E18" s="27"/>
      <c r="F18" s="27"/>
      <c r="G18" s="28">
        <f t="shared" si="0"/>
        <v>-23898.48</v>
      </c>
      <c r="I18" s="74">
        <f>SUM(I14:I17)</f>
        <v>223970</v>
      </c>
    </row>
    <row r="19" spans="1:14" x14ac:dyDescent="0.3">
      <c r="A19" s="13" t="s">
        <v>21</v>
      </c>
      <c r="B19" s="26"/>
      <c r="C19" s="26"/>
      <c r="D19" s="26"/>
      <c r="E19" s="26"/>
      <c r="F19" s="26"/>
      <c r="G19" s="19">
        <f t="shared" si="0"/>
        <v>0</v>
      </c>
    </row>
    <row r="20" spans="1:14" x14ac:dyDescent="0.3">
      <c r="A20" s="13" t="s">
        <v>291</v>
      </c>
      <c r="B20" s="26">
        <v>-18000</v>
      </c>
      <c r="C20" s="26">
        <v>-17000</v>
      </c>
      <c r="D20" s="26"/>
      <c r="E20" s="26"/>
      <c r="F20" s="26"/>
      <c r="G20" s="19">
        <f t="shared" si="0"/>
        <v>-35000</v>
      </c>
    </row>
    <row r="21" spans="1:14" x14ac:dyDescent="0.3">
      <c r="A21" s="13"/>
      <c r="B21" s="24"/>
      <c r="C21" s="24"/>
      <c r="D21" s="24"/>
      <c r="E21" s="24"/>
      <c r="F21" s="24"/>
      <c r="G21" s="19"/>
    </row>
    <row r="22" spans="1:14" x14ac:dyDescent="0.3">
      <c r="A22" s="13" t="s">
        <v>14</v>
      </c>
      <c r="B22" s="92">
        <f>+B12-SUM(B14:B20)</f>
        <v>-111260.7299999895</v>
      </c>
      <c r="C22" s="29">
        <f t="shared" ref="C22:G22" si="1">+C12-SUM(C14:C20)</f>
        <v>-313288.14699999837</v>
      </c>
      <c r="D22" s="30">
        <f t="shared" si="1"/>
        <v>26564.322260001718</v>
      </c>
      <c r="E22" s="29">
        <f t="shared" si="1"/>
        <v>-1230.3624000001982</v>
      </c>
      <c r="F22" s="29">
        <f t="shared" si="1"/>
        <v>-65.999999999985448</v>
      </c>
      <c r="G22" s="31">
        <f t="shared" si="1"/>
        <v>-390962.77713996393</v>
      </c>
      <c r="H22" s="32">
        <f>SUM(B22:F22)-G11</f>
        <v>-390962.77713998634</v>
      </c>
      <c r="I22" s="33">
        <f>G22-H22</f>
        <v>2.2409949451684952E-8</v>
      </c>
      <c r="J22" s="34" t="s">
        <v>23</v>
      </c>
    </row>
    <row r="23" spans="1:14" ht="15" thickBot="1" x14ac:dyDescent="0.35">
      <c r="A23" s="35" t="s">
        <v>16</v>
      </c>
      <c r="B23" s="36">
        <v>1208.5999999999999</v>
      </c>
      <c r="C23" s="36">
        <v>17.512</v>
      </c>
      <c r="D23" s="36">
        <v>993</v>
      </c>
      <c r="E23" s="36">
        <v>754.35</v>
      </c>
      <c r="F23" s="36">
        <v>780</v>
      </c>
      <c r="G23" s="37"/>
      <c r="H23" s="38">
        <f>'[8]P&amp;L Compare to Hedge 2017'!$B$43</f>
        <v>-390962.77468910383</v>
      </c>
      <c r="I23" s="33">
        <f>G22-H23</f>
        <v>-2.4508601054549217E-3</v>
      </c>
      <c r="J23" s="9" t="s">
        <v>22</v>
      </c>
    </row>
    <row r="24" spans="1:14" x14ac:dyDescent="0.3">
      <c r="A24" s="98" t="s">
        <v>12</v>
      </c>
      <c r="B24" s="99"/>
      <c r="C24" s="99"/>
      <c r="D24" s="99"/>
      <c r="E24" s="99"/>
      <c r="F24" s="99"/>
      <c r="G24" s="100"/>
    </row>
    <row r="25" spans="1:14" x14ac:dyDescent="0.3">
      <c r="A25" s="101" t="s">
        <v>13</v>
      </c>
      <c r="B25" s="102"/>
      <c r="C25" s="102"/>
      <c r="D25" s="102"/>
      <c r="E25" s="102"/>
      <c r="F25" s="102"/>
      <c r="G25" s="103"/>
    </row>
    <row r="26" spans="1:14" x14ac:dyDescent="0.3">
      <c r="A26" s="95">
        <v>42767</v>
      </c>
      <c r="B26" s="96"/>
      <c r="C26" s="96"/>
      <c r="D26" s="96"/>
      <c r="E26" s="96"/>
      <c r="F26" s="96"/>
      <c r="G26" s="97"/>
    </row>
    <row r="27" spans="1:14" x14ac:dyDescent="0.3">
      <c r="A27" s="10"/>
      <c r="B27" s="11"/>
      <c r="C27" s="11"/>
      <c r="D27" s="11"/>
      <c r="E27" s="11"/>
      <c r="F27" s="11"/>
      <c r="G27" s="12"/>
    </row>
    <row r="28" spans="1:14" s="17" customFormat="1" x14ac:dyDescent="0.3">
      <c r="A28" s="13"/>
      <c r="B28" s="14" t="s">
        <v>5</v>
      </c>
      <c r="C28" s="14" t="s">
        <v>6</v>
      </c>
      <c r="D28" s="14" t="s">
        <v>7</v>
      </c>
      <c r="E28" s="14" t="s">
        <v>8</v>
      </c>
      <c r="F28" s="14" t="s">
        <v>9</v>
      </c>
      <c r="G28" s="15" t="s">
        <v>10</v>
      </c>
      <c r="H28" s="16"/>
      <c r="M28" s="70"/>
      <c r="N28" s="70"/>
    </row>
    <row r="29" spans="1:14" x14ac:dyDescent="0.3">
      <c r="A29" s="13" t="s">
        <v>0</v>
      </c>
      <c r="B29" s="18">
        <f>'[8]P&amp;L Compare to Hedge 2017'!$C$5</f>
        <v>260646292.20999998</v>
      </c>
      <c r="C29" s="18">
        <f>'[8]P&amp;L Compare to Hedge 2017'!$C$6</f>
        <v>222835104.54999998</v>
      </c>
      <c r="D29" s="18">
        <f>'[8]P&amp;L Compare to Hedge 2017'!$C$7</f>
        <v>4167692.78</v>
      </c>
      <c r="E29" s="18">
        <f>'[8]P&amp;L Compare to Hedge 2017'!$C$8</f>
        <v>236566</v>
      </c>
      <c r="F29" s="18">
        <f>'[8]P&amp;L Compare to Hedge 2017'!$C$9</f>
        <v>32897</v>
      </c>
      <c r="G29" s="28">
        <f>SUM(B29:F29)</f>
        <v>487918552.53999996</v>
      </c>
    </row>
    <row r="30" spans="1:14" x14ac:dyDescent="0.3">
      <c r="A30" s="13" t="s">
        <v>1</v>
      </c>
      <c r="B30" s="18">
        <f>'[8]P&amp;L Compare to Hedge 2017'!$C$13</f>
        <v>259673240.20999998</v>
      </c>
      <c r="C30" s="18">
        <f>'[8]P&amp;L Compare to Hedge 2017'!$C$14</f>
        <v>219799824.44</v>
      </c>
      <c r="D30" s="18">
        <f>'[8]P&amp;L Compare to Hedge 2017'!$C$15</f>
        <v>4081089</v>
      </c>
      <c r="E30" s="18">
        <f>'[8]P&amp;L Compare to Hedge 2017'!$C$16</f>
        <v>234941.33</v>
      </c>
      <c r="F30" s="18">
        <f>'[8]P&amp;L Compare to Hedge 2017'!$C$17</f>
        <v>32513.55</v>
      </c>
      <c r="G30" s="28">
        <f>SUM(B30:F30)</f>
        <v>483821608.52999997</v>
      </c>
    </row>
    <row r="31" spans="1:14" x14ac:dyDescent="0.3">
      <c r="A31" s="13" t="s">
        <v>2</v>
      </c>
      <c r="B31" s="18">
        <f>'[8]P&amp;L Compare to Hedge 2017'!$C$19</f>
        <v>-1219396.5999999642</v>
      </c>
      <c r="C31" s="18">
        <f>'[8]P&amp;L Compare to Hedge 2017'!$C$20</f>
        <v>-3186079.0799999833</v>
      </c>
      <c r="D31" s="18">
        <f>'[8]P&amp;L Compare to Hedge 2017'!$C$21</f>
        <v>-13259.540000000037</v>
      </c>
      <c r="E31" s="18">
        <f>'[8]P&amp;L Compare to Hedge 2017'!$C$22</f>
        <v>-113347.17000000004</v>
      </c>
      <c r="F31" s="18">
        <v>0</v>
      </c>
      <c r="G31" s="28">
        <f>SUM(B31:F31)</f>
        <v>-4532082.3899999475</v>
      </c>
    </row>
    <row r="32" spans="1:14" x14ac:dyDescent="0.3">
      <c r="A32" s="13" t="s">
        <v>3</v>
      </c>
      <c r="B32" s="18">
        <f>'[8]P&amp;L Compare to Hedge 2017'!$C$24</f>
        <v>150178</v>
      </c>
      <c r="C32" s="18">
        <f>'[8]P&amp;L Compare to Hedge 2017'!$C$25</f>
        <v>7057344.9700000063</v>
      </c>
      <c r="D32" s="18">
        <f>'[8]P&amp;L Compare to Hedge 2017'!$C$26</f>
        <v>51220</v>
      </c>
      <c r="E32" s="18">
        <f>'[8]P&amp;L Compare to Hedge 2017'!$C$27</f>
        <v>360</v>
      </c>
      <c r="F32" s="18">
        <v>0</v>
      </c>
      <c r="G32" s="28">
        <f>SUM(B32:F32)</f>
        <v>7259102.9700000063</v>
      </c>
    </row>
    <row r="33" spans="1:10" ht="15" thickBot="1" x14ac:dyDescent="0.35">
      <c r="A33" s="13" t="s">
        <v>4</v>
      </c>
      <c r="B33" s="18">
        <f>'[12]Mrkg to Mkt Gold'!$E$28-577</f>
        <v>1765321.7772700042</v>
      </c>
      <c r="C33" s="18">
        <f>'[12]Mkg to Mkt Silver'!$E$28</f>
        <v>-1232258.584613204</v>
      </c>
      <c r="D33" s="18">
        <f>'[12]Mkg to Mkt Platinum  '!$E$28</f>
        <v>27975.451649999712</v>
      </c>
      <c r="E33" s="18">
        <f>'[12]Mkg to Mkt Palladium'!$E$28</f>
        <v>110474.52804999996</v>
      </c>
      <c r="F33" s="18">
        <f>'[12]Mkg to Mkt Rhodium'!$E$28</f>
        <v>-171.55000000000291</v>
      </c>
      <c r="G33" s="39">
        <f>SUM(B33:F33)</f>
        <v>671341.62235679978</v>
      </c>
    </row>
    <row r="34" spans="1:10" ht="15" thickBot="1" x14ac:dyDescent="0.35">
      <c r="A34" s="13" t="s">
        <v>18</v>
      </c>
      <c r="B34" s="40"/>
      <c r="C34" s="40"/>
      <c r="D34" s="40"/>
      <c r="E34" s="40"/>
      <c r="F34" s="40"/>
      <c r="G34" s="41">
        <f>'[8]P&amp;L Compare to Hedge 2017'!$C$30</f>
        <v>10768.95</v>
      </c>
    </row>
    <row r="35" spans="1:10" ht="15" thickBot="1" x14ac:dyDescent="0.35">
      <c r="A35" s="13"/>
      <c r="B35" s="42">
        <f>+B29-B30-B31-B32-B33</f>
        <v>276948.82272996008</v>
      </c>
      <c r="C35" s="42">
        <f>+C29-C30-C31-C32-C33</f>
        <v>396272.80461316556</v>
      </c>
      <c r="D35" s="42">
        <f>+D29-D30-D31-D32-D33</f>
        <v>20667.868350000121</v>
      </c>
      <c r="E35" s="42">
        <f>+E29-E30-E31-E32-E33</f>
        <v>4137.3119500000903</v>
      </c>
      <c r="F35" s="42">
        <f>+F29-F30-F31-F32-F33</f>
        <v>555.00000000000364</v>
      </c>
      <c r="G35" s="43">
        <f>+G29-G30-G31-G32-G33-G34</f>
        <v>687812.85764313291</v>
      </c>
    </row>
    <row r="36" spans="1:10" ht="15" thickTop="1" x14ac:dyDescent="0.3">
      <c r="A36" s="13"/>
      <c r="B36" s="44"/>
      <c r="C36" s="44"/>
      <c r="D36" s="44"/>
      <c r="E36" s="44"/>
      <c r="F36" s="44"/>
      <c r="G36" s="28"/>
    </row>
    <row r="37" spans="1:10" x14ac:dyDescent="0.3">
      <c r="A37" s="13" t="s">
        <v>11</v>
      </c>
      <c r="B37" s="45">
        <f>'[10]Comparison 2016-2017'!$B$54</f>
        <v>314033.32491452864</v>
      </c>
      <c r="C37" s="45">
        <f>'[10]Comparison 2016-2017'!$C$54</f>
        <v>257599.90500000524</v>
      </c>
      <c r="D37" s="45">
        <f>'[10]Comparison 2016-2017'!$D$54</f>
        <v>40456.950840000005</v>
      </c>
      <c r="E37" s="45">
        <f>'[10]Comparison 2016-2017'!$E$54</f>
        <v>8687.8480000000382</v>
      </c>
      <c r="F37" s="45">
        <f>'[10]Comparison 2016-2017'!$F$54</f>
        <v>465</v>
      </c>
      <c r="G37" s="28">
        <f t="shared" ref="G37:G43" si="2">SUM(B37:F37)</f>
        <v>621243.02875453397</v>
      </c>
    </row>
    <row r="38" spans="1:10" x14ac:dyDescent="0.3">
      <c r="A38" s="13" t="s">
        <v>17</v>
      </c>
      <c r="B38" s="18">
        <v>2351.84</v>
      </c>
      <c r="C38" s="18">
        <v>850.22</v>
      </c>
      <c r="D38" s="18">
        <v>0</v>
      </c>
      <c r="E38" s="18">
        <v>0</v>
      </c>
      <c r="F38" s="18">
        <v>0</v>
      </c>
      <c r="G38" s="28">
        <f t="shared" si="2"/>
        <v>3202.0600000000004</v>
      </c>
    </row>
    <row r="39" spans="1:10" x14ac:dyDescent="0.3">
      <c r="A39" s="13" t="s">
        <v>19</v>
      </c>
      <c r="B39" s="18">
        <v>20843.34</v>
      </c>
      <c r="C39" s="18">
        <v>0</v>
      </c>
      <c r="D39" s="18">
        <v>0</v>
      </c>
      <c r="E39" s="18">
        <v>0</v>
      </c>
      <c r="F39" s="18">
        <v>0</v>
      </c>
      <c r="G39" s="28">
        <f t="shared" si="2"/>
        <v>20843.34</v>
      </c>
    </row>
    <row r="40" spans="1:10" x14ac:dyDescent="0.3">
      <c r="A40" s="13" t="s">
        <v>20</v>
      </c>
      <c r="B40" s="18">
        <v>-18639.25</v>
      </c>
      <c r="C40" s="18">
        <v>-63994.33</v>
      </c>
      <c r="D40" s="18"/>
      <c r="E40" s="18"/>
      <c r="F40" s="18"/>
      <c r="G40" s="28">
        <f t="shared" si="2"/>
        <v>-82633.58</v>
      </c>
    </row>
    <row r="41" spans="1:10" x14ac:dyDescent="0.3">
      <c r="A41" s="13" t="s">
        <v>292</v>
      </c>
      <c r="B41" s="27">
        <v>-2050.75</v>
      </c>
      <c r="C41" s="27">
        <v>-28926</v>
      </c>
      <c r="D41" s="27">
        <v>-350</v>
      </c>
      <c r="E41" s="27"/>
      <c r="F41" s="27"/>
      <c r="G41" s="28">
        <f t="shared" si="2"/>
        <v>-31326.75</v>
      </c>
    </row>
    <row r="42" spans="1:10" x14ac:dyDescent="0.3">
      <c r="A42" s="13" t="s">
        <v>21</v>
      </c>
      <c r="B42" s="18"/>
      <c r="C42" s="18"/>
      <c r="D42" s="18"/>
      <c r="E42" s="18"/>
      <c r="F42" s="18"/>
      <c r="G42" s="28">
        <f t="shared" si="2"/>
        <v>0</v>
      </c>
    </row>
    <row r="43" spans="1:10" x14ac:dyDescent="0.3">
      <c r="A43" s="13" t="s">
        <v>291</v>
      </c>
      <c r="B43" s="18">
        <v>-18000</v>
      </c>
      <c r="C43" s="18">
        <v>-17000</v>
      </c>
      <c r="D43" s="18"/>
      <c r="E43" s="18"/>
      <c r="F43" s="18"/>
      <c r="G43" s="28">
        <f t="shared" si="2"/>
        <v>-35000</v>
      </c>
    </row>
    <row r="44" spans="1:10" x14ac:dyDescent="0.3">
      <c r="A44" s="13"/>
      <c r="B44" s="18"/>
      <c r="C44" s="18"/>
      <c r="D44" s="18"/>
      <c r="E44" s="18"/>
      <c r="F44" s="18"/>
      <c r="G44" s="28"/>
    </row>
    <row r="45" spans="1:10" x14ac:dyDescent="0.3">
      <c r="A45" s="13" t="s">
        <v>14</v>
      </c>
      <c r="B45" s="46">
        <f>+B35-SUM(B37:B43)</f>
        <v>-21589.682184568606</v>
      </c>
      <c r="C45" s="46">
        <f t="shared" ref="C45:G45" si="3">+C35-SUM(C37:C43)</f>
        <v>247743.00961316033</v>
      </c>
      <c r="D45" s="46">
        <f t="shared" si="3"/>
        <v>-19439.082489999884</v>
      </c>
      <c r="E45" s="46">
        <f t="shared" si="3"/>
        <v>-4550.5360499999479</v>
      </c>
      <c r="F45" s="46">
        <f t="shared" si="3"/>
        <v>90.000000000003638</v>
      </c>
      <c r="G45" s="28">
        <f t="shared" si="3"/>
        <v>191484.75888859888</v>
      </c>
      <c r="H45" s="8">
        <f>SUM(B45:F45)-G34</f>
        <v>191484.7588885919</v>
      </c>
      <c r="I45" s="33">
        <f>G45-H45</f>
        <v>6.9849193096160889E-9</v>
      </c>
      <c r="J45" s="8" t="s">
        <v>23</v>
      </c>
    </row>
    <row r="46" spans="1:10" ht="15" thickBot="1" x14ac:dyDescent="0.35">
      <c r="A46" s="35" t="s">
        <v>16</v>
      </c>
      <c r="B46" s="47">
        <v>1252.5999999999999</v>
      </c>
      <c r="C46" s="47">
        <v>18.420000000000002</v>
      </c>
      <c r="D46" s="47">
        <v>1029.5</v>
      </c>
      <c r="E46" s="47">
        <v>770.7</v>
      </c>
      <c r="F46" s="47">
        <v>835</v>
      </c>
      <c r="G46" s="48"/>
      <c r="H46" s="8">
        <f>'[8]P&amp;L Compare to Hedge 2017'!$C$43</f>
        <v>191484.75999995461</v>
      </c>
      <c r="I46" s="49">
        <f>G45-H46</f>
        <v>-1.1113557266071439E-3</v>
      </c>
      <c r="J46" s="9" t="s">
        <v>22</v>
      </c>
    </row>
    <row r="47" spans="1:10" x14ac:dyDescent="0.3">
      <c r="A47" s="98" t="s">
        <v>12</v>
      </c>
      <c r="B47" s="99"/>
      <c r="C47" s="99"/>
      <c r="D47" s="99"/>
      <c r="E47" s="99"/>
      <c r="F47" s="99"/>
      <c r="G47" s="100"/>
    </row>
    <row r="48" spans="1:10" x14ac:dyDescent="0.3">
      <c r="A48" s="101" t="s">
        <v>13</v>
      </c>
      <c r="B48" s="102"/>
      <c r="C48" s="102"/>
      <c r="D48" s="102"/>
      <c r="E48" s="102"/>
      <c r="F48" s="102"/>
      <c r="G48" s="103"/>
    </row>
    <row r="49" spans="1:14" x14ac:dyDescent="0.3">
      <c r="A49" s="95">
        <v>42795</v>
      </c>
      <c r="B49" s="96"/>
      <c r="C49" s="96"/>
      <c r="D49" s="96"/>
      <c r="E49" s="96"/>
      <c r="F49" s="96"/>
      <c r="G49" s="97"/>
    </row>
    <row r="50" spans="1:14" x14ac:dyDescent="0.3">
      <c r="A50" s="10"/>
      <c r="B50" s="11"/>
      <c r="C50" s="11"/>
      <c r="D50" s="11"/>
      <c r="E50" s="11"/>
      <c r="F50" s="11"/>
      <c r="G50" s="12"/>
    </row>
    <row r="51" spans="1:14" s="17" customFormat="1" x14ac:dyDescent="0.3">
      <c r="A51" s="13"/>
      <c r="B51" s="14" t="s">
        <v>5</v>
      </c>
      <c r="C51" s="14" t="s">
        <v>6</v>
      </c>
      <c r="D51" s="14" t="s">
        <v>7</v>
      </c>
      <c r="E51" s="14" t="s">
        <v>8</v>
      </c>
      <c r="F51" s="14" t="s">
        <v>9</v>
      </c>
      <c r="G51" s="15" t="s">
        <v>10</v>
      </c>
      <c r="H51" s="16"/>
      <c r="M51" s="70"/>
      <c r="N51" s="70"/>
    </row>
    <row r="52" spans="1:14" x14ac:dyDescent="0.3">
      <c r="A52" s="13" t="s">
        <v>0</v>
      </c>
      <c r="B52" s="18">
        <f>'[8]P&amp;L Compare to Hedge 2017'!$D$5</f>
        <v>452862499.41000003</v>
      </c>
      <c r="C52" s="18">
        <f>'[8]P&amp;L Compare to Hedge 2017'!$D$6</f>
        <v>192586113.47</v>
      </c>
      <c r="D52" s="18">
        <f>'[8]P&amp;L Compare to Hedge 2017'!$D$7</f>
        <v>1719517.32</v>
      </c>
      <c r="E52" s="18">
        <f>'[8]P&amp;L Compare to Hedge 2017'!$D$8</f>
        <v>654012.59</v>
      </c>
      <c r="F52" s="18">
        <f>'[8]P&amp;L Compare to Hedge 2017'!$D$9</f>
        <v>136200</v>
      </c>
      <c r="G52" s="28">
        <f>SUM(B52:F52)</f>
        <v>647958342.79000008</v>
      </c>
    </row>
    <row r="53" spans="1:14" x14ac:dyDescent="0.3">
      <c r="A53" s="13" t="s">
        <v>1</v>
      </c>
      <c r="B53" s="18">
        <f>'[8]P&amp;L Compare to Hedge 2017'!$D$13</f>
        <v>453187867.13999999</v>
      </c>
      <c r="C53" s="18">
        <f>'[8]P&amp;L Compare to Hedge 2017'!$D$14</f>
        <v>195458059.97999996</v>
      </c>
      <c r="D53" s="18">
        <f>'[8]P&amp;L Compare to Hedge 2017'!$D$15</f>
        <v>1744086.53</v>
      </c>
      <c r="E53" s="18">
        <f>'[8]P&amp;L Compare to Hedge 2017'!$D$16</f>
        <v>644522.26</v>
      </c>
      <c r="F53" s="18">
        <f>'[8]P&amp;L Compare to Hedge 2017'!$D$17</f>
        <v>123460.41</v>
      </c>
      <c r="G53" s="28">
        <f>SUM(B53:F53)</f>
        <v>651157996.31999981</v>
      </c>
    </row>
    <row r="54" spans="1:14" x14ac:dyDescent="0.3">
      <c r="A54" s="13" t="s">
        <v>2</v>
      </c>
      <c r="B54" s="18">
        <f>'[8]P&amp;L Compare to Hedge 2017'!$D$19</f>
        <v>119281.87999999523</v>
      </c>
      <c r="C54" s="18">
        <f>'[8]P&amp;L Compare to Hedge 2017'!$D$20</f>
        <v>-1811991.4200000167</v>
      </c>
      <c r="D54" s="18">
        <f>'[8]P&amp;L Compare to Hedge 2017'!$D$21</f>
        <v>0</v>
      </c>
      <c r="E54" s="18">
        <f>'[8]P&amp;L Compare to Hedge 2017'!$D$22</f>
        <v>-144481.57999999996</v>
      </c>
      <c r="F54" s="18">
        <v>0</v>
      </c>
      <c r="G54" s="28">
        <f>SUM(B54:F54)</f>
        <v>-1837191.1200000215</v>
      </c>
    </row>
    <row r="55" spans="1:14" x14ac:dyDescent="0.3">
      <c r="A55" s="13" t="s">
        <v>3</v>
      </c>
      <c r="B55" s="18">
        <f>'[8]P&amp;L Compare to Hedge 2017'!$D$24</f>
        <v>-162763.21000000089</v>
      </c>
      <c r="C55" s="18">
        <f>'[8]P&amp;L Compare to Hedge 2017'!$D$25</f>
        <v>-4259704.9899999946</v>
      </c>
      <c r="D55" s="18">
        <f>'[8]P&amp;L Compare to Hedge 2017'!$D$26</f>
        <v>-140610</v>
      </c>
      <c r="E55" s="18">
        <f>'[8]P&amp;L Compare to Hedge 2017'!$D$27</f>
        <v>0</v>
      </c>
      <c r="F55" s="18">
        <v>0</v>
      </c>
      <c r="G55" s="28">
        <f>SUM(B55:F55)</f>
        <v>-4563078.1999999955</v>
      </c>
    </row>
    <row r="56" spans="1:14" ht="15" thickBot="1" x14ac:dyDescent="0.35">
      <c r="A56" s="13" t="s">
        <v>4</v>
      </c>
      <c r="B56" s="18">
        <f>'[13]Mrkg to Mkt Gold'!$E$28</f>
        <v>-698149.35293997824</v>
      </c>
      <c r="C56" s="18">
        <f>'[13]Mkg to Mkt Silver'!$E$28-1808</f>
        <v>2769151.3817039914</v>
      </c>
      <c r="D56" s="18">
        <f>'[13]Mkg to Mkt Platinum  '!$E$28</f>
        <v>99687.68142999988</v>
      </c>
      <c r="E56" s="18">
        <f>'[13]Mkg to Mkt Palladium'!$E$28</f>
        <v>129602.30129999999</v>
      </c>
      <c r="F56" s="18">
        <f>'[13]Mkg to Mkt Rhodium'!$E$28</f>
        <v>5866.0900000000111</v>
      </c>
      <c r="G56" s="39">
        <f>SUM(B56:F56)</f>
        <v>2306158.1014940129</v>
      </c>
    </row>
    <row r="57" spans="1:14" ht="15" thickBot="1" x14ac:dyDescent="0.35">
      <c r="A57" s="13" t="s">
        <v>18</v>
      </c>
      <c r="B57" s="40"/>
      <c r="C57" s="40"/>
      <c r="D57" s="40"/>
      <c r="E57" s="40"/>
      <c r="F57" s="40"/>
      <c r="G57" s="41">
        <f>'[8]P&amp;L Compare to Hedge 2017'!$D$30</f>
        <v>15840.98</v>
      </c>
    </row>
    <row r="58" spans="1:14" ht="15" thickBot="1" x14ac:dyDescent="0.35">
      <c r="A58" s="13"/>
      <c r="B58" s="42">
        <f>+B52-B53-B54-B55-B56</f>
        <v>416262.95294002444</v>
      </c>
      <c r="C58" s="42">
        <f>+C52-C53-C54-C55-C56</f>
        <v>430598.51829605922</v>
      </c>
      <c r="D58" s="42">
        <f>+D52-D53-D54-D55-D56</f>
        <v>16353.108570000157</v>
      </c>
      <c r="E58" s="42">
        <f>+E52-E53-E54-E55-E56</f>
        <v>24369.608699999924</v>
      </c>
      <c r="F58" s="42">
        <f>+F52-F53-F54-F55-F56</f>
        <v>6873.4999999999854</v>
      </c>
      <c r="G58" s="43">
        <f>+G52-G53-G54-G55-G56-G57</f>
        <v>878616.70850627124</v>
      </c>
    </row>
    <row r="59" spans="1:14" ht="15" thickTop="1" x14ac:dyDescent="0.3">
      <c r="A59" s="13"/>
      <c r="B59" s="44"/>
      <c r="C59" s="44"/>
      <c r="D59" s="44"/>
      <c r="E59" s="44"/>
      <c r="F59" s="44"/>
      <c r="G59" s="28"/>
    </row>
    <row r="60" spans="1:14" x14ac:dyDescent="0.3">
      <c r="A60" s="13" t="s">
        <v>11</v>
      </c>
      <c r="B60" s="18">
        <f>'[10]Comparison 2016-2017'!$B$80</f>
        <v>388667.79440233373</v>
      </c>
      <c r="C60" s="18">
        <f>'[10]Comparison 2016-2017'!$C$80</f>
        <v>272352.82319998508</v>
      </c>
      <c r="D60" s="18">
        <f>'[10]Comparison 2016-2017'!$D$80</f>
        <v>19843.741699999977</v>
      </c>
      <c r="E60" s="18">
        <f>'[10]Comparison 2016-2017'!$E$80</f>
        <v>14786.800000000076</v>
      </c>
      <c r="F60" s="18">
        <f>'[10]Comparison 2016-2017'!$F$80</f>
        <v>4323</v>
      </c>
      <c r="G60" s="28">
        <f t="shared" ref="G60:G66" si="4">SUM(B60:F60)</f>
        <v>699974.15930231882</v>
      </c>
    </row>
    <row r="61" spans="1:14" x14ac:dyDescent="0.3">
      <c r="A61" s="13" t="s">
        <v>17</v>
      </c>
      <c r="B61" s="18">
        <v>7676.89</v>
      </c>
      <c r="C61" s="18">
        <v>2350.4899999999998</v>
      </c>
      <c r="D61" s="18"/>
      <c r="E61" s="18"/>
      <c r="F61" s="18"/>
      <c r="G61" s="28">
        <f t="shared" si="4"/>
        <v>10027.380000000001</v>
      </c>
    </row>
    <row r="62" spans="1:14" x14ac:dyDescent="0.3">
      <c r="A62" s="13" t="s">
        <v>19</v>
      </c>
      <c r="B62" s="18">
        <f>'[8]P&amp;L Compare to Hedge 2017'!$D$37</f>
        <v>28589.71</v>
      </c>
      <c r="C62" s="18"/>
      <c r="D62" s="18"/>
      <c r="E62" s="18"/>
      <c r="F62" s="18"/>
      <c r="G62" s="28">
        <f t="shared" si="4"/>
        <v>28589.71</v>
      </c>
    </row>
    <row r="63" spans="1:14" x14ac:dyDescent="0.3">
      <c r="A63" s="13" t="s">
        <v>20</v>
      </c>
      <c r="B63" s="18">
        <v>-19572.37</v>
      </c>
      <c r="C63" s="18">
        <v>-35255.46</v>
      </c>
      <c r="D63" s="18"/>
      <c r="E63" s="18"/>
      <c r="F63" s="18"/>
      <c r="G63" s="28">
        <f t="shared" si="4"/>
        <v>-54827.83</v>
      </c>
    </row>
    <row r="64" spans="1:14" x14ac:dyDescent="0.3">
      <c r="A64" s="13" t="s">
        <v>292</v>
      </c>
      <c r="B64" s="27">
        <v>7386.14</v>
      </c>
      <c r="C64" s="27">
        <v>46165</v>
      </c>
      <c r="D64" s="27">
        <v>1725</v>
      </c>
      <c r="E64" s="27"/>
      <c r="F64" s="27"/>
      <c r="G64" s="28">
        <f t="shared" si="4"/>
        <v>55276.14</v>
      </c>
    </row>
    <row r="65" spans="1:14" x14ac:dyDescent="0.3">
      <c r="A65" s="13" t="s">
        <v>291</v>
      </c>
      <c r="B65" s="18">
        <v>-18000</v>
      </c>
      <c r="C65" s="18">
        <v>-17000</v>
      </c>
      <c r="D65" s="18"/>
      <c r="E65" s="18"/>
      <c r="F65" s="18"/>
      <c r="G65" s="28">
        <f t="shared" si="4"/>
        <v>-35000</v>
      </c>
    </row>
    <row r="66" spans="1:14" x14ac:dyDescent="0.3">
      <c r="A66" s="13" t="s">
        <v>21</v>
      </c>
      <c r="B66" s="18"/>
      <c r="C66" s="18"/>
      <c r="D66" s="18"/>
      <c r="E66" s="18"/>
      <c r="F66" s="18"/>
      <c r="G66" s="28">
        <f t="shared" si="4"/>
        <v>0</v>
      </c>
    </row>
    <row r="67" spans="1:14" x14ac:dyDescent="0.3">
      <c r="A67" s="13"/>
      <c r="B67" s="18"/>
      <c r="C67" s="18"/>
      <c r="D67" s="18"/>
      <c r="E67" s="18"/>
      <c r="F67" s="18"/>
      <c r="G67" s="28"/>
      <c r="H67" s="8">
        <f>SUM(B68:F68)-G57</f>
        <v>174577.14920376477</v>
      </c>
      <c r="I67" s="33">
        <f>G68-H67</f>
        <v>1.8763239495456219E-7</v>
      </c>
      <c r="J67" s="8" t="s">
        <v>23</v>
      </c>
    </row>
    <row r="68" spans="1:14" x14ac:dyDescent="0.3">
      <c r="A68" s="13" t="s">
        <v>14</v>
      </c>
      <c r="B68" s="46">
        <f t="shared" ref="B68:G68" si="5">+B58-SUM(B60:B66)</f>
        <v>21514.788537690649</v>
      </c>
      <c r="C68" s="46">
        <f t="shared" si="5"/>
        <v>161985.66509607411</v>
      </c>
      <c r="D68" s="46">
        <f t="shared" si="5"/>
        <v>-5215.6331299998201</v>
      </c>
      <c r="E68" s="46">
        <f t="shared" si="5"/>
        <v>9582.8086999998486</v>
      </c>
      <c r="F68" s="46">
        <f t="shared" si="5"/>
        <v>2550.4999999999854</v>
      </c>
      <c r="G68" s="28">
        <f t="shared" si="5"/>
        <v>174577.1492039524</v>
      </c>
      <c r="H68" s="8">
        <f>'[8]P&amp;L Compare to Hedge 2017'!$D$43</f>
        <v>174377.15069807682</v>
      </c>
      <c r="I68" s="49">
        <f>G68-H68</f>
        <v>199.99850587558467</v>
      </c>
      <c r="J68" s="9" t="s">
        <v>22</v>
      </c>
    </row>
    <row r="69" spans="1:14" ht="15" thickBot="1" x14ac:dyDescent="0.35">
      <c r="A69" s="35" t="s">
        <v>16</v>
      </c>
      <c r="B69" s="47">
        <v>1247.3</v>
      </c>
      <c r="C69" s="47">
        <v>18.234999999999999</v>
      </c>
      <c r="D69" s="47">
        <v>948.2</v>
      </c>
      <c r="E69" s="47">
        <v>798.15</v>
      </c>
      <c r="F69" s="47">
        <v>925</v>
      </c>
      <c r="G69" s="48"/>
    </row>
    <row r="70" spans="1:14" x14ac:dyDescent="0.3">
      <c r="A70" s="98" t="s">
        <v>12</v>
      </c>
      <c r="B70" s="99"/>
      <c r="C70" s="99"/>
      <c r="D70" s="99"/>
      <c r="E70" s="99"/>
      <c r="F70" s="99"/>
      <c r="G70" s="100"/>
    </row>
    <row r="71" spans="1:14" x14ac:dyDescent="0.3">
      <c r="A71" s="101" t="s">
        <v>13</v>
      </c>
      <c r="B71" s="102"/>
      <c r="C71" s="102"/>
      <c r="D71" s="102"/>
      <c r="E71" s="102"/>
      <c r="F71" s="102"/>
      <c r="G71" s="103"/>
    </row>
    <row r="72" spans="1:14" x14ac:dyDescent="0.3">
      <c r="A72" s="95">
        <v>42826</v>
      </c>
      <c r="B72" s="96"/>
      <c r="C72" s="96"/>
      <c r="D72" s="96"/>
      <c r="E72" s="96"/>
      <c r="F72" s="96"/>
      <c r="G72" s="97"/>
    </row>
    <row r="73" spans="1:14" s="17" customFormat="1" x14ac:dyDescent="0.3">
      <c r="A73" s="10"/>
      <c r="B73" s="11"/>
      <c r="C73" s="11"/>
      <c r="D73" s="11"/>
      <c r="E73" s="11"/>
      <c r="F73" s="11"/>
      <c r="G73" s="12"/>
      <c r="H73" s="16"/>
      <c r="M73" s="70"/>
      <c r="N73" s="70"/>
    </row>
    <row r="74" spans="1:14" x14ac:dyDescent="0.3">
      <c r="A74" s="13"/>
      <c r="B74" s="14" t="s">
        <v>5</v>
      </c>
      <c r="C74" s="14" t="s">
        <v>6</v>
      </c>
      <c r="D74" s="14" t="s">
        <v>7</v>
      </c>
      <c r="E74" s="14" t="s">
        <v>8</v>
      </c>
      <c r="F74" s="14" t="s">
        <v>9</v>
      </c>
      <c r="G74" s="15" t="s">
        <v>10</v>
      </c>
    </row>
    <row r="75" spans="1:14" x14ac:dyDescent="0.3">
      <c r="A75" s="13" t="s">
        <v>0</v>
      </c>
      <c r="B75" s="50">
        <f>'[8]P&amp;L Compare to Hedge 2017'!$E$5</f>
        <v>138950529.63</v>
      </c>
      <c r="C75" s="50">
        <f>'[8]P&amp;L Compare to Hedge 2017'!$E$6</f>
        <v>117683488.83</v>
      </c>
      <c r="D75" s="50">
        <f>'[8]P&amp;L Compare to Hedge 2017'!$E$7</f>
        <v>853604.24</v>
      </c>
      <c r="E75" s="50">
        <f>'[8]P&amp;L Compare to Hedge 2017'!$E$8</f>
        <v>1124364.54</v>
      </c>
      <c r="F75" s="50">
        <f>'[8]P&amp;L Compare to Hedge 2017'!$E$9</f>
        <v>408565</v>
      </c>
      <c r="G75" s="28">
        <f>SUM(B75:F75)</f>
        <v>259020552.23999998</v>
      </c>
    </row>
    <row r="76" spans="1:14" x14ac:dyDescent="0.3">
      <c r="A76" s="13" t="s">
        <v>1</v>
      </c>
      <c r="B76" s="50">
        <f>'[8]P&amp;L Compare to Hedge 2017'!$E$13</f>
        <v>136867628.21000001</v>
      </c>
      <c r="C76" s="50">
        <f>'[8]P&amp;L Compare to Hedge 2017'!$E$14</f>
        <v>113899494.25</v>
      </c>
      <c r="D76" s="50">
        <f>'[8]P&amp;L Compare to Hedge 2017'!$E$15</f>
        <v>860338.0199999999</v>
      </c>
      <c r="E76" s="50">
        <f>'[8]P&amp;L Compare to Hedge 2017'!$E$16</f>
        <v>1091165.6500000001</v>
      </c>
      <c r="F76" s="50">
        <f>'[8]P&amp;L Compare to Hedge 2017'!$E$17</f>
        <v>389335.35</v>
      </c>
      <c r="G76" s="28">
        <f>SUM(B76:F76)</f>
        <v>253107961.48000002</v>
      </c>
    </row>
    <row r="77" spans="1:14" x14ac:dyDescent="0.3">
      <c r="A77" s="13" t="s">
        <v>2</v>
      </c>
      <c r="B77" s="50">
        <f>'[8]P&amp;L Compare to Hedge 2017'!$E$19</f>
        <v>-184774.81999999285</v>
      </c>
      <c r="C77" s="50">
        <f>'[8]P&amp;L Compare to Hedge 2017'!$E$20</f>
        <v>6581080.8300001621</v>
      </c>
      <c r="D77" s="50">
        <f>'[8]P&amp;L Compare to Hedge 2017'!$E$21</f>
        <v>0</v>
      </c>
      <c r="E77" s="50">
        <f>'[8]P&amp;L Compare to Hedge 2017'!$E$22</f>
        <v>0</v>
      </c>
      <c r="F77" s="50">
        <v>0</v>
      </c>
      <c r="G77" s="28">
        <f>SUM(B77:F77)</f>
        <v>6396306.0100001693</v>
      </c>
    </row>
    <row r="78" spans="1:14" x14ac:dyDescent="0.3">
      <c r="A78" s="13" t="s">
        <v>3</v>
      </c>
      <c r="B78" s="50">
        <f>'[8]P&amp;L Compare to Hedge 2017'!$E$24</f>
        <v>10522.839999999851</v>
      </c>
      <c r="C78" s="50">
        <f>'[8]P&amp;L Compare to Hedge 2017'!$E$25</f>
        <v>-6829771.3100000024</v>
      </c>
      <c r="D78" s="50">
        <f>'[8]P&amp;L Compare to Hedge 2017'!$E$26</f>
        <v>6250</v>
      </c>
      <c r="E78" s="50">
        <f>'[8]P&amp;L Compare to Hedge 2017'!$E$27</f>
        <v>0</v>
      </c>
      <c r="F78" s="50">
        <v>0</v>
      </c>
      <c r="G78" s="28">
        <f>SUM(B78:F78)</f>
        <v>-6812998.4700000025</v>
      </c>
    </row>
    <row r="79" spans="1:14" ht="15" thickBot="1" x14ac:dyDescent="0.35">
      <c r="A79" s="13" t="s">
        <v>4</v>
      </c>
      <c r="B79" s="18">
        <f>'[14]Mrkg to Mkt Gold'!$E$28-18631.35</f>
        <v>1821535.286669971</v>
      </c>
      <c r="C79" s="18">
        <f>'[14]Mkg to Mkt Silver'!$E$28-3198.64</f>
        <v>3807312.1926431288</v>
      </c>
      <c r="D79" s="24">
        <f>'[14]Mkg to Mkt Platinum  '!$E$28</f>
        <v>-54467.335799999069</v>
      </c>
      <c r="E79" s="24">
        <f>'[14]Mkg to Mkt Palladium'!$E$28</f>
        <v>25663.975050000154</v>
      </c>
      <c r="F79" s="24">
        <f>'[14]Mkg to Mkt Rhodium'!$E$28</f>
        <v>11349.649999999994</v>
      </c>
      <c r="G79" s="28">
        <f>SUM(B79:F79)</f>
        <v>5611393.7685631011</v>
      </c>
    </row>
    <row r="80" spans="1:14" ht="15" thickBot="1" x14ac:dyDescent="0.35">
      <c r="A80" s="13" t="s">
        <v>18</v>
      </c>
      <c r="B80" s="40"/>
      <c r="C80" s="40"/>
      <c r="D80" s="40"/>
      <c r="E80" s="40"/>
      <c r="F80" s="40"/>
      <c r="G80" s="41">
        <f>'[8]P&amp;L Compare to Hedge 2017'!$E$30</f>
        <v>8369.92</v>
      </c>
    </row>
    <row r="81" spans="1:14" ht="15" thickBot="1" x14ac:dyDescent="0.35">
      <c r="A81" s="13"/>
      <c r="B81" s="42">
        <f>+B75-B76-B77-B78-B79</f>
        <v>435618.11333000893</v>
      </c>
      <c r="C81" s="42">
        <f>+C75-C76-C77-C78-C79</f>
        <v>225372.86735670967</v>
      </c>
      <c r="D81" s="42">
        <f>+D75-D76-D77-D78-D79</f>
        <v>41483.555799999158</v>
      </c>
      <c r="E81" s="42">
        <f>+E75-E76-E77-E78-E79</f>
        <v>7534.9149499997438</v>
      </c>
      <c r="F81" s="42">
        <f>+F75-F76-F77-F78-F79</f>
        <v>7880.0000000000291</v>
      </c>
      <c r="G81" s="43">
        <f>+G75-G76-G77-G78-G79-G80</f>
        <v>709519.53143669281</v>
      </c>
    </row>
    <row r="82" spans="1:14" ht="15" thickTop="1" x14ac:dyDescent="0.3">
      <c r="A82" s="13"/>
      <c r="B82" s="44"/>
      <c r="C82" s="44"/>
      <c r="D82" s="44"/>
      <c r="E82" s="44"/>
      <c r="F82" s="44"/>
      <c r="G82" s="28"/>
    </row>
    <row r="83" spans="1:14" x14ac:dyDescent="0.3">
      <c r="A83" s="13" t="s">
        <v>11</v>
      </c>
      <c r="B83" s="44">
        <f>'[10]Comparison 2016-2017'!$B$105</f>
        <v>391053.95542266534</v>
      </c>
      <c r="C83" s="44">
        <f>'[10]Comparison 2016-2017'!$C$105</f>
        <v>279401.27740005101</v>
      </c>
      <c r="D83" s="44">
        <f>'[10]Comparison 2016-2017'!$D$105</f>
        <v>11881.590100000001</v>
      </c>
      <c r="E83" s="44">
        <f>'[10]Comparison 2016-2017'!$E$105</f>
        <v>11560.738999999989</v>
      </c>
      <c r="F83" s="44">
        <f>'[10]Comparison 2016-2017'!$F$105</f>
        <v>3898</v>
      </c>
      <c r="G83" s="28">
        <f t="shared" ref="G83:G89" si="6">SUM(B83:F83)</f>
        <v>697795.56192271633</v>
      </c>
    </row>
    <row r="84" spans="1:14" x14ac:dyDescent="0.3">
      <c r="A84" s="13" t="s">
        <v>17</v>
      </c>
      <c r="B84" s="27">
        <v>2675.67</v>
      </c>
      <c r="C84" s="27">
        <v>2667.56</v>
      </c>
      <c r="D84" s="27">
        <v>0</v>
      </c>
      <c r="E84" s="27">
        <v>0</v>
      </c>
      <c r="F84" s="27">
        <v>0</v>
      </c>
      <c r="G84" s="28">
        <f t="shared" si="6"/>
        <v>5343.23</v>
      </c>
    </row>
    <row r="85" spans="1:14" x14ac:dyDescent="0.3">
      <c r="A85" s="13" t="s">
        <v>19</v>
      </c>
      <c r="B85" s="27">
        <v>29568.51</v>
      </c>
      <c r="C85" s="27">
        <v>13992.06</v>
      </c>
      <c r="D85" s="27">
        <v>0</v>
      </c>
      <c r="E85" s="27">
        <v>0</v>
      </c>
      <c r="F85" s="27">
        <v>0</v>
      </c>
      <c r="G85" s="28">
        <f t="shared" si="6"/>
        <v>43560.57</v>
      </c>
    </row>
    <row r="86" spans="1:14" x14ac:dyDescent="0.3">
      <c r="A86" s="13" t="s">
        <v>20</v>
      </c>
      <c r="B86" s="27">
        <v>-5581.7</v>
      </c>
      <c r="C86" s="27">
        <v>-121803.31</v>
      </c>
      <c r="D86" s="27"/>
      <c r="E86" s="27"/>
      <c r="F86" s="27"/>
      <c r="G86" s="28">
        <f t="shared" si="6"/>
        <v>-127385.01</v>
      </c>
    </row>
    <row r="87" spans="1:14" x14ac:dyDescent="0.3">
      <c r="A87" s="13" t="s">
        <v>292</v>
      </c>
      <c r="B87" s="27">
        <v>235.21</v>
      </c>
      <c r="C87" s="27">
        <v>-1430</v>
      </c>
      <c r="D87" s="27">
        <v>1020</v>
      </c>
      <c r="E87" s="27"/>
      <c r="F87" s="27"/>
      <c r="G87" s="28">
        <f t="shared" si="6"/>
        <v>-174.78999999999996</v>
      </c>
    </row>
    <row r="88" spans="1:14" x14ac:dyDescent="0.3">
      <c r="A88" s="13" t="s">
        <v>291</v>
      </c>
      <c r="B88" s="27">
        <v>-18000</v>
      </c>
      <c r="C88" s="27">
        <v>-17000</v>
      </c>
      <c r="D88" s="27"/>
      <c r="E88" s="27"/>
      <c r="F88" s="27"/>
      <c r="G88" s="28">
        <f t="shared" si="6"/>
        <v>-35000</v>
      </c>
    </row>
    <row r="89" spans="1:14" x14ac:dyDescent="0.3">
      <c r="A89" s="13" t="s">
        <v>21</v>
      </c>
      <c r="B89" s="27">
        <v>0</v>
      </c>
      <c r="C89" s="27">
        <v>0</v>
      </c>
      <c r="D89" s="27">
        <v>0</v>
      </c>
      <c r="E89" s="27">
        <v>0</v>
      </c>
      <c r="F89" s="27">
        <v>0</v>
      </c>
      <c r="G89" s="28">
        <f t="shared" si="6"/>
        <v>0</v>
      </c>
    </row>
    <row r="90" spans="1:14" x14ac:dyDescent="0.3">
      <c r="A90" s="13"/>
      <c r="B90" s="44"/>
      <c r="C90" s="44"/>
      <c r="D90" s="44"/>
      <c r="E90" s="44"/>
      <c r="F90" s="44"/>
      <c r="G90" s="28"/>
      <c r="H90" s="8">
        <f>SUM(B91:F91)-G80</f>
        <v>125379.9695140012</v>
      </c>
      <c r="I90" s="33">
        <f>G91-H90</f>
        <v>-2.4607288651168346E-8</v>
      </c>
      <c r="J90" s="8" t="s">
        <v>23</v>
      </c>
    </row>
    <row r="91" spans="1:14" x14ac:dyDescent="0.3">
      <c r="A91" s="13" t="s">
        <v>14</v>
      </c>
      <c r="B91" s="27">
        <f>+B81-SUM(B83:B89)</f>
        <v>35666.467907343584</v>
      </c>
      <c r="C91" s="27">
        <f t="shared" ref="C91:G91" si="7">+C81-SUM(C83:C89)</f>
        <v>69545.279956658662</v>
      </c>
      <c r="D91" s="27">
        <f t="shared" si="7"/>
        <v>28581.965699999157</v>
      </c>
      <c r="E91" s="27">
        <f t="shared" si="7"/>
        <v>-4025.8240500002448</v>
      </c>
      <c r="F91" s="27">
        <f t="shared" si="7"/>
        <v>3982.0000000000291</v>
      </c>
      <c r="G91" s="28">
        <f t="shared" si="7"/>
        <v>125379.9695139766</v>
      </c>
      <c r="H91" s="8">
        <f>'[8]P&amp;L Compare to Hedge 2017'!$E$43</f>
        <v>125379.96807707613</v>
      </c>
      <c r="I91" s="33">
        <f>G91-H91</f>
        <v>1.436900463886559E-3</v>
      </c>
      <c r="J91" s="9" t="s">
        <v>22</v>
      </c>
    </row>
    <row r="92" spans="1:14" ht="15" thickBot="1" x14ac:dyDescent="0.35">
      <c r="A92" s="35" t="s">
        <v>16</v>
      </c>
      <c r="B92" s="47">
        <v>1266.0999999999999</v>
      </c>
      <c r="C92" s="47">
        <v>17.190999999999999</v>
      </c>
      <c r="D92" s="47">
        <v>946.3</v>
      </c>
      <c r="E92" s="47">
        <v>826.55</v>
      </c>
      <c r="F92" s="47">
        <v>935</v>
      </c>
      <c r="G92" s="48"/>
    </row>
    <row r="93" spans="1:14" x14ac:dyDescent="0.3">
      <c r="A93" s="98" t="s">
        <v>12</v>
      </c>
      <c r="B93" s="99"/>
      <c r="C93" s="99"/>
      <c r="D93" s="99"/>
      <c r="E93" s="99"/>
      <c r="F93" s="99"/>
      <c r="G93" s="100"/>
    </row>
    <row r="94" spans="1:14" x14ac:dyDescent="0.3">
      <c r="A94" s="101" t="s">
        <v>13</v>
      </c>
      <c r="B94" s="102"/>
      <c r="C94" s="102"/>
      <c r="D94" s="102"/>
      <c r="E94" s="102"/>
      <c r="F94" s="102"/>
      <c r="G94" s="103"/>
    </row>
    <row r="95" spans="1:14" x14ac:dyDescent="0.3">
      <c r="A95" s="95">
        <v>42856</v>
      </c>
      <c r="B95" s="96"/>
      <c r="C95" s="96"/>
      <c r="D95" s="96"/>
      <c r="E95" s="96"/>
      <c r="F95" s="96"/>
      <c r="G95" s="97"/>
    </row>
    <row r="96" spans="1:14" s="17" customFormat="1" x14ac:dyDescent="0.3">
      <c r="A96" s="10"/>
      <c r="B96" s="11"/>
      <c r="C96" s="11"/>
      <c r="D96" s="11"/>
      <c r="E96" s="11"/>
      <c r="F96" s="11"/>
      <c r="G96" s="12"/>
      <c r="H96" s="16"/>
      <c r="M96" s="70"/>
      <c r="N96" s="70"/>
    </row>
    <row r="97" spans="1:7" x14ac:dyDescent="0.3">
      <c r="A97" s="13"/>
      <c r="B97" s="14" t="s">
        <v>5</v>
      </c>
      <c r="C97" s="14" t="s">
        <v>6</v>
      </c>
      <c r="D97" s="14" t="s">
        <v>7</v>
      </c>
      <c r="E97" s="14" t="s">
        <v>8</v>
      </c>
      <c r="F97" s="14" t="s">
        <v>9</v>
      </c>
      <c r="G97" s="15" t="s">
        <v>10</v>
      </c>
    </row>
    <row r="98" spans="1:7" x14ac:dyDescent="0.3">
      <c r="A98" s="13" t="s">
        <v>0</v>
      </c>
      <c r="B98" s="50">
        <f>'[8]P&amp;L Compare to Hedge 2017'!$F$5</f>
        <v>85302170.939999998</v>
      </c>
      <c r="C98" s="50">
        <f>'[8]P&amp;L Compare to Hedge 2017'!$F$6</f>
        <v>110058336.69000001</v>
      </c>
      <c r="D98" s="50">
        <f>'[8]P&amp;L Compare to Hedge 2017'!$F$7</f>
        <v>1187132.05</v>
      </c>
      <c r="E98" s="50">
        <f>'[8]P&amp;L Compare to Hedge 2017'!$F$8</f>
        <v>7598226.2599999998</v>
      </c>
      <c r="F98" s="50">
        <f>'[8]P&amp;L Compare to Hedge 2017'!$F$9</f>
        <v>28036</v>
      </c>
      <c r="G98" s="28">
        <f>SUM(B98:F98)</f>
        <v>204173901.94</v>
      </c>
    </row>
    <row r="99" spans="1:7" x14ac:dyDescent="0.3">
      <c r="A99" s="13" t="s">
        <v>1</v>
      </c>
      <c r="B99" s="50">
        <f>'[8]P&amp;L Compare to Hedge 2017'!$F$13</f>
        <v>84255658.25</v>
      </c>
      <c r="C99" s="50">
        <f>'[8]P&amp;L Compare to Hedge 2017'!$F$14</f>
        <v>114343046.48</v>
      </c>
      <c r="D99" s="50">
        <f>'[8]P&amp;L Compare to Hedge 2017'!$F$15</f>
        <v>1210864.06</v>
      </c>
      <c r="E99" s="50">
        <f>'[8]P&amp;L Compare to Hedge 2017'!$F$16</f>
        <v>7552398.0999999996</v>
      </c>
      <c r="F99" s="50">
        <f>'[8]P&amp;L Compare to Hedge 2017'!$F$17</f>
        <v>25497.24</v>
      </c>
      <c r="G99" s="28">
        <f>SUM(B99:F99)</f>
        <v>207387464.13000003</v>
      </c>
    </row>
    <row r="100" spans="1:7" x14ac:dyDescent="0.3">
      <c r="A100" s="13" t="s">
        <v>2</v>
      </c>
      <c r="B100" s="50">
        <f>'[8]P&amp;L Compare to Hedge 2017'!$F$19</f>
        <v>330003.30999997258</v>
      </c>
      <c r="C100" s="50">
        <f>'[8]P&amp;L Compare to Hedge 2017'!$F$20</f>
        <v>383529.25999999046</v>
      </c>
      <c r="D100" s="50">
        <f>'[8]P&amp;L Compare to Hedge 2017'!$F$21</f>
        <v>-9879.8699999999953</v>
      </c>
      <c r="E100" s="50">
        <f>'[8]P&amp;L Compare to Hedge 2017'!$F$22</f>
        <v>-363.35999999998603</v>
      </c>
      <c r="F100" s="50">
        <v>0</v>
      </c>
      <c r="G100" s="28">
        <f>SUM(B100:F100)</f>
        <v>703289.33999996306</v>
      </c>
    </row>
    <row r="101" spans="1:7" x14ac:dyDescent="0.3">
      <c r="A101" s="13" t="s">
        <v>3</v>
      </c>
      <c r="B101" s="50">
        <f>'[8]P&amp;L Compare to Hedge 2017'!$F$24</f>
        <v>348978.27999999747</v>
      </c>
      <c r="C101" s="50">
        <f>'[8]P&amp;L Compare to Hedge 2017'!$F$25</f>
        <v>-115056.67000000179</v>
      </c>
      <c r="D101" s="50">
        <f>'[8]P&amp;L Compare to Hedge 2017'!$F$26</f>
        <v>-4325</v>
      </c>
      <c r="E101" s="50">
        <f>'[8]P&amp;L Compare to Hedge 2017'!$F$27</f>
        <v>-4241.25</v>
      </c>
      <c r="F101" s="50">
        <v>0</v>
      </c>
      <c r="G101" s="28">
        <f>SUM(B101:F101)</f>
        <v>225355.35999999568</v>
      </c>
    </row>
    <row r="102" spans="1:7" ht="15" thickBot="1" x14ac:dyDescent="0.35">
      <c r="A102" s="13" t="s">
        <v>4</v>
      </c>
      <c r="B102" s="18">
        <f>'[15]Mrkg to Mkt Gold'!$E$28</f>
        <v>-300401.28186998144</v>
      </c>
      <c r="C102" s="18">
        <f>'[15]Mkg to Mkt Silver'!$E$28-223</f>
        <v>-4451995.4790505227</v>
      </c>
      <c r="D102" s="24">
        <f>'[15]Mkg to Mkt Platinum  '!$E$28</f>
        <v>-24430.643780000042</v>
      </c>
      <c r="E102" s="24">
        <f>'[15]Mkg to Mkt Palladium'!$E$28</f>
        <v>10447.564149999875</v>
      </c>
      <c r="F102" s="24">
        <f>'[15]Mkg to Mkt Rhodium'!$E$28</f>
        <v>599.25999999999476</v>
      </c>
      <c r="G102" s="28">
        <f>SUM(B102:F102)</f>
        <v>-4765780.5805505048</v>
      </c>
    </row>
    <row r="103" spans="1:7" ht="15" thickBot="1" x14ac:dyDescent="0.35">
      <c r="A103" s="13" t="s">
        <v>18</v>
      </c>
      <c r="B103" s="40"/>
      <c r="C103" s="40"/>
      <c r="D103" s="40"/>
      <c r="E103" s="40"/>
      <c r="F103" s="40"/>
      <c r="G103" s="41">
        <v>6354.31</v>
      </c>
    </row>
    <row r="104" spans="1:7" ht="15" thickBot="1" x14ac:dyDescent="0.35">
      <c r="A104" s="13"/>
      <c r="B104" s="42">
        <f>+B98-B99-B100-B101-B102</f>
        <v>667932.38187000901</v>
      </c>
      <c r="C104" s="42">
        <f>+C98-C99-C100-C101-C102</f>
        <v>-101186.90094945766</v>
      </c>
      <c r="D104" s="42">
        <f>+D98-D99-D100-D101-D102</f>
        <v>14903.503780000028</v>
      </c>
      <c r="E104" s="42">
        <f>+E98-E99-E100-E101-E102</f>
        <v>39985.20585000026</v>
      </c>
      <c r="F104" s="42">
        <f>+F98-F99-F100-F101-F102</f>
        <v>1939.5000000000036</v>
      </c>
      <c r="G104" s="43">
        <f>+G98-G99-G100-G101-G102-G103</f>
        <v>617219.38055051863</v>
      </c>
    </row>
    <row r="105" spans="1:7" ht="15" thickTop="1" x14ac:dyDescent="0.3">
      <c r="A105" s="13"/>
      <c r="B105" s="44"/>
      <c r="C105" s="44"/>
      <c r="D105" s="44"/>
      <c r="E105" s="44"/>
      <c r="F105" s="44"/>
      <c r="G105" s="28"/>
    </row>
    <row r="106" spans="1:7" x14ac:dyDescent="0.3">
      <c r="A106" s="13" t="s">
        <v>11</v>
      </c>
      <c r="B106" s="44">
        <f>'[10]Comparison 2016-2017'!$B$130</f>
        <v>280467.47479921021</v>
      </c>
      <c r="C106" s="44">
        <f>'[10]Comparison 2016-2017'!$C$130</f>
        <v>310195.6442999983</v>
      </c>
      <c r="D106" s="44">
        <f>'[10]Comparison 2016-2017'!$D$130</f>
        <v>16696.773499999992</v>
      </c>
      <c r="E106" s="44">
        <f>'[10]Comparison 2016-2017'!$E$130</f>
        <v>44515.35300000001</v>
      </c>
      <c r="F106" s="44">
        <f>'[10]Comparison 2016-2017'!$F$130</f>
        <v>1968</v>
      </c>
      <c r="G106" s="28">
        <f t="shared" ref="G106:G112" si="8">SUM(B106:F106)</f>
        <v>653843.24559920852</v>
      </c>
    </row>
    <row r="107" spans="1:7" x14ac:dyDescent="0.3">
      <c r="A107" s="13" t="s">
        <v>17</v>
      </c>
      <c r="B107" s="27">
        <v>3055.63</v>
      </c>
      <c r="C107" s="27">
        <v>1104.75</v>
      </c>
      <c r="D107" s="27">
        <v>0</v>
      </c>
      <c r="E107" s="27">
        <v>0</v>
      </c>
      <c r="F107" s="27">
        <v>0</v>
      </c>
      <c r="G107" s="28">
        <f t="shared" si="8"/>
        <v>4160.38</v>
      </c>
    </row>
    <row r="108" spans="1:7" x14ac:dyDescent="0.3">
      <c r="A108" s="13" t="s">
        <v>19</v>
      </c>
      <c r="B108" s="27">
        <v>24413.49</v>
      </c>
      <c r="C108" s="27">
        <v>14004.23</v>
      </c>
      <c r="D108" s="27">
        <v>0</v>
      </c>
      <c r="E108" s="27">
        <v>0</v>
      </c>
      <c r="F108" s="27">
        <v>0</v>
      </c>
      <c r="G108" s="28">
        <f t="shared" si="8"/>
        <v>38417.72</v>
      </c>
    </row>
    <row r="109" spans="1:7" x14ac:dyDescent="0.3">
      <c r="A109" s="13" t="s">
        <v>20</v>
      </c>
      <c r="B109" s="27">
        <v>-25025</v>
      </c>
      <c r="C109" s="27">
        <v>-21858</v>
      </c>
      <c r="D109" s="27">
        <v>0</v>
      </c>
      <c r="E109" s="27">
        <v>0</v>
      </c>
      <c r="F109" s="27">
        <v>0</v>
      </c>
      <c r="G109" s="28">
        <f t="shared" si="8"/>
        <v>-46883</v>
      </c>
    </row>
    <row r="110" spans="1:7" x14ac:dyDescent="0.3">
      <c r="A110" s="13" t="s">
        <v>292</v>
      </c>
      <c r="B110" s="27">
        <v>-7840.12</v>
      </c>
      <c r="C110" s="27">
        <v>2223</v>
      </c>
      <c r="D110" s="27">
        <v>-120</v>
      </c>
      <c r="E110" s="27">
        <v>0</v>
      </c>
      <c r="F110" s="27">
        <v>0</v>
      </c>
      <c r="G110" s="28">
        <f t="shared" si="8"/>
        <v>-5737.12</v>
      </c>
    </row>
    <row r="111" spans="1:7" x14ac:dyDescent="0.3">
      <c r="A111" s="13" t="s">
        <v>291</v>
      </c>
      <c r="B111" s="27">
        <v>-18000</v>
      </c>
      <c r="C111" s="27">
        <v>-17000</v>
      </c>
      <c r="D111" s="27">
        <v>0</v>
      </c>
      <c r="E111" s="27">
        <v>0</v>
      </c>
      <c r="F111" s="27">
        <v>0</v>
      </c>
      <c r="G111" s="28">
        <f t="shared" si="8"/>
        <v>-35000</v>
      </c>
    </row>
    <row r="112" spans="1:7" x14ac:dyDescent="0.3">
      <c r="A112" s="13" t="s">
        <v>21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  <c r="G112" s="28">
        <f t="shared" si="8"/>
        <v>0</v>
      </c>
    </row>
    <row r="113" spans="1:14" x14ac:dyDescent="0.3">
      <c r="A113" s="13"/>
      <c r="B113" s="44"/>
      <c r="C113" s="44"/>
      <c r="D113" s="44"/>
      <c r="E113" s="44"/>
      <c r="F113" s="44"/>
      <c r="G113" s="28"/>
      <c r="H113" s="8">
        <f>SUM(B114:F114)-G103</f>
        <v>8418.1549513431492</v>
      </c>
      <c r="I113" s="33">
        <f>G114-H113</f>
        <v>-3.3040123526006937E-8</v>
      </c>
      <c r="J113" s="8" t="s">
        <v>23</v>
      </c>
    </row>
    <row r="114" spans="1:14" x14ac:dyDescent="0.3">
      <c r="A114" s="13" t="s">
        <v>14</v>
      </c>
      <c r="B114" s="46">
        <f>+B104-SUM(B106:B112)</f>
        <v>410860.9070707988</v>
      </c>
      <c r="C114" s="46">
        <f>+C104-SUM(C106:C112)</f>
        <v>-389856.52524945594</v>
      </c>
      <c r="D114" s="46">
        <f>+D104-SUM(D106:D112)</f>
        <v>-1673.2697199999639</v>
      </c>
      <c r="E114" s="46">
        <f>+E104-SUM(E106:E112)</f>
        <v>-4530.1471499997497</v>
      </c>
      <c r="F114" s="46">
        <f>+F104-SUM(F106:F112)</f>
        <v>-28.499999999996362</v>
      </c>
      <c r="G114" s="51">
        <f>+G104-G106-G107-G108-G109-G112-G110-G111</f>
        <v>8418.154951310109</v>
      </c>
      <c r="H114" s="8">
        <f>'[8]P&amp;L Compare to Hedge 2017'!$F$43</f>
        <v>8418.1544007868506</v>
      </c>
      <c r="I114" s="33">
        <f>G114-H114</f>
        <v>5.5052325842552818E-4</v>
      </c>
      <c r="J114" s="9" t="s">
        <v>22</v>
      </c>
    </row>
    <row r="115" spans="1:14" ht="15" thickBot="1" x14ac:dyDescent="0.35">
      <c r="A115" s="35" t="s">
        <v>16</v>
      </c>
      <c r="B115" s="47">
        <v>1272</v>
      </c>
      <c r="C115" s="47">
        <v>17.367999999999999</v>
      </c>
      <c r="D115" s="47">
        <v>948.5</v>
      </c>
      <c r="E115" s="47">
        <v>819.85</v>
      </c>
      <c r="F115" s="47">
        <v>850</v>
      </c>
      <c r="G115" s="48"/>
    </row>
    <row r="116" spans="1:14" x14ac:dyDescent="0.3">
      <c r="A116" s="98" t="s">
        <v>12</v>
      </c>
      <c r="B116" s="99"/>
      <c r="C116" s="99"/>
      <c r="D116" s="99"/>
      <c r="E116" s="99"/>
      <c r="F116" s="99"/>
      <c r="G116" s="100"/>
    </row>
    <row r="117" spans="1:14" x14ac:dyDescent="0.3">
      <c r="A117" s="101" t="s">
        <v>13</v>
      </c>
      <c r="B117" s="102"/>
      <c r="C117" s="102"/>
      <c r="D117" s="102"/>
      <c r="E117" s="102"/>
      <c r="F117" s="102"/>
      <c r="G117" s="103"/>
    </row>
    <row r="118" spans="1:14" x14ac:dyDescent="0.3">
      <c r="A118" s="95">
        <v>42887</v>
      </c>
      <c r="B118" s="96"/>
      <c r="C118" s="96"/>
      <c r="D118" s="96"/>
      <c r="E118" s="96"/>
      <c r="F118" s="96"/>
      <c r="G118" s="97"/>
    </row>
    <row r="119" spans="1:14" s="17" customFormat="1" x14ac:dyDescent="0.3">
      <c r="A119" s="10"/>
      <c r="B119" s="11"/>
      <c r="C119" s="11"/>
      <c r="D119" s="11"/>
      <c r="E119" s="11"/>
      <c r="F119" s="11"/>
      <c r="G119" s="12"/>
      <c r="H119" s="16"/>
      <c r="M119" s="70"/>
      <c r="N119" s="70"/>
    </row>
    <row r="120" spans="1:14" x14ac:dyDescent="0.3">
      <c r="A120" s="13"/>
      <c r="B120" s="14" t="s">
        <v>5</v>
      </c>
      <c r="C120" s="14" t="s">
        <v>6</v>
      </c>
      <c r="D120" s="14" t="s">
        <v>7</v>
      </c>
      <c r="E120" s="14" t="s">
        <v>8</v>
      </c>
      <c r="F120" s="14" t="s">
        <v>9</v>
      </c>
      <c r="G120" s="15" t="s">
        <v>10</v>
      </c>
    </row>
    <row r="121" spans="1:14" x14ac:dyDescent="0.3">
      <c r="A121" s="13" t="s">
        <v>0</v>
      </c>
      <c r="B121" s="50">
        <f>'[8]P&amp;L Compare to Hedge 2017'!$G$5</f>
        <v>73779498.170000002</v>
      </c>
      <c r="C121" s="50">
        <f>'[8]P&amp;L Compare to Hedge 2017'!$G$6</f>
        <v>220256394.09999999</v>
      </c>
      <c r="D121" s="50">
        <f>'[8]P&amp;L Compare to Hedge 2017'!$G$7</f>
        <v>836073.2</v>
      </c>
      <c r="E121" s="50">
        <f>'[8]P&amp;L Compare to Hedge 2017'!$G$8</f>
        <v>5656486.75</v>
      </c>
      <c r="F121" s="50">
        <f>'[8]P&amp;L Compare to Hedge 2017'!$G$9</f>
        <v>5382</v>
      </c>
      <c r="G121" s="28">
        <f>SUM(B121:F121)</f>
        <v>300533834.21999997</v>
      </c>
    </row>
    <row r="122" spans="1:14" x14ac:dyDescent="0.3">
      <c r="A122" s="13" t="s">
        <v>1</v>
      </c>
      <c r="B122" s="50">
        <f>'[8]P&amp;L Compare to Hedge 2017'!$G$13</f>
        <v>72994962.530000001</v>
      </c>
      <c r="C122" s="50">
        <f>'[8]P&amp;L Compare to Hedge 2017'!$G$14</f>
        <v>220573894.99000001</v>
      </c>
      <c r="D122" s="50">
        <f>'[8]P&amp;L Compare to Hedge 2017'!$G$15</f>
        <v>858920.28999999992</v>
      </c>
      <c r="E122" s="50">
        <f>'[8]P&amp;L Compare to Hedge 2017'!$G$16</f>
        <v>5420973.1999999993</v>
      </c>
      <c r="F122" s="50">
        <f>'[8]P&amp;L Compare to Hedge 2017'!$G$17</f>
        <v>4782.82</v>
      </c>
      <c r="G122" s="28">
        <f>SUM(B122:F122)</f>
        <v>299853533.82999998</v>
      </c>
    </row>
    <row r="123" spans="1:14" x14ac:dyDescent="0.3">
      <c r="A123" s="13" t="s">
        <v>2</v>
      </c>
      <c r="B123" s="50">
        <f>'[8]P&amp;L Compare to Hedge 2017'!$G$19</f>
        <v>-2457043.2299999893</v>
      </c>
      <c r="C123" s="50">
        <f>'[8]P&amp;L Compare to Hedge 2017'!$G$20</f>
        <v>3788848.1400001049</v>
      </c>
      <c r="D123" s="50">
        <f>'[8]P&amp;L Compare to Hedge 2017'!$G$21</f>
        <v>-384.67999999999302</v>
      </c>
      <c r="E123" s="50">
        <f>'[8]P&amp;L Compare to Hedge 2017'!$G$22</f>
        <v>-7704.5800000000017</v>
      </c>
      <c r="F123" s="50">
        <v>0</v>
      </c>
      <c r="G123" s="28">
        <f>SUM(B123:F123)</f>
        <v>1323715.6500001156</v>
      </c>
    </row>
    <row r="124" spans="1:14" x14ac:dyDescent="0.3">
      <c r="A124" s="13" t="s">
        <v>3</v>
      </c>
      <c r="B124" s="50">
        <f>'[8]P&amp;L Compare to Hedge 2017'!$G$24</f>
        <v>-135586.73000000045</v>
      </c>
      <c r="C124" s="50">
        <f>'[8]P&amp;L Compare to Hedge 2017'!$G$25</f>
        <v>-4129829.859999992</v>
      </c>
      <c r="D124" s="50">
        <v>0</v>
      </c>
      <c r="E124" s="50">
        <v>0</v>
      </c>
      <c r="F124" s="50">
        <v>0</v>
      </c>
      <c r="G124" s="28">
        <f>SUM(B124:F124)</f>
        <v>-4265416.5899999924</v>
      </c>
    </row>
    <row r="125" spans="1:14" ht="15" thickBot="1" x14ac:dyDescent="0.35">
      <c r="A125" s="13" t="s">
        <v>4</v>
      </c>
      <c r="B125" s="18">
        <f>'[16]Mrkg to Mkt Gold'!$E$28</f>
        <v>3014357.8985499926</v>
      </c>
      <c r="C125" s="18">
        <f>'[16]Mkg to Mkt Silver'!$E$28-88.01</f>
        <v>-79469.63983479164</v>
      </c>
      <c r="D125" s="24">
        <f>'[16]Mkg to Mkt Platinum  '!$E$28</f>
        <v>-33752.423800000921</v>
      </c>
      <c r="E125" s="24">
        <f>'[16]Mkg to Mkt Palladium'!$E$28</f>
        <v>179202.16339999976</v>
      </c>
      <c r="F125" s="24">
        <f>'[16]Mkg to Mkt Rhodium'!$E$28</f>
        <v>307.18000000000757</v>
      </c>
      <c r="G125" s="28">
        <f>SUM(B125:F125)</f>
        <v>3080645.1783152004</v>
      </c>
    </row>
    <row r="126" spans="1:14" ht="15" thickBot="1" x14ac:dyDescent="0.35">
      <c r="A126" s="13" t="s">
        <v>18</v>
      </c>
      <c r="B126" s="40"/>
      <c r="C126" s="40"/>
      <c r="D126" s="40"/>
      <c r="E126" s="40"/>
      <c r="F126" s="40"/>
      <c r="G126" s="41">
        <f>'[8]P&amp;L Compare to Hedge 2017'!$G$30</f>
        <v>9768.4599999999991</v>
      </c>
    </row>
    <row r="127" spans="1:14" ht="15" thickBot="1" x14ac:dyDescent="0.35">
      <c r="A127" s="13"/>
      <c r="B127" s="42">
        <f>+B121-B122-B123-B124-B125</f>
        <v>362807.70144999772</v>
      </c>
      <c r="C127" s="42">
        <f>+C121-C122-C123-C124-C125</f>
        <v>102950.46983466319</v>
      </c>
      <c r="D127" s="42">
        <f>+D121-D122-D123-D124-D125</f>
        <v>11290.013800000947</v>
      </c>
      <c r="E127" s="42">
        <f>+E121-E122-E123-E124-E125</f>
        <v>64015.966600001004</v>
      </c>
      <c r="F127" s="42">
        <f>+F121-F122-F123-F124-F125</f>
        <v>291.99999999999272</v>
      </c>
      <c r="G127" s="43">
        <f>+G121-G122-G123-G124-G125-G126</f>
        <v>531587.6916846619</v>
      </c>
    </row>
    <row r="128" spans="1:14" ht="15" thickTop="1" x14ac:dyDescent="0.3">
      <c r="A128" s="13"/>
      <c r="B128" s="44"/>
      <c r="C128" s="44"/>
      <c r="D128" s="44"/>
      <c r="E128" s="44"/>
      <c r="F128" s="44"/>
      <c r="G128" s="28"/>
    </row>
    <row r="129" spans="1:14" x14ac:dyDescent="0.3">
      <c r="A129" s="13" t="s">
        <v>11</v>
      </c>
      <c r="B129" s="44">
        <f>'[10]Comparison 2016-2017'!$B$155</f>
        <v>350469.03983068885</v>
      </c>
      <c r="C129" s="44">
        <f>'[10]Comparison 2016-2017'!$C$155</f>
        <v>225237.03000000003</v>
      </c>
      <c r="D129" s="44">
        <f>'[10]Comparison 2016-2017'!$D$155</f>
        <v>7801.6000000000013</v>
      </c>
      <c r="E129" s="44">
        <f>'[10]Comparison 2016-2017'!$E$155</f>
        <v>67613.509999999995</v>
      </c>
      <c r="F129" s="44">
        <f>'[10]Comparison 2016-2017'!$F$155</f>
        <v>352</v>
      </c>
      <c r="G129" s="28">
        <f t="shared" ref="G129:G135" si="9">SUM(B129:F129)</f>
        <v>651473.17983068887</v>
      </c>
    </row>
    <row r="130" spans="1:14" x14ac:dyDescent="0.3">
      <c r="A130" s="13" t="s">
        <v>17</v>
      </c>
      <c r="B130" s="27">
        <v>3997.54</v>
      </c>
      <c r="C130" s="27">
        <v>1997.67</v>
      </c>
      <c r="D130" s="27">
        <v>0</v>
      </c>
      <c r="E130" s="27">
        <v>0</v>
      </c>
      <c r="F130" s="27">
        <v>0</v>
      </c>
      <c r="G130" s="28">
        <f t="shared" si="9"/>
        <v>5995.21</v>
      </c>
    </row>
    <row r="131" spans="1:14" x14ac:dyDescent="0.3">
      <c r="A131" s="13" t="s">
        <v>19</v>
      </c>
      <c r="B131" s="27">
        <v>18034.66</v>
      </c>
      <c r="C131" s="27">
        <v>2995.11</v>
      </c>
      <c r="D131" s="27">
        <v>0</v>
      </c>
      <c r="E131" s="27">
        <v>0</v>
      </c>
      <c r="F131" s="27">
        <v>0</v>
      </c>
      <c r="G131" s="28">
        <f t="shared" si="9"/>
        <v>21029.77</v>
      </c>
    </row>
    <row r="132" spans="1:14" x14ac:dyDescent="0.3">
      <c r="A132" s="13" t="s">
        <v>20</v>
      </c>
      <c r="B132" s="27">
        <v>-13502.2</v>
      </c>
      <c r="C132" s="27">
        <v>-69593.84</v>
      </c>
      <c r="D132" s="27"/>
      <c r="E132" s="27"/>
      <c r="F132" s="27"/>
      <c r="G132" s="28">
        <f t="shared" si="9"/>
        <v>-83096.039999999994</v>
      </c>
    </row>
    <row r="133" spans="1:14" x14ac:dyDescent="0.3">
      <c r="A133" s="13" t="s">
        <v>292</v>
      </c>
      <c r="B133" s="27">
        <v>19782.18</v>
      </c>
      <c r="C133" s="27">
        <v>-54598</v>
      </c>
      <c r="D133" s="27">
        <v>0</v>
      </c>
      <c r="E133" s="27">
        <v>0</v>
      </c>
      <c r="F133" s="27">
        <v>0</v>
      </c>
      <c r="G133" s="28">
        <f t="shared" si="9"/>
        <v>-34815.82</v>
      </c>
    </row>
    <row r="134" spans="1:14" x14ac:dyDescent="0.3">
      <c r="A134" s="13" t="s">
        <v>291</v>
      </c>
      <c r="B134" s="27">
        <v>-18000</v>
      </c>
      <c r="C134" s="27">
        <v>-17000</v>
      </c>
      <c r="D134" s="27">
        <v>0</v>
      </c>
      <c r="E134" s="27">
        <v>0</v>
      </c>
      <c r="F134" s="27">
        <v>0</v>
      </c>
      <c r="G134" s="28">
        <f t="shared" si="9"/>
        <v>-35000</v>
      </c>
    </row>
    <row r="135" spans="1:14" x14ac:dyDescent="0.3">
      <c r="A135" s="13" t="s">
        <v>21</v>
      </c>
      <c r="B135" s="27">
        <v>0</v>
      </c>
      <c r="C135" s="27">
        <v>0</v>
      </c>
      <c r="D135" s="27">
        <v>0</v>
      </c>
      <c r="E135" s="27">
        <v>0</v>
      </c>
      <c r="F135" s="27">
        <v>0</v>
      </c>
      <c r="G135" s="28">
        <f t="shared" si="9"/>
        <v>0</v>
      </c>
    </row>
    <row r="136" spans="1:14" x14ac:dyDescent="0.3">
      <c r="A136" s="13"/>
      <c r="B136" s="44"/>
      <c r="C136" s="44"/>
      <c r="D136" s="44"/>
      <c r="E136" s="44"/>
      <c r="F136" s="44"/>
      <c r="G136" s="28"/>
      <c r="H136" s="8">
        <f>SUM(B137:F137)-G126</f>
        <v>6001.3918539740444</v>
      </c>
      <c r="I136" s="33">
        <f>G137-H136</f>
        <v>-1.0295480024069548E-9</v>
      </c>
      <c r="J136" s="8" t="s">
        <v>23</v>
      </c>
    </row>
    <row r="137" spans="1:14" x14ac:dyDescent="0.3">
      <c r="A137" s="13" t="s">
        <v>14</v>
      </c>
      <c r="B137" s="46">
        <f>+B127-SUM(B129:B135)</f>
        <v>2026.4816193089355</v>
      </c>
      <c r="C137" s="46">
        <f>+C127-SUM(C129:C135)</f>
        <v>13912.499834663162</v>
      </c>
      <c r="D137" s="46">
        <f>+D127-SUM(D129:D135)</f>
        <v>3488.4138000009452</v>
      </c>
      <c r="E137" s="46">
        <f>+E127-SUM(E129:E135)</f>
        <v>-3597.5433999989909</v>
      </c>
      <c r="F137" s="46">
        <f>+F127-SUM(F129:F135)</f>
        <v>-60.000000000007276</v>
      </c>
      <c r="G137" s="51">
        <f>+G127-G129-G130-G131-G132-G135-G133-G134</f>
        <v>6001.3918539730148</v>
      </c>
      <c r="H137" s="8">
        <f>'[8]P&amp;L Compare to Hedge 2017'!$G$43</f>
        <v>6001.3901691896608</v>
      </c>
      <c r="I137" s="33">
        <f>G137-H137</f>
        <v>1.6847833539941348E-3</v>
      </c>
      <c r="J137" s="9" t="s">
        <v>22</v>
      </c>
    </row>
    <row r="138" spans="1:14" ht="15" thickBot="1" x14ac:dyDescent="0.35">
      <c r="A138" s="35" t="s">
        <v>16</v>
      </c>
      <c r="B138" s="47">
        <v>1240.7</v>
      </c>
      <c r="C138" s="47">
        <v>16.568000000000001</v>
      </c>
      <c r="D138" s="47">
        <v>923.7</v>
      </c>
      <c r="E138" s="47">
        <v>849</v>
      </c>
      <c r="F138" s="47">
        <v>940</v>
      </c>
      <c r="G138" s="48"/>
    </row>
    <row r="139" spans="1:14" x14ac:dyDescent="0.3">
      <c r="A139" s="98" t="s">
        <v>12</v>
      </c>
      <c r="B139" s="99"/>
      <c r="C139" s="99"/>
      <c r="D139" s="99"/>
      <c r="E139" s="99"/>
      <c r="F139" s="99"/>
      <c r="G139" s="100"/>
    </row>
    <row r="140" spans="1:14" x14ac:dyDescent="0.3">
      <c r="A140" s="101" t="s">
        <v>13</v>
      </c>
      <c r="B140" s="102"/>
      <c r="C140" s="102"/>
      <c r="D140" s="102"/>
      <c r="E140" s="102"/>
      <c r="F140" s="102"/>
      <c r="G140" s="103"/>
    </row>
    <row r="141" spans="1:14" x14ac:dyDescent="0.3">
      <c r="A141" s="95">
        <v>42917</v>
      </c>
      <c r="B141" s="96"/>
      <c r="C141" s="96"/>
      <c r="D141" s="96"/>
      <c r="E141" s="96"/>
      <c r="F141" s="96"/>
      <c r="G141" s="97"/>
    </row>
    <row r="142" spans="1:14" s="17" customFormat="1" x14ac:dyDescent="0.3">
      <c r="A142" s="10"/>
      <c r="B142" s="11"/>
      <c r="C142" s="11"/>
      <c r="D142" s="11"/>
      <c r="E142" s="11"/>
      <c r="F142" s="11"/>
      <c r="G142" s="12"/>
      <c r="H142" s="16"/>
      <c r="M142" s="70"/>
      <c r="N142" s="70"/>
    </row>
    <row r="143" spans="1:14" x14ac:dyDescent="0.3">
      <c r="A143" s="13"/>
      <c r="B143" s="14" t="s">
        <v>5</v>
      </c>
      <c r="C143" s="14" t="s">
        <v>6</v>
      </c>
      <c r="D143" s="14" t="s">
        <v>7</v>
      </c>
      <c r="E143" s="14" t="s">
        <v>8</v>
      </c>
      <c r="F143" s="14" t="s">
        <v>9</v>
      </c>
      <c r="G143" s="15" t="s">
        <v>10</v>
      </c>
    </row>
    <row r="144" spans="1:14" x14ac:dyDescent="0.3">
      <c r="A144" s="13" t="s">
        <v>0</v>
      </c>
      <c r="B144" s="50">
        <f>'[8]P&amp;L Compare to Hedge 2017'!$H$5</f>
        <v>75691159.820000008</v>
      </c>
      <c r="C144" s="50">
        <f>'[8]P&amp;L Compare to Hedge 2017'!$H$6</f>
        <v>25957142.310000002</v>
      </c>
      <c r="D144" s="50">
        <f>'[8]P&amp;L Compare to Hedge 2017'!$H$7</f>
        <v>2023864.34</v>
      </c>
      <c r="E144" s="50">
        <f>'[8]P&amp;L Compare to Hedge 2017'!$H$8</f>
        <v>5276134.7</v>
      </c>
      <c r="F144" s="50">
        <f>'[8]P&amp;L Compare to Hedge 2017'!$H$9</f>
        <v>359750</v>
      </c>
      <c r="G144" s="28">
        <f>SUM(B144:F144)</f>
        <v>109308051.17000002</v>
      </c>
    </row>
    <row r="145" spans="1:10" x14ac:dyDescent="0.3">
      <c r="A145" s="13" t="s">
        <v>1</v>
      </c>
      <c r="B145" s="50">
        <f>'[8]P&amp;L Compare to Hedge 2017'!$H$13</f>
        <v>76978154.659999996</v>
      </c>
      <c r="C145" s="50">
        <f>'[8]P&amp;L Compare to Hedge 2017'!$H$14</f>
        <v>27197114.489999998</v>
      </c>
      <c r="D145" s="50">
        <f>'[8]P&amp;L Compare to Hedge 2017'!$H$15</f>
        <v>2036540.82</v>
      </c>
      <c r="E145" s="50">
        <f>'[8]P&amp;L Compare to Hedge 2017'!$H$16</f>
        <v>5233800.5</v>
      </c>
      <c r="F145" s="50">
        <f>'[8]P&amp;L Compare to Hedge 2017'!$H$17</f>
        <v>354848.31</v>
      </c>
      <c r="G145" s="28">
        <f>SUM(B145:F145)</f>
        <v>111800458.77999999</v>
      </c>
    </row>
    <row r="146" spans="1:10" x14ac:dyDescent="0.3">
      <c r="A146" s="13" t="s">
        <v>2</v>
      </c>
      <c r="B146" s="50">
        <f>'[8]P&amp;L Compare to Hedge 2017'!$H$19</f>
        <v>-534138.12000000477</v>
      </c>
      <c r="C146" s="50">
        <f>'[8]P&amp;L Compare to Hedge 2017'!$H$20</f>
        <v>144448.57000005245</v>
      </c>
      <c r="D146" s="50">
        <f>'[8]P&amp;L Compare to Hedge 2017'!$H$21</f>
        <v>5381.3499999999767</v>
      </c>
      <c r="E146" s="50">
        <f>'[8]P&amp;L Compare to Hedge 2017'!$H$22</f>
        <v>0</v>
      </c>
      <c r="F146" s="50">
        <v>0</v>
      </c>
      <c r="G146" s="28">
        <f>SUM(B146:F146)</f>
        <v>-384308.19999995234</v>
      </c>
    </row>
    <row r="147" spans="1:10" x14ac:dyDescent="0.3">
      <c r="A147" s="13" t="s">
        <v>3</v>
      </c>
      <c r="B147" s="50">
        <f>'[8]P&amp;L Compare to Hedge 2017'!$H$24</f>
        <v>-9808.3499999977648</v>
      </c>
      <c r="C147" s="50">
        <f>'[8]P&amp;L Compare to Hedge 2017'!$H$25</f>
        <v>1778083.2400000021</v>
      </c>
      <c r="D147" s="50">
        <f>'[8]P&amp;L Compare to Hedge 2017'!$H$26</f>
        <v>0</v>
      </c>
      <c r="E147" s="50">
        <f>'[8]P&amp;L Compare to Hedge 2017'!$H$27</f>
        <v>0</v>
      </c>
      <c r="F147" s="50">
        <v>0</v>
      </c>
      <c r="G147" s="28">
        <f>SUM(B147:F147)</f>
        <v>1768274.8900000043</v>
      </c>
    </row>
    <row r="148" spans="1:10" ht="15" thickBot="1" x14ac:dyDescent="0.35">
      <c r="A148" s="13" t="s">
        <v>4</v>
      </c>
      <c r="B148" s="18">
        <f>'[17]Mrkg to Mkt Gold'!$E$28</f>
        <v>-527354.634329997</v>
      </c>
      <c r="C148" s="18">
        <f>'[17]Mkg to Mkt Silver'!$E$28-211</f>
        <v>-3614212.9014738277</v>
      </c>
      <c r="D148" s="24">
        <f>'[17]Mkg to Mkt Platinum  '!$E$28</f>
        <v>-34670.741459998768</v>
      </c>
      <c r="E148" s="24">
        <f>'[17]Mkg to Mkt Palladium'!$E$28</f>
        <v>-735.5484999998007</v>
      </c>
      <c r="F148" s="24">
        <f>'[17]Mkg to Mkt Rhodium'!$E$28</f>
        <v>-2884.3099999999977</v>
      </c>
      <c r="G148" s="28">
        <f>SUM(B148:F148)</f>
        <v>-4179858.1357638235</v>
      </c>
    </row>
    <row r="149" spans="1:10" ht="15" thickBot="1" x14ac:dyDescent="0.35">
      <c r="A149" s="13" t="s">
        <v>18</v>
      </c>
      <c r="B149" s="40"/>
      <c r="C149" s="40"/>
      <c r="D149" s="40"/>
      <c r="E149" s="40"/>
      <c r="F149" s="40"/>
      <c r="G149" s="41">
        <f>'[8]P&amp;L Compare to Hedge 2017'!$H$30</f>
        <v>-3432.81</v>
      </c>
    </row>
    <row r="150" spans="1:10" ht="15" thickBot="1" x14ac:dyDescent="0.35">
      <c r="A150" s="13"/>
      <c r="B150" s="42">
        <f>+B144-B145-B146-B147-B148</f>
        <v>-215693.73566998914</v>
      </c>
      <c r="C150" s="42">
        <f>+C144-C145-C146-C147-C148</f>
        <v>451708.91147377715</v>
      </c>
      <c r="D150" s="42">
        <f>+D144-D145-D146-D147-D148</f>
        <v>16612.91145999881</v>
      </c>
      <c r="E150" s="42">
        <f>+E144-E145-E146-E147-E148</f>
        <v>43069.748499999987</v>
      </c>
      <c r="F150" s="42">
        <f>+F144-F145-F146-F147-F148</f>
        <v>7786</v>
      </c>
      <c r="G150" s="43">
        <f>+G144-G145-G146-G147-G148-G149</f>
        <v>306916.64576380182</v>
      </c>
    </row>
    <row r="151" spans="1:10" ht="15" thickTop="1" x14ac:dyDescent="0.3">
      <c r="A151" s="13"/>
      <c r="B151" s="44"/>
      <c r="C151" s="44"/>
      <c r="D151" s="44"/>
      <c r="E151" s="44"/>
      <c r="F151" s="44"/>
      <c r="G151" s="28"/>
    </row>
    <row r="152" spans="1:10" x14ac:dyDescent="0.3">
      <c r="A152" s="13" t="s">
        <v>11</v>
      </c>
      <c r="B152" s="44">
        <f>'[10]Comparison 2016-2017'!$B$181</f>
        <v>290564.36236729723</v>
      </c>
      <c r="C152" s="44">
        <f>'[10]Comparison 2016-2017'!$C$181</f>
        <v>241752.88200000275</v>
      </c>
      <c r="D152" s="44">
        <f>'[10]Comparison 2016-2017'!$D$181</f>
        <v>20570.799950000026</v>
      </c>
      <c r="E152" s="44">
        <f>'[10]Comparison 2016-2017'!$E$181</f>
        <v>42772.04900000005</v>
      </c>
      <c r="F152" s="44">
        <f>'[10]Comparison 2016-2017'!$F$181</f>
        <v>3747</v>
      </c>
      <c r="G152" s="28">
        <f t="shared" ref="G152:G158" si="10">SUM(B152:F152)</f>
        <v>599407.09331729996</v>
      </c>
    </row>
    <row r="153" spans="1:10" x14ac:dyDescent="0.3">
      <c r="A153" s="13" t="s">
        <v>17</v>
      </c>
      <c r="B153" s="27">
        <v>3793.18</v>
      </c>
      <c r="C153" s="27">
        <v>1156.1199999999999</v>
      </c>
      <c r="D153" s="27"/>
      <c r="E153" s="27"/>
      <c r="F153" s="27"/>
      <c r="G153" s="28">
        <f t="shared" si="10"/>
        <v>4949.2999999999993</v>
      </c>
    </row>
    <row r="154" spans="1:10" x14ac:dyDescent="0.3">
      <c r="A154" s="13" t="s">
        <v>19</v>
      </c>
      <c r="B154" s="27">
        <v>38046.230000000003</v>
      </c>
      <c r="C154" s="27">
        <v>5305.5</v>
      </c>
      <c r="D154" s="27">
        <v>1167.43</v>
      </c>
      <c r="E154" s="27"/>
      <c r="F154" s="27"/>
      <c r="G154" s="28">
        <f t="shared" si="10"/>
        <v>44519.16</v>
      </c>
    </row>
    <row r="155" spans="1:10" x14ac:dyDescent="0.3">
      <c r="A155" s="13" t="s">
        <v>20</v>
      </c>
      <c r="B155" s="27">
        <v>-18692.400000000001</v>
      </c>
      <c r="C155" s="27">
        <v>-38313.5</v>
      </c>
      <c r="D155" s="27"/>
      <c r="E155" s="27"/>
      <c r="F155" s="27"/>
      <c r="G155" s="28">
        <f t="shared" si="10"/>
        <v>-57005.9</v>
      </c>
    </row>
    <row r="156" spans="1:10" x14ac:dyDescent="0.3">
      <c r="A156" s="13" t="s">
        <v>292</v>
      </c>
      <c r="B156" s="27">
        <v>1027.82</v>
      </c>
      <c r="C156" s="27">
        <v>-107194</v>
      </c>
      <c r="D156" s="27"/>
      <c r="E156" s="27"/>
      <c r="F156" s="27"/>
      <c r="G156" s="28">
        <f t="shared" si="10"/>
        <v>-106166.18</v>
      </c>
    </row>
    <row r="157" spans="1:10" x14ac:dyDescent="0.3">
      <c r="A157" s="13" t="s">
        <v>291</v>
      </c>
      <c r="B157" s="27">
        <v>-18000</v>
      </c>
      <c r="C157" s="27">
        <v>-17000</v>
      </c>
      <c r="D157" s="27">
        <v>0</v>
      </c>
      <c r="E157" s="27">
        <v>0</v>
      </c>
      <c r="F157" s="27">
        <v>0</v>
      </c>
      <c r="G157" s="28">
        <f t="shared" si="10"/>
        <v>-35000</v>
      </c>
    </row>
    <row r="158" spans="1:10" x14ac:dyDescent="0.3">
      <c r="A158" s="13" t="s">
        <v>21</v>
      </c>
      <c r="B158" s="27"/>
      <c r="C158" s="27"/>
      <c r="D158" s="27"/>
      <c r="E158" s="27"/>
      <c r="F158" s="27"/>
      <c r="G158" s="28">
        <f t="shared" si="10"/>
        <v>0</v>
      </c>
    </row>
    <row r="159" spans="1:10" x14ac:dyDescent="0.3">
      <c r="A159" s="13"/>
      <c r="B159" s="44"/>
      <c r="C159" s="44"/>
      <c r="D159" s="44"/>
      <c r="E159" s="44"/>
      <c r="F159" s="44"/>
      <c r="G159" s="28"/>
      <c r="H159" s="8">
        <f>SUM(B160:F160)-G149</f>
        <v>-143786.82755351326</v>
      </c>
      <c r="I159" s="33">
        <f>G160-H159</f>
        <v>1.5104888007044792E-8</v>
      </c>
      <c r="J159" s="8" t="s">
        <v>23</v>
      </c>
    </row>
    <row r="160" spans="1:10" x14ac:dyDescent="0.3">
      <c r="A160" s="13" t="s">
        <v>14</v>
      </c>
      <c r="B160" s="46">
        <f>+B150-SUM(B152:B158)</f>
        <v>-512432.92803728633</v>
      </c>
      <c r="C160" s="46">
        <f>+C150-SUM(C152:C158)</f>
        <v>366001.90947377437</v>
      </c>
      <c r="D160" s="46">
        <f>+D150-SUM(D152:D158)</f>
        <v>-5125.3184900012166</v>
      </c>
      <c r="E160" s="46">
        <f>+E150-SUM(E152:E158)</f>
        <v>297.69949999993696</v>
      </c>
      <c r="F160" s="46">
        <f>+F150-SUM(F152:F158)</f>
        <v>4039</v>
      </c>
      <c r="G160" s="51">
        <f>+G150-G152-G153-G154-G155-G158-G156-G157</f>
        <v>-143786.82755349815</v>
      </c>
      <c r="H160" s="8">
        <f>'[8]P&amp;L Compare to Hedge 2017'!$H$43</f>
        <v>-143786.82331730897</v>
      </c>
      <c r="I160" s="33">
        <f>G160-H160</f>
        <v>-4.2361891828477383E-3</v>
      </c>
      <c r="J160" s="9" t="s">
        <v>22</v>
      </c>
    </row>
    <row r="161" spans="1:14" ht="15" thickBot="1" x14ac:dyDescent="0.35">
      <c r="A161" s="35" t="s">
        <v>16</v>
      </c>
      <c r="B161" s="47">
        <v>1266.5999999999999</v>
      </c>
      <c r="C161" s="47">
        <v>16.75</v>
      </c>
      <c r="D161" s="47">
        <v>937.7</v>
      </c>
      <c r="E161" s="47">
        <v>890.5</v>
      </c>
      <c r="F161" s="47">
        <v>900</v>
      </c>
      <c r="G161" s="48"/>
    </row>
    <row r="162" spans="1:14" x14ac:dyDescent="0.3">
      <c r="A162" s="98" t="s">
        <v>12</v>
      </c>
      <c r="B162" s="99"/>
      <c r="C162" s="99"/>
      <c r="D162" s="99"/>
      <c r="E162" s="99"/>
      <c r="F162" s="99"/>
      <c r="G162" s="100"/>
    </row>
    <row r="163" spans="1:14" x14ac:dyDescent="0.3">
      <c r="A163" s="101" t="s">
        <v>13</v>
      </c>
      <c r="B163" s="102"/>
      <c r="C163" s="102"/>
      <c r="D163" s="102"/>
      <c r="E163" s="102"/>
      <c r="F163" s="102"/>
      <c r="G163" s="103"/>
    </row>
    <row r="164" spans="1:14" x14ac:dyDescent="0.3">
      <c r="A164" s="95">
        <v>42948</v>
      </c>
      <c r="B164" s="96"/>
      <c r="C164" s="96"/>
      <c r="D164" s="96"/>
      <c r="E164" s="96"/>
      <c r="F164" s="96"/>
      <c r="G164" s="97"/>
    </row>
    <row r="165" spans="1:14" s="17" customFormat="1" x14ac:dyDescent="0.3">
      <c r="A165" s="10"/>
      <c r="B165" s="11"/>
      <c r="C165" s="11"/>
      <c r="D165" s="11"/>
      <c r="E165" s="11"/>
      <c r="F165" s="11"/>
      <c r="G165" s="12"/>
      <c r="H165" s="16"/>
      <c r="M165" s="70"/>
      <c r="N165" s="70"/>
    </row>
    <row r="166" spans="1:14" x14ac:dyDescent="0.3">
      <c r="A166" s="13"/>
      <c r="B166" s="14" t="s">
        <v>5</v>
      </c>
      <c r="C166" s="14" t="s">
        <v>6</v>
      </c>
      <c r="D166" s="14" t="s">
        <v>7</v>
      </c>
      <c r="E166" s="14" t="s">
        <v>8</v>
      </c>
      <c r="F166" s="14" t="s">
        <v>9</v>
      </c>
      <c r="G166" s="15" t="s">
        <v>10</v>
      </c>
    </row>
    <row r="167" spans="1:14" x14ac:dyDescent="0.3">
      <c r="A167" s="13" t="s">
        <v>0</v>
      </c>
      <c r="B167" s="50">
        <f>'[8]P&amp;L Compare to Hedge 2017'!$I$5</f>
        <v>92628005.799999997</v>
      </c>
      <c r="C167" s="50">
        <f>'[8]P&amp;L Compare to Hedge 2017'!$I$6</f>
        <v>258629223.91</v>
      </c>
      <c r="D167" s="50">
        <f>'[8]P&amp;L Compare to Hedge 2017'!$I$7</f>
        <v>1205718.99</v>
      </c>
      <c r="E167" s="50">
        <f>'[8]P&amp;L Compare to Hedge 2017'!$I$8</f>
        <v>5862454.5</v>
      </c>
      <c r="F167" s="50">
        <f>'[8]P&amp;L Compare to Hedge 2017'!$I$9</f>
        <v>114473</v>
      </c>
      <c r="G167" s="28">
        <f>SUM(B167:F167)</f>
        <v>358439876.19999999</v>
      </c>
    </row>
    <row r="168" spans="1:14" x14ac:dyDescent="0.3">
      <c r="A168" s="13" t="s">
        <v>1</v>
      </c>
      <c r="B168" s="50">
        <f>'[8]P&amp;L Compare to Hedge 2017'!$I$13</f>
        <v>92027800.210000008</v>
      </c>
      <c r="C168" s="50">
        <f>'[8]P&amp;L Compare to Hedge 2017'!$I$14</f>
        <v>255984345.39000002</v>
      </c>
      <c r="D168" s="50">
        <f>'[8]P&amp;L Compare to Hedge 2017'!$I$15</f>
        <v>1189917.1400000001</v>
      </c>
      <c r="E168" s="50">
        <f>'[8]P&amp;L Compare to Hedge 2017'!$I$16</f>
        <v>5701283.5200000005</v>
      </c>
      <c r="F168" s="50">
        <f>'[8]P&amp;L Compare to Hedge 2017'!$I$17</f>
        <v>105518.9</v>
      </c>
      <c r="G168" s="28">
        <f>SUM(B168:F168)</f>
        <v>355008865.15999997</v>
      </c>
    </row>
    <row r="169" spans="1:14" x14ac:dyDescent="0.3">
      <c r="A169" s="13" t="s">
        <v>2</v>
      </c>
      <c r="B169" s="50">
        <f>'[8]P&amp;L Compare to Hedge 2017'!$I$19</f>
        <v>-368580.55000001192</v>
      </c>
      <c r="C169" s="50">
        <f>'[8]P&amp;L Compare to Hedge 2017'!$I$20</f>
        <v>-3722508.3799999952</v>
      </c>
      <c r="D169" s="50">
        <f>'[8]P&amp;L Compare to Hedge 2017'!$I$21</f>
        <v>-78527.610000000102</v>
      </c>
      <c r="E169" s="50">
        <f>'[8]P&amp;L Compare to Hedge 2017'!$I$22</f>
        <v>-11798.12000000001</v>
      </c>
      <c r="F169" s="50">
        <v>0</v>
      </c>
      <c r="G169" s="28">
        <f>SUM(B169:F169)</f>
        <v>-4181414.6600000076</v>
      </c>
    </row>
    <row r="170" spans="1:14" x14ac:dyDescent="0.3">
      <c r="A170" s="13" t="s">
        <v>3</v>
      </c>
      <c r="B170" s="50">
        <f>'[8]P&amp;L Compare to Hedge 2017'!$I$24</f>
        <v>-1020079.7199999988</v>
      </c>
      <c r="C170" s="50">
        <f>'[8]P&amp;L Compare to Hedge 2017'!$I$25</f>
        <v>5871569.7299999967</v>
      </c>
      <c r="D170" s="50">
        <f>'[8]P&amp;L Compare to Hedge 2017'!$I$26</f>
        <v>-522.5</v>
      </c>
      <c r="E170" s="50">
        <f>'[8]P&amp;L Compare to Hedge 2017'!$I$27</f>
        <v>0</v>
      </c>
      <c r="F170" s="50">
        <v>0</v>
      </c>
      <c r="G170" s="28">
        <f>SUM(B170:F170)</f>
        <v>4850967.5099999979</v>
      </c>
    </row>
    <row r="171" spans="1:14" ht="15" thickBot="1" x14ac:dyDescent="0.35">
      <c r="A171" s="13" t="s">
        <v>4</v>
      </c>
      <c r="B171" s="18">
        <f>'[18]Mrkg to Mkt Gold'!$E$28</f>
        <v>1319171.0713699944</v>
      </c>
      <c r="C171" s="18">
        <f>'[18]Mkg to Mkt Silver'!$E$28-14.56</f>
        <v>147488.48302702099</v>
      </c>
      <c r="D171" s="24">
        <f>'[18]Mkg to Mkt Platinum  '!$E$28</f>
        <v>78154.534259999404</v>
      </c>
      <c r="E171" s="24">
        <f>'[18]Mkg to Mkt Palladium'!$E$28</f>
        <v>116955.36945</v>
      </c>
      <c r="F171" s="24">
        <f>'[18]Mkg to Mkt Rhodium'!$E$28</f>
        <v>-44382.900000000009</v>
      </c>
      <c r="G171" s="28">
        <f>SUM(B171:F171)</f>
        <v>1617386.5581070147</v>
      </c>
    </row>
    <row r="172" spans="1:14" ht="15" thickBot="1" x14ac:dyDescent="0.35">
      <c r="A172" s="13" t="s">
        <v>18</v>
      </c>
      <c r="B172" s="40"/>
      <c r="C172" s="40"/>
      <c r="D172" s="40"/>
      <c r="E172" s="40"/>
      <c r="F172" s="40"/>
      <c r="G172" s="41">
        <v>8899.35</v>
      </c>
    </row>
    <row r="173" spans="1:14" ht="15" thickBot="1" x14ac:dyDescent="0.35">
      <c r="A173" s="13"/>
      <c r="B173" s="42">
        <f>+B167-B168-B169-B170-B171</f>
        <v>669694.78863000497</v>
      </c>
      <c r="C173" s="42">
        <f>+C167-C168-C169-C170-C171</f>
        <v>348328.68697295844</v>
      </c>
      <c r="D173" s="42">
        <f>+D167-D168-D169-D170-D171</f>
        <v>16697.425740000559</v>
      </c>
      <c r="E173" s="42">
        <f>+E167-E168-E169-E170-E171</f>
        <v>56013.730549999513</v>
      </c>
      <c r="F173" s="42">
        <f>+F167-F168-F169-F170-F171</f>
        <v>53337.000000000015</v>
      </c>
      <c r="G173" s="43">
        <f>+G167-G168-G169-G170-G171-G172</f>
        <v>1135172.2818930163</v>
      </c>
    </row>
    <row r="174" spans="1:14" ht="15" thickTop="1" x14ac:dyDescent="0.3">
      <c r="A174" s="13"/>
      <c r="B174" s="44"/>
      <c r="C174" s="44"/>
      <c r="D174" s="44"/>
      <c r="E174" s="44"/>
      <c r="F174" s="44"/>
      <c r="G174" s="28"/>
    </row>
    <row r="175" spans="1:14" x14ac:dyDescent="0.3">
      <c r="A175" s="13" t="s">
        <v>11</v>
      </c>
      <c r="B175" s="44">
        <v>687563.68</v>
      </c>
      <c r="C175" s="44">
        <v>361067.57</v>
      </c>
      <c r="D175" s="44">
        <v>14758.86</v>
      </c>
      <c r="E175" s="44">
        <v>51611.64</v>
      </c>
      <c r="F175" s="44">
        <v>53760</v>
      </c>
      <c r="G175" s="28">
        <f t="shared" ref="G175:G181" si="11">SUM(B175:F175)</f>
        <v>1168761.75</v>
      </c>
    </row>
    <row r="176" spans="1:14" x14ac:dyDescent="0.3">
      <c r="A176" s="13" t="s">
        <v>17</v>
      </c>
      <c r="B176" s="27">
        <v>1822.68</v>
      </c>
      <c r="C176" s="27">
        <v>1295.97</v>
      </c>
      <c r="D176" s="27">
        <v>0</v>
      </c>
      <c r="E176" s="27">
        <v>0</v>
      </c>
      <c r="F176" s="27">
        <v>0</v>
      </c>
      <c r="G176" s="28">
        <f t="shared" si="11"/>
        <v>3118.65</v>
      </c>
    </row>
    <row r="177" spans="1:14" x14ac:dyDescent="0.3">
      <c r="A177" s="13" t="s">
        <v>19</v>
      </c>
      <c r="B177" s="26">
        <f>+'[11]Monthly Summary'!$F$9</f>
        <v>22635.45</v>
      </c>
      <c r="C177" s="26">
        <f>+'[11]Monthly Summary'!$F$10</f>
        <v>4863.76</v>
      </c>
      <c r="D177" s="27">
        <v>0</v>
      </c>
      <c r="E177" s="27">
        <v>0</v>
      </c>
      <c r="F177" s="27">
        <v>0</v>
      </c>
      <c r="G177" s="28">
        <f t="shared" si="11"/>
        <v>27499.21</v>
      </c>
    </row>
    <row r="178" spans="1:14" x14ac:dyDescent="0.3">
      <c r="A178" s="13" t="s">
        <v>20</v>
      </c>
      <c r="B178" s="27">
        <v>-1823.61</v>
      </c>
      <c r="C178" s="27">
        <v>-85520.7</v>
      </c>
      <c r="D178" s="27">
        <v>0</v>
      </c>
      <c r="E178" s="27">
        <v>0</v>
      </c>
      <c r="F178" s="27">
        <v>0</v>
      </c>
      <c r="G178" s="28">
        <f t="shared" si="11"/>
        <v>-87344.31</v>
      </c>
    </row>
    <row r="179" spans="1:14" x14ac:dyDescent="0.3">
      <c r="A179" s="13" t="s">
        <v>292</v>
      </c>
      <c r="B179" s="27">
        <v>-8928.7999999999993</v>
      </c>
      <c r="C179" s="27">
        <v>88911</v>
      </c>
      <c r="D179" s="27">
        <v>0</v>
      </c>
      <c r="E179" s="27">
        <v>0</v>
      </c>
      <c r="F179" s="27">
        <v>0</v>
      </c>
      <c r="G179" s="28">
        <f t="shared" si="11"/>
        <v>79982.2</v>
      </c>
    </row>
    <row r="180" spans="1:14" x14ac:dyDescent="0.3">
      <c r="A180" s="13" t="s">
        <v>291</v>
      </c>
      <c r="B180" s="27">
        <v>-18000</v>
      </c>
      <c r="C180" s="27">
        <v>-17000</v>
      </c>
      <c r="D180" s="27">
        <v>0</v>
      </c>
      <c r="E180" s="27">
        <v>0</v>
      </c>
      <c r="F180" s="27">
        <v>0</v>
      </c>
      <c r="G180" s="28">
        <f t="shared" si="11"/>
        <v>-35000</v>
      </c>
    </row>
    <row r="181" spans="1:14" x14ac:dyDescent="0.3">
      <c r="A181" s="13" t="s">
        <v>21</v>
      </c>
      <c r="B181" s="27"/>
      <c r="C181" s="27"/>
      <c r="D181" s="27"/>
      <c r="E181" s="27"/>
      <c r="F181" s="27"/>
      <c r="G181" s="28">
        <f t="shared" si="11"/>
        <v>0</v>
      </c>
    </row>
    <row r="182" spans="1:14" x14ac:dyDescent="0.3">
      <c r="A182" s="13"/>
      <c r="B182" s="44"/>
      <c r="C182" s="44"/>
      <c r="D182" s="44"/>
      <c r="E182" s="44"/>
      <c r="F182" s="44"/>
      <c r="G182" s="28"/>
      <c r="H182" s="8">
        <f>SUM(B183:F183)-G172</f>
        <v>-21845.218107036497</v>
      </c>
      <c r="I182" s="33">
        <f>G183-H182</f>
        <v>5.2801624406129122E-8</v>
      </c>
      <c r="J182" s="8" t="s">
        <v>23</v>
      </c>
    </row>
    <row r="183" spans="1:14" x14ac:dyDescent="0.3">
      <c r="A183" s="13" t="s">
        <v>14</v>
      </c>
      <c r="B183" s="46">
        <f>+B173-SUM(B175:B181)</f>
        <v>-13574.611369995051</v>
      </c>
      <c r="C183" s="46">
        <f>+C173-SUM(C175:C181)</f>
        <v>-5288.9130270415335</v>
      </c>
      <c r="D183" s="46">
        <f>+D173-SUM(D175:D181)</f>
        <v>1938.5657400005584</v>
      </c>
      <c r="E183" s="46">
        <f>+E173-SUM(E175:E181)</f>
        <v>4402.0905499995133</v>
      </c>
      <c r="F183" s="46">
        <f>+F173-SUM(F175:F181)</f>
        <v>-422.99999999998545</v>
      </c>
      <c r="G183" s="51">
        <f>+G173-G175-G176-G177-G178-G181-G179-G180</f>
        <v>-21845.218106983695</v>
      </c>
      <c r="H183" s="8">
        <f>'[8]P&amp;L Compare to Hedge 2017'!$I$43</f>
        <v>-21845.218134135706</v>
      </c>
      <c r="I183" s="33">
        <f>G183-H183</f>
        <v>2.7152011170983315E-5</v>
      </c>
      <c r="J183" s="9" t="s">
        <v>22</v>
      </c>
    </row>
    <row r="184" spans="1:14" ht="15" thickBot="1" x14ac:dyDescent="0.35">
      <c r="A184" s="35" t="s">
        <v>16</v>
      </c>
      <c r="B184" s="47">
        <v>1316.2</v>
      </c>
      <c r="C184" s="47">
        <v>17.48</v>
      </c>
      <c r="D184" s="47">
        <v>996.8</v>
      </c>
      <c r="E184" s="47">
        <v>931.95</v>
      </c>
      <c r="F184" s="47">
        <v>1020</v>
      </c>
      <c r="G184" s="48"/>
    </row>
    <row r="185" spans="1:14" x14ac:dyDescent="0.3">
      <c r="A185" s="98" t="s">
        <v>12</v>
      </c>
      <c r="B185" s="99"/>
      <c r="C185" s="99"/>
      <c r="D185" s="99"/>
      <c r="E185" s="99"/>
      <c r="F185" s="99"/>
      <c r="G185" s="100"/>
    </row>
    <row r="186" spans="1:14" x14ac:dyDescent="0.3">
      <c r="A186" s="101" t="s">
        <v>13</v>
      </c>
      <c r="B186" s="102"/>
      <c r="C186" s="102"/>
      <c r="D186" s="102"/>
      <c r="E186" s="102"/>
      <c r="F186" s="102"/>
      <c r="G186" s="103"/>
    </row>
    <row r="187" spans="1:14" x14ac:dyDescent="0.3">
      <c r="A187" s="95">
        <v>42979</v>
      </c>
      <c r="B187" s="96"/>
      <c r="C187" s="96"/>
      <c r="D187" s="96"/>
      <c r="E187" s="96"/>
      <c r="F187" s="96"/>
      <c r="G187" s="97"/>
    </row>
    <row r="188" spans="1:14" s="17" customFormat="1" x14ac:dyDescent="0.3">
      <c r="A188" s="10"/>
      <c r="B188" s="11"/>
      <c r="C188" s="11"/>
      <c r="D188" s="11"/>
      <c r="E188" s="11"/>
      <c r="F188" s="11"/>
      <c r="G188" s="12"/>
      <c r="H188" s="16"/>
      <c r="M188" s="70"/>
      <c r="N188" s="70"/>
    </row>
    <row r="189" spans="1:14" x14ac:dyDescent="0.3">
      <c r="A189" s="13"/>
      <c r="B189" s="14" t="s">
        <v>5</v>
      </c>
      <c r="C189" s="14" t="s">
        <v>6</v>
      </c>
      <c r="D189" s="14" t="s">
        <v>7</v>
      </c>
      <c r="E189" s="14" t="s">
        <v>8</v>
      </c>
      <c r="F189" s="14" t="s">
        <v>9</v>
      </c>
      <c r="G189" s="15" t="s">
        <v>10</v>
      </c>
    </row>
    <row r="190" spans="1:14" x14ac:dyDescent="0.3">
      <c r="A190" s="13" t="s">
        <v>0</v>
      </c>
      <c r="B190" s="50">
        <f>'[8]P&amp;L Compare to Hedge 2017'!$J$5</f>
        <v>74564379.010000005</v>
      </c>
      <c r="C190" s="50">
        <f>'[8]P&amp;L Compare to Hedge 2017'!$J$6</f>
        <v>94442621.200000003</v>
      </c>
      <c r="D190" s="50">
        <f>'[8]P&amp;L Compare to Hedge 2017'!$J$7</f>
        <v>1482064.24</v>
      </c>
      <c r="E190" s="50">
        <f>'[8]P&amp;L Compare to Hedge 2017'!$J$8</f>
        <v>5126450.9400000004</v>
      </c>
      <c r="F190" s="50">
        <f>'[8]P&amp;L Compare to Hedge 2017'!$J$9</f>
        <v>203175</v>
      </c>
      <c r="G190" s="28">
        <f>SUM(B190:F190)</f>
        <v>175818690.39000002</v>
      </c>
    </row>
    <row r="191" spans="1:14" x14ac:dyDescent="0.3">
      <c r="A191" s="13" t="s">
        <v>1</v>
      </c>
      <c r="B191" s="50">
        <f>'[8]P&amp;L Compare to Hedge 2017'!$J$13</f>
        <v>73891670.470000014</v>
      </c>
      <c r="C191" s="50">
        <f>'[8]P&amp;L Compare to Hedge 2017'!$J$14</f>
        <v>92191125.279999986</v>
      </c>
      <c r="D191" s="50">
        <f>'[8]P&amp;L Compare to Hedge 2017'!$J$15</f>
        <v>1447225.03</v>
      </c>
      <c r="E191" s="50">
        <f>'[8]P&amp;L Compare to Hedge 2017'!$J$16</f>
        <v>5068937.24</v>
      </c>
      <c r="F191" s="50">
        <f>'[8]P&amp;L Compare to Hedge 2017'!$J$17</f>
        <v>189775.52</v>
      </c>
      <c r="G191" s="28">
        <f>SUM(B191:F191)</f>
        <v>172788733.54000002</v>
      </c>
    </row>
    <row r="192" spans="1:14" x14ac:dyDescent="0.3">
      <c r="A192" s="13" t="s">
        <v>2</v>
      </c>
      <c r="B192" s="50">
        <f>'[8]P&amp;L Compare to Hedge 2017'!$J$19</f>
        <v>-83834.659999996424</v>
      </c>
      <c r="C192" s="50">
        <f>'[8]P&amp;L Compare to Hedge 2017'!$J$20</f>
        <v>1873917.25</v>
      </c>
      <c r="D192" s="50">
        <f>'[8]P&amp;L Compare to Hedge 2017'!$J$21</f>
        <v>36.539999999979045</v>
      </c>
      <c r="E192" s="50">
        <f>'[8]P&amp;L Compare to Hedge 2017'!$J$22</f>
        <v>-16559.880000000005</v>
      </c>
      <c r="F192" s="50">
        <v>0</v>
      </c>
      <c r="G192" s="28">
        <f>SUM(B192:F192)</f>
        <v>1773559.2500000037</v>
      </c>
    </row>
    <row r="193" spans="1:14" x14ac:dyDescent="0.3">
      <c r="A193" s="13" t="s">
        <v>3</v>
      </c>
      <c r="B193" s="50">
        <f>'[8]P&amp;L Compare to Hedge 2017'!$J$24</f>
        <v>80450.969999998808</v>
      </c>
      <c r="C193" s="50">
        <f>'[8]P&amp;L Compare to Hedge 2017'!$J$25</f>
        <v>-4876920.849999994</v>
      </c>
      <c r="D193" s="50">
        <f>'[8]P&amp;L Compare to Hedge 2017'!$J$26</f>
        <v>-6000</v>
      </c>
      <c r="E193" s="50">
        <f>'[8]P&amp;L Compare to Hedge 2017'!$J$27</f>
        <v>0</v>
      </c>
      <c r="F193" s="50">
        <v>0</v>
      </c>
      <c r="G193" s="28">
        <f>SUM(B193:F193)</f>
        <v>-4802469.8799999952</v>
      </c>
    </row>
    <row r="194" spans="1:14" ht="15" thickBot="1" x14ac:dyDescent="0.35">
      <c r="A194" s="13" t="s">
        <v>4</v>
      </c>
      <c r="B194" s="18">
        <f>'[19]Mrkg to Mkt Gold'!$E$28</f>
        <v>213742.0223899968</v>
      </c>
      <c r="C194" s="18">
        <f>'[19]Mkg to Mkt Silver'!$E$28-219</f>
        <v>5104039.3508071862</v>
      </c>
      <c r="D194" s="24">
        <f>'[19]Mkg to Mkt Platinum  '!$E$28</f>
        <v>11089.329739999725</v>
      </c>
      <c r="E194" s="24">
        <f>'[19]Mkg to Mkt Palladium'!$E$28</f>
        <v>13287.637999999977</v>
      </c>
      <c r="F194" s="24">
        <f>'[19]Mkg to Mkt Rhodium'!$E$28</f>
        <v>19971.480000000003</v>
      </c>
      <c r="G194" s="28">
        <f>SUM(B194:F194)</f>
        <v>5362129.8209371837</v>
      </c>
    </row>
    <row r="195" spans="1:14" ht="15" thickBot="1" x14ac:dyDescent="0.35">
      <c r="A195" s="13" t="s">
        <v>18</v>
      </c>
      <c r="B195" s="40"/>
      <c r="C195" s="40"/>
      <c r="D195" s="40"/>
      <c r="E195" s="40"/>
      <c r="F195" s="40"/>
      <c r="G195" s="41">
        <f>'[8]P&amp;L Compare to Hedge 2017'!$J$30</f>
        <v>9865.67</v>
      </c>
    </row>
    <row r="196" spans="1:14" ht="15" thickBot="1" x14ac:dyDescent="0.35">
      <c r="A196" s="13"/>
      <c r="B196" s="42">
        <f>+B190-B191-B192-B193-B194</f>
        <v>462350.20760999247</v>
      </c>
      <c r="C196" s="42">
        <f>+C190-C191-C192-C193-C194</f>
        <v>150460.16919282451</v>
      </c>
      <c r="D196" s="42">
        <f>+D190-D191-D192-D193-D194</f>
        <v>29713.340260000259</v>
      </c>
      <c r="E196" s="42">
        <f>+E190-E191-E192-E193-E194</f>
        <v>60785.942000000214</v>
      </c>
      <c r="F196" s="42">
        <f>+F190-F191-F192-F193-F194</f>
        <v>-6571.9999999999927</v>
      </c>
      <c r="G196" s="43">
        <f>+G190-G191-G192-G193-G194-G195</f>
        <v>686871.98906280182</v>
      </c>
    </row>
    <row r="197" spans="1:14" ht="15" thickTop="1" x14ac:dyDescent="0.3">
      <c r="A197" s="13"/>
      <c r="B197" s="44"/>
      <c r="C197" s="44"/>
      <c r="D197" s="44"/>
      <c r="E197" s="44"/>
      <c r="F197" s="44"/>
      <c r="G197" s="28"/>
    </row>
    <row r="198" spans="1:14" x14ac:dyDescent="0.3">
      <c r="A198" s="13" t="s">
        <v>11</v>
      </c>
      <c r="B198" s="44">
        <f>'[10]Comparison 2016-2017'!$B$232</f>
        <v>372594.26901299902</v>
      </c>
      <c r="C198" s="44">
        <f>'[10]Comparison 2016-2017'!$C$232</f>
        <v>332451.00870005129</v>
      </c>
      <c r="D198" s="44">
        <f>'[10]Comparison 2016-2017'!$D$232</f>
        <v>23103.951180000018</v>
      </c>
      <c r="E198" s="44">
        <f>'[10]Comparison 2016-2017'!$E$232</f>
        <v>53461.188000000002</v>
      </c>
      <c r="F198" s="44">
        <f>'[10]Comparison 2016-2017'!$F$232</f>
        <v>0</v>
      </c>
      <c r="G198" s="28">
        <f t="shared" ref="G198:G204" si="12">SUM(B198:F198)</f>
        <v>781610.41689305031</v>
      </c>
    </row>
    <row r="199" spans="1:14" x14ac:dyDescent="0.3">
      <c r="A199" s="13" t="s">
        <v>17</v>
      </c>
      <c r="B199" s="27">
        <v>4645</v>
      </c>
      <c r="C199" s="27">
        <v>3205.9</v>
      </c>
      <c r="D199" s="27">
        <v>0</v>
      </c>
      <c r="E199" s="27">
        <v>0</v>
      </c>
      <c r="F199" s="27">
        <v>0</v>
      </c>
      <c r="G199" s="28">
        <f t="shared" si="12"/>
        <v>7850.9</v>
      </c>
    </row>
    <row r="200" spans="1:14" x14ac:dyDescent="0.3">
      <c r="A200" s="13" t="s">
        <v>19</v>
      </c>
      <c r="B200" s="26">
        <f>'[8]P&amp;L Compare to Hedge 2017'!$J$37</f>
        <v>25878.199999999997</v>
      </c>
      <c r="C200" s="27">
        <v>0</v>
      </c>
      <c r="D200" s="27">
        <v>0</v>
      </c>
      <c r="E200" s="27">
        <v>0</v>
      </c>
      <c r="F200" s="27">
        <v>0</v>
      </c>
      <c r="G200" s="28">
        <f t="shared" si="12"/>
        <v>25878.199999999997</v>
      </c>
    </row>
    <row r="201" spans="1:14" x14ac:dyDescent="0.3">
      <c r="A201" s="13" t="s">
        <v>292</v>
      </c>
      <c r="B201" s="27">
        <v>-8841.2000000000007</v>
      </c>
      <c r="C201" s="27">
        <v>-36512</v>
      </c>
      <c r="D201" s="27"/>
      <c r="E201" s="27"/>
      <c r="F201" s="27"/>
      <c r="G201" s="28">
        <f t="shared" si="12"/>
        <v>-45353.2</v>
      </c>
    </row>
    <row r="202" spans="1:14" x14ac:dyDescent="0.3">
      <c r="A202" s="13" t="s">
        <v>20</v>
      </c>
      <c r="B202" s="27">
        <v>-686.56</v>
      </c>
      <c r="C202" s="27">
        <v>-84993.75</v>
      </c>
      <c r="D202" s="27">
        <v>0</v>
      </c>
      <c r="E202" s="27">
        <v>0</v>
      </c>
      <c r="F202" s="27">
        <v>0</v>
      </c>
      <c r="G202" s="28">
        <f t="shared" si="12"/>
        <v>-85680.31</v>
      </c>
    </row>
    <row r="203" spans="1:14" x14ac:dyDescent="0.3">
      <c r="A203" s="13" t="s">
        <v>291</v>
      </c>
      <c r="B203" s="27">
        <v>-18000</v>
      </c>
      <c r="C203" s="27">
        <v>-17000</v>
      </c>
      <c r="D203" s="27">
        <v>0</v>
      </c>
      <c r="E203" s="27">
        <v>0</v>
      </c>
      <c r="F203" s="27">
        <v>0</v>
      </c>
      <c r="G203" s="28">
        <f t="shared" si="12"/>
        <v>-35000</v>
      </c>
    </row>
    <row r="204" spans="1:14" x14ac:dyDescent="0.3">
      <c r="A204" s="69" t="s">
        <v>293</v>
      </c>
      <c r="B204" s="52">
        <v>125000</v>
      </c>
      <c r="C204" s="27">
        <v>0</v>
      </c>
      <c r="D204" s="27">
        <v>0</v>
      </c>
      <c r="E204" s="27">
        <v>0</v>
      </c>
      <c r="F204" s="27">
        <v>0</v>
      </c>
      <c r="G204" s="28">
        <f t="shared" si="12"/>
        <v>125000</v>
      </c>
    </row>
    <row r="205" spans="1:14" x14ac:dyDescent="0.3">
      <c r="A205" s="13"/>
      <c r="B205" s="44"/>
      <c r="C205" s="44"/>
      <c r="D205" s="44"/>
      <c r="E205" s="44"/>
      <c r="F205" s="44"/>
      <c r="G205" s="28"/>
      <c r="H205" s="8">
        <f>SUM(B206:F206)-G195</f>
        <v>-87434.0178302329</v>
      </c>
      <c r="I205" s="33">
        <f>G206-H205</f>
        <v>-1.5585101209580898E-8</v>
      </c>
      <c r="J205" s="8" t="s">
        <v>23</v>
      </c>
    </row>
    <row r="206" spans="1:14" x14ac:dyDescent="0.3">
      <c r="A206" s="13" t="s">
        <v>14</v>
      </c>
      <c r="B206" s="46">
        <f>+B196-SUM(B198:B204)</f>
        <v>-38239.50140300655</v>
      </c>
      <c r="C206" s="46">
        <f>+C196-SUM(C198:C204)</f>
        <v>-46690.989507226797</v>
      </c>
      <c r="D206" s="46">
        <f>+D196-SUM(D198:D204)</f>
        <v>6609.3890800002409</v>
      </c>
      <c r="E206" s="46">
        <f>+E196-SUM(E198:E204)</f>
        <v>7324.7540000002118</v>
      </c>
      <c r="F206" s="46">
        <f>+F196-SUM(F198:F204)</f>
        <v>-6571.9999999999927</v>
      </c>
      <c r="G206" s="51">
        <f>+G196-G198-G199-G200-G201-G204-G202-G203</f>
        <v>-87434.017830248486</v>
      </c>
      <c r="H206" s="8">
        <f>'[8]P&amp;L Compare to Hedge 2017'!$J$43</f>
        <v>-87434.016893041087</v>
      </c>
      <c r="I206" s="33">
        <f>G206-H206</f>
        <v>-9.3720739823766053E-4</v>
      </c>
      <c r="J206" s="9" t="s">
        <v>22</v>
      </c>
      <c r="N206" s="1"/>
    </row>
    <row r="207" spans="1:14" ht="15" thickBot="1" x14ac:dyDescent="0.35">
      <c r="A207" s="35" t="s">
        <v>16</v>
      </c>
      <c r="B207" s="47">
        <v>1281.5</v>
      </c>
      <c r="C207" s="47">
        <v>16.606999999999999</v>
      </c>
      <c r="D207" s="47">
        <v>910.3</v>
      </c>
      <c r="E207" s="47">
        <v>937.95</v>
      </c>
      <c r="F207" s="47">
        <v>1050</v>
      </c>
      <c r="G207" s="48"/>
    </row>
    <row r="208" spans="1:14" x14ac:dyDescent="0.3">
      <c r="A208" s="104" t="s">
        <v>12</v>
      </c>
      <c r="B208" s="105"/>
      <c r="C208" s="105"/>
      <c r="D208" s="105"/>
      <c r="E208" s="105"/>
      <c r="F208" s="105"/>
      <c r="G208" s="106"/>
    </row>
    <row r="209" spans="1:14" x14ac:dyDescent="0.3">
      <c r="A209" s="107" t="s">
        <v>13</v>
      </c>
      <c r="B209" s="108"/>
      <c r="C209" s="108"/>
      <c r="D209" s="108"/>
      <c r="E209" s="108"/>
      <c r="F209" s="108"/>
      <c r="G209" s="109"/>
    </row>
    <row r="210" spans="1:14" x14ac:dyDescent="0.3">
      <c r="A210" s="110">
        <v>43009</v>
      </c>
      <c r="B210" s="111"/>
      <c r="C210" s="111"/>
      <c r="D210" s="111"/>
      <c r="E210" s="111"/>
      <c r="F210" s="111"/>
      <c r="G210" s="112"/>
    </row>
    <row r="211" spans="1:14" s="17" customFormat="1" x14ac:dyDescent="0.3">
      <c r="A211" s="75"/>
      <c r="B211" s="76"/>
      <c r="C211" s="76"/>
      <c r="D211" s="76"/>
      <c r="E211" s="76"/>
      <c r="F211" s="76"/>
      <c r="G211" s="77"/>
      <c r="H211" s="16"/>
      <c r="M211" s="70"/>
      <c r="N211" s="70"/>
    </row>
    <row r="212" spans="1:14" x14ac:dyDescent="0.3">
      <c r="A212" s="78"/>
      <c r="B212" s="79" t="s">
        <v>5</v>
      </c>
      <c r="C212" s="79" t="s">
        <v>6</v>
      </c>
      <c r="D212" s="79" t="s">
        <v>7</v>
      </c>
      <c r="E212" s="79" t="s">
        <v>8</v>
      </c>
      <c r="F212" s="79" t="s">
        <v>9</v>
      </c>
      <c r="G212" s="80" t="s">
        <v>10</v>
      </c>
    </row>
    <row r="213" spans="1:14" x14ac:dyDescent="0.3">
      <c r="A213" s="78" t="s">
        <v>0</v>
      </c>
      <c r="B213" s="50">
        <f>'[8]P&amp;L Compare to Hedge 2017'!K$5</f>
        <v>65832090.469999999</v>
      </c>
      <c r="C213" s="50">
        <f>'[8]P&amp;L Compare to Hedge 2017'!$K$6</f>
        <v>69160558.799999997</v>
      </c>
      <c r="D213" s="50">
        <f>'[8]P&amp;L Compare to Hedge 2017'!$K$7</f>
        <v>2518805.41</v>
      </c>
      <c r="E213" s="50">
        <f>'[8]P&amp;L Compare to Hedge 2017'!$K$8</f>
        <v>5672153.0499999998</v>
      </c>
      <c r="F213" s="50">
        <f>'[8]P&amp;L Compare to Hedge 2017'!$K$9</f>
        <v>14316</v>
      </c>
      <c r="G213" s="39">
        <f t="shared" ref="G213:G218" si="13">SUM(B213:F213)</f>
        <v>143197923.72999999</v>
      </c>
    </row>
    <row r="214" spans="1:14" x14ac:dyDescent="0.3">
      <c r="A214" s="78" t="s">
        <v>1</v>
      </c>
      <c r="B214" s="50">
        <f>'[8]P&amp;L Compare to Hedge 2017'!$K$13</f>
        <v>64627565.059999995</v>
      </c>
      <c r="C214" s="50">
        <f>'[8]P&amp;L Compare to Hedge 2017'!$K$14</f>
        <v>69700913.989999995</v>
      </c>
      <c r="D214" s="50">
        <f>'[8]P&amp;L Compare to Hedge 2017'!$K$15</f>
        <v>2540546.3199999998</v>
      </c>
      <c r="E214" s="50">
        <f>'[8]P&amp;L Compare to Hedge 2017'!$K$16</f>
        <v>5557054.0999999996</v>
      </c>
      <c r="F214" s="50">
        <f>'[8]P&amp;L Compare to Hedge 2017'!$K$17</f>
        <v>8466.17</v>
      </c>
      <c r="G214" s="39">
        <f t="shared" si="13"/>
        <v>142434545.63999996</v>
      </c>
    </row>
    <row r="215" spans="1:14" x14ac:dyDescent="0.3">
      <c r="A215" s="78" t="s">
        <v>2</v>
      </c>
      <c r="B215" s="50">
        <f>'[8]P&amp;L Compare to Hedge 2017'!$K$19</f>
        <v>347572.1400000006</v>
      </c>
      <c r="C215" s="50">
        <f>'[8]P&amp;L Compare to Hedge 2017'!$K$20</f>
        <v>521231.07999992371</v>
      </c>
      <c r="D215" s="50">
        <f>'[8]P&amp;L Compare to Hedge 2017'!$K$21</f>
        <v>14495.75</v>
      </c>
      <c r="E215" s="50">
        <f>'[8]P&amp;L Compare to Hedge 2017'!$K$22</f>
        <v>800</v>
      </c>
      <c r="F215" s="50">
        <v>0</v>
      </c>
      <c r="G215" s="39">
        <f t="shared" si="13"/>
        <v>884098.9699999243</v>
      </c>
    </row>
    <row r="216" spans="1:14" x14ac:dyDescent="0.3">
      <c r="A216" s="78" t="s">
        <v>3</v>
      </c>
      <c r="B216" s="50">
        <f>'[8]P&amp;L Compare to Hedge 2017'!$K$24</f>
        <v>329310</v>
      </c>
      <c r="C216" s="50">
        <f>'[8]P&amp;L Compare to Hedge 2017'!$K$25</f>
        <v>163487.61999999732</v>
      </c>
      <c r="D216" s="50">
        <f>'[8]P&amp;L Compare to Hedge 2017'!$K$26</f>
        <v>0</v>
      </c>
      <c r="E216" s="50">
        <f>'[8]P&amp;L Compare to Hedge 2017'!$K$27</f>
        <v>0</v>
      </c>
      <c r="F216" s="50">
        <v>0</v>
      </c>
      <c r="G216" s="39">
        <f t="shared" si="13"/>
        <v>492797.61999999732</v>
      </c>
    </row>
    <row r="217" spans="1:14" x14ac:dyDescent="0.3">
      <c r="A217" s="78" t="s">
        <v>4</v>
      </c>
      <c r="B217" s="18">
        <f>'[20]Mrkg to Mkt Gold'!$E$28</f>
        <v>312206.14839998633</v>
      </c>
      <c r="C217" s="18">
        <f>'[20]Mkg to Mkt Silver'!$E$28</f>
        <v>-1368217.4753344941</v>
      </c>
      <c r="D217" s="26">
        <f>'[20]Mkg to Mkt Platinum  '!$E$28</f>
        <v>-71463.11248000036</v>
      </c>
      <c r="E217" s="26">
        <f>'[20]Mkg to Mkt Palladium'!$E$28</f>
        <v>51214.587949999841</v>
      </c>
      <c r="F217" s="26">
        <f>'[20]Mkg to Mkt Rhodium'!$E$28</f>
        <v>4875.8300000000017</v>
      </c>
      <c r="G217" s="89">
        <f>SUM(B217:F217)</f>
        <v>-1071384.0214645083</v>
      </c>
    </row>
    <row r="218" spans="1:14" ht="15" thickBot="1" x14ac:dyDescent="0.35">
      <c r="A218" s="78" t="s">
        <v>4</v>
      </c>
      <c r="B218" s="18">
        <v>0</v>
      </c>
      <c r="C218" s="18">
        <v>0</v>
      </c>
      <c r="D218" s="26">
        <v>0</v>
      </c>
      <c r="E218" s="26">
        <v>0</v>
      </c>
      <c r="F218" s="26">
        <v>0</v>
      </c>
      <c r="G218" s="39">
        <f t="shared" si="13"/>
        <v>0</v>
      </c>
      <c r="J218" s="71"/>
    </row>
    <row r="219" spans="1:14" ht="15" thickBot="1" x14ac:dyDescent="0.35">
      <c r="A219" s="78" t="s">
        <v>18</v>
      </c>
      <c r="B219" s="27"/>
      <c r="C219" s="27"/>
      <c r="D219" s="27"/>
      <c r="E219" s="27"/>
      <c r="F219" s="27"/>
      <c r="G219" s="81">
        <f>+'[8]P&amp;L Compare to Hedge 2017'!$K$159</f>
        <v>3147.89</v>
      </c>
      <c r="J219" s="71"/>
    </row>
    <row r="220" spans="1:14" ht="15" thickBot="1" x14ac:dyDescent="0.35">
      <c r="A220" s="78"/>
      <c r="B220" s="82">
        <f>+B213-B214-B215-B216-B217</f>
        <v>215437.12160001695</v>
      </c>
      <c r="C220" s="82">
        <f>+C213-C214-C215-C216-C217</f>
        <v>143143.5853345755</v>
      </c>
      <c r="D220" s="82">
        <f>+D213-D214-D215-D216-D217</f>
        <v>35226.452480000677</v>
      </c>
      <c r="E220" s="82">
        <f>+E213-E214-E215-E216-E217</f>
        <v>63084.362050000345</v>
      </c>
      <c r="F220" s="82">
        <f>+F213-F214-F215-F216-F217</f>
        <v>973.99999999999818</v>
      </c>
      <c r="G220" s="83">
        <f>+G213-G214-G215-G216-G217-G219</f>
        <v>454717.63146462</v>
      </c>
      <c r="J220" s="71"/>
    </row>
    <row r="221" spans="1:14" ht="15" thickTop="1" x14ac:dyDescent="0.3">
      <c r="A221" s="78"/>
      <c r="B221" s="27"/>
      <c r="C221" s="27"/>
      <c r="D221" s="27"/>
      <c r="E221" s="27"/>
      <c r="F221" s="27"/>
      <c r="G221" s="39"/>
    </row>
    <row r="222" spans="1:14" x14ac:dyDescent="0.3">
      <c r="A222" s="78" t="s">
        <v>11</v>
      </c>
      <c r="B222" s="27">
        <f>'[10]Comparison 2016-2017'!B$258</f>
        <v>282355.10033709987</v>
      </c>
      <c r="C222" s="27">
        <f>'[10]Comparison 2016-2017'!C$258</f>
        <v>269257.70900000399</v>
      </c>
      <c r="D222" s="27">
        <f>'[10]Comparison 2016-2017'!D$258</f>
        <v>31414.03000000001</v>
      </c>
      <c r="E222" s="27">
        <f>'[10]Comparison 2016-2017'!E$258</f>
        <v>73236.44</v>
      </c>
      <c r="F222" s="27">
        <f>'[10]Comparison 2016-2017'!F$258</f>
        <v>524</v>
      </c>
      <c r="G222" s="39">
        <f t="shared" ref="G222:G229" si="14">SUM(B222:F222)</f>
        <v>656787.27933710394</v>
      </c>
    </row>
    <row r="223" spans="1:14" x14ac:dyDescent="0.3">
      <c r="A223" s="78" t="s">
        <v>17</v>
      </c>
      <c r="B223" s="84">
        <f>8285.31</f>
        <v>8285.31</v>
      </c>
      <c r="C223" s="27">
        <v>215.16</v>
      </c>
      <c r="D223" s="27"/>
      <c r="E223" s="27"/>
      <c r="F223" s="27"/>
      <c r="G223" s="39">
        <f t="shared" si="14"/>
        <v>8500.4699999999993</v>
      </c>
    </row>
    <row r="224" spans="1:14" x14ac:dyDescent="0.3">
      <c r="A224" s="78" t="s">
        <v>19</v>
      </c>
      <c r="B224" s="27">
        <v>21691.85</v>
      </c>
      <c r="C224" s="27">
        <v>0</v>
      </c>
      <c r="D224" s="27">
        <v>5403.75</v>
      </c>
      <c r="E224" s="27"/>
      <c r="F224" s="27"/>
      <c r="G224" s="39">
        <f t="shared" si="14"/>
        <v>27095.599999999999</v>
      </c>
    </row>
    <row r="225" spans="1:14" x14ac:dyDescent="0.3">
      <c r="A225" s="78" t="s">
        <v>20</v>
      </c>
      <c r="B225" s="27">
        <v>0</v>
      </c>
      <c r="C225" s="27">
        <v>-73724</v>
      </c>
      <c r="D225" s="27">
        <v>0</v>
      </c>
      <c r="E225" s="27">
        <v>0</v>
      </c>
      <c r="F225" s="27">
        <v>0</v>
      </c>
      <c r="G225" s="39">
        <f t="shared" si="14"/>
        <v>-73724</v>
      </c>
    </row>
    <row r="226" spans="1:14" x14ac:dyDescent="0.3">
      <c r="A226" s="78" t="s">
        <v>292</v>
      </c>
      <c r="B226" s="27">
        <v>15685</v>
      </c>
      <c r="C226" s="27">
        <v>-45710</v>
      </c>
      <c r="D226" s="27">
        <v>0</v>
      </c>
      <c r="E226" s="27">
        <v>0</v>
      </c>
      <c r="F226" s="27">
        <v>0</v>
      </c>
      <c r="G226" s="39">
        <f t="shared" si="14"/>
        <v>-30025</v>
      </c>
    </row>
    <row r="227" spans="1:14" x14ac:dyDescent="0.3">
      <c r="A227" s="78" t="s">
        <v>291</v>
      </c>
      <c r="B227" s="27">
        <v>-18000</v>
      </c>
      <c r="C227" s="27">
        <v>-17000</v>
      </c>
      <c r="D227" s="27">
        <v>0</v>
      </c>
      <c r="E227" s="27">
        <v>0</v>
      </c>
      <c r="F227" s="27">
        <v>0</v>
      </c>
      <c r="G227" s="39">
        <f t="shared" si="14"/>
        <v>-35000</v>
      </c>
    </row>
    <row r="228" spans="1:14" x14ac:dyDescent="0.3">
      <c r="A228" s="78" t="s">
        <v>294</v>
      </c>
      <c r="B228" s="27">
        <f>-204000+8000</f>
        <v>-196000</v>
      </c>
      <c r="C228" s="27"/>
      <c r="D228" s="27"/>
      <c r="E228" s="27"/>
      <c r="F228" s="27"/>
      <c r="G228" s="39">
        <f t="shared" si="14"/>
        <v>-196000</v>
      </c>
    </row>
    <row r="229" spans="1:14" x14ac:dyDescent="0.3">
      <c r="A229" s="85" t="s">
        <v>295</v>
      </c>
      <c r="B229" s="27">
        <v>0</v>
      </c>
      <c r="C229" s="27"/>
      <c r="D229" s="27"/>
      <c r="E229" s="27"/>
      <c r="F229" s="27"/>
      <c r="G229" s="39">
        <f t="shared" si="14"/>
        <v>0</v>
      </c>
      <c r="I229" s="33"/>
      <c r="J229" s="8"/>
    </row>
    <row r="230" spans="1:14" x14ac:dyDescent="0.3">
      <c r="A230" s="85" t="s">
        <v>296</v>
      </c>
      <c r="B230" s="27">
        <v>0</v>
      </c>
      <c r="C230" s="27">
        <v>0</v>
      </c>
      <c r="D230" s="27"/>
      <c r="E230" s="27"/>
      <c r="F230" s="27"/>
      <c r="G230" s="39">
        <f>SUM(B230:F230)</f>
        <v>0</v>
      </c>
      <c r="H230" s="8">
        <f>SUM(B231:F231)-G219</f>
        <v>97083.282127489656</v>
      </c>
      <c r="I230" s="33">
        <f>G231-H230</f>
        <v>2.6397174224257469E-8</v>
      </c>
      <c r="J230" s="8" t="s">
        <v>23</v>
      </c>
    </row>
    <row r="231" spans="1:14" x14ac:dyDescent="0.3">
      <c r="A231" s="78" t="s">
        <v>14</v>
      </c>
      <c r="B231" s="62">
        <f>+B220-SUM(B222:B230)</f>
        <v>101419.86126291711</v>
      </c>
      <c r="C231" s="62">
        <f>+C220-SUM(C222:C230)</f>
        <v>10104.716334571538</v>
      </c>
      <c r="D231" s="62">
        <f>+D220-SUM(D222:D230)</f>
        <v>-1591.3275199993368</v>
      </c>
      <c r="E231" s="62">
        <f>+E220-SUM(E222:E230)</f>
        <v>-10152.077949999657</v>
      </c>
      <c r="F231" s="62">
        <f>+F220-SUM(F222:F230)</f>
        <v>449.99999999999818</v>
      </c>
      <c r="G231" s="86">
        <f>+G220-G222-G223-G224-G225-G228-G226-G227-G229-G230</f>
        <v>97083.282127516053</v>
      </c>
      <c r="H231" s="8">
        <f>'[8]P&amp;L Compare to Hedge 2017'!$K$43</f>
        <v>97083.270662990515</v>
      </c>
      <c r="I231" s="33">
        <f>G231-H231</f>
        <v>1.1464525538031012E-2</v>
      </c>
      <c r="J231" s="9" t="s">
        <v>22</v>
      </c>
    </row>
    <row r="232" spans="1:14" ht="15" thickBot="1" x14ac:dyDescent="0.35">
      <c r="A232" s="87" t="s">
        <v>16</v>
      </c>
      <c r="B232" s="88">
        <v>1267</v>
      </c>
      <c r="C232" s="88">
        <v>16.645</v>
      </c>
      <c r="D232" s="88">
        <v>915.8</v>
      </c>
      <c r="E232" s="88">
        <v>980.55</v>
      </c>
      <c r="F232" s="88">
        <v>1525</v>
      </c>
      <c r="G232" s="83"/>
    </row>
    <row r="233" spans="1:14" x14ac:dyDescent="0.3">
      <c r="A233" s="98" t="s">
        <v>12</v>
      </c>
      <c r="B233" s="99"/>
      <c r="C233" s="99"/>
      <c r="D233" s="99"/>
      <c r="E233" s="99"/>
      <c r="F233" s="99"/>
      <c r="G233" s="100"/>
    </row>
    <row r="234" spans="1:14" x14ac:dyDescent="0.3">
      <c r="A234" s="101" t="s">
        <v>13</v>
      </c>
      <c r="B234" s="102"/>
      <c r="C234" s="102"/>
      <c r="D234" s="102"/>
      <c r="E234" s="102"/>
      <c r="F234" s="102"/>
      <c r="G234" s="103"/>
    </row>
    <row r="235" spans="1:14" x14ac:dyDescent="0.3">
      <c r="A235" s="95">
        <v>43040</v>
      </c>
      <c r="B235" s="96"/>
      <c r="C235" s="96"/>
      <c r="D235" s="96"/>
      <c r="E235" s="96"/>
      <c r="F235" s="96"/>
      <c r="G235" s="97"/>
    </row>
    <row r="236" spans="1:14" s="17" customFormat="1" x14ac:dyDescent="0.3">
      <c r="A236" s="10"/>
      <c r="B236" s="11"/>
      <c r="C236" s="11"/>
      <c r="D236" s="11"/>
      <c r="E236" s="11"/>
      <c r="F236" s="11"/>
      <c r="G236" s="12"/>
      <c r="H236" s="16"/>
      <c r="M236" s="70"/>
      <c r="N236" s="70"/>
    </row>
    <row r="237" spans="1:14" x14ac:dyDescent="0.3">
      <c r="A237" s="13"/>
      <c r="B237" s="14" t="s">
        <v>5</v>
      </c>
      <c r="C237" s="14" t="s">
        <v>6</v>
      </c>
      <c r="D237" s="14" t="s">
        <v>7</v>
      </c>
      <c r="E237" s="14" t="s">
        <v>8</v>
      </c>
      <c r="F237" s="14" t="s">
        <v>9</v>
      </c>
      <c r="G237" s="15" t="s">
        <v>10</v>
      </c>
    </row>
    <row r="238" spans="1:14" x14ac:dyDescent="0.3">
      <c r="A238" s="13" t="s">
        <v>0</v>
      </c>
      <c r="B238" s="50">
        <f>'[8]P&amp;L Compare to Hedge 2017'!L$5</f>
        <v>60995663.07</v>
      </c>
      <c r="C238" s="50">
        <f>'[8]P&amp;L Compare to Hedge 2017'!$L$6</f>
        <v>29274232.779999997</v>
      </c>
      <c r="D238" s="50">
        <f>'[8]P&amp;L Compare to Hedge 2017'!$L$7</f>
        <v>2231148.27</v>
      </c>
      <c r="E238" s="50">
        <f>'[8]P&amp;L Compare to Hedge 2017'!$L$8</f>
        <v>3536488</v>
      </c>
      <c r="F238" s="50">
        <f>'[8]P&amp;L Compare to Hedge 2017'!$L$9</f>
        <v>7423</v>
      </c>
      <c r="G238" s="28">
        <f>SUM(B238:F238)</f>
        <v>96044955.11999999</v>
      </c>
      <c r="H238" s="72"/>
    </row>
    <row r="239" spans="1:14" x14ac:dyDescent="0.3">
      <c r="A239" s="13" t="s">
        <v>1</v>
      </c>
      <c r="B239" s="50">
        <f>'[8]P&amp;L Compare to Hedge 2017'!$L$13</f>
        <v>60787778.160000004</v>
      </c>
      <c r="C239" s="50">
        <f>'[8]P&amp;L Compare to Hedge 2017'!$L$14</f>
        <v>28912346.890000001</v>
      </c>
      <c r="D239" s="50">
        <f>'[8]P&amp;L Compare to Hedge 2017'!$L$15</f>
        <v>2206787.52</v>
      </c>
      <c r="E239" s="50">
        <f>'[8]P&amp;L Compare to Hedge 2017'!$L$16</f>
        <v>3473420.46</v>
      </c>
      <c r="F239" s="50">
        <f>'[8]P&amp;L Compare to Hedge 2017'!$L$17</f>
        <v>5452.18</v>
      </c>
      <c r="G239" s="28">
        <f>SUM(B239:F239)</f>
        <v>95385785.210000008</v>
      </c>
      <c r="H239" s="72"/>
    </row>
    <row r="240" spans="1:14" x14ac:dyDescent="0.3">
      <c r="A240" s="13" t="s">
        <v>2</v>
      </c>
      <c r="B240" s="50">
        <f>'[8]P&amp;L Compare to Hedge 2017'!$L$19</f>
        <v>39785.94999999553</v>
      </c>
      <c r="C240" s="50">
        <f>'[8]P&amp;L Compare to Hedge 2017'!$L$20</f>
        <v>820710.88000011444</v>
      </c>
      <c r="D240" s="50">
        <f>'[8]P&amp;L Compare to Hedge 2017'!$L$21</f>
        <v>-9953.1499999999069</v>
      </c>
      <c r="E240" s="50">
        <f>'[8]P&amp;L Compare to Hedge 2017'!$L$22</f>
        <v>-79122</v>
      </c>
      <c r="F240" s="50">
        <v>0</v>
      </c>
      <c r="G240" s="28">
        <f>SUM(B240:F240)</f>
        <v>771421.68000011006</v>
      </c>
      <c r="H240" s="72"/>
    </row>
    <row r="241" spans="1:10" x14ac:dyDescent="0.3">
      <c r="A241" s="13" t="s">
        <v>3</v>
      </c>
      <c r="B241" s="50">
        <f>'[8]P&amp;L Compare to Hedge 2017'!$L$24</f>
        <v>-237748.99000000209</v>
      </c>
      <c r="C241" s="50">
        <f>'[8]P&amp;L Compare to Hedge 2017'!$L$25</f>
        <v>-2880032.7600000054</v>
      </c>
      <c r="D241" s="50">
        <f>'[8]P&amp;L Compare to Hedge 2017'!$L$26</f>
        <v>-19205</v>
      </c>
      <c r="E241" s="50">
        <f>'[8]P&amp;L Compare to Hedge 2017'!$L$27</f>
        <v>0</v>
      </c>
      <c r="F241" s="50">
        <v>0</v>
      </c>
      <c r="G241" s="28">
        <f>SUM(B241:F241)</f>
        <v>-3136986.7500000075</v>
      </c>
      <c r="H241" s="72"/>
    </row>
    <row r="242" spans="1:10" ht="15" thickBot="1" x14ac:dyDescent="0.35">
      <c r="A242" s="13" t="s">
        <v>4</v>
      </c>
      <c r="B242" s="18">
        <f>'[21]Mrkg to Mkt Gold'!$E$28</f>
        <v>207748.61420999095</v>
      </c>
      <c r="C242" s="50">
        <f>'[21]Mkg to Mkt Silver'!$E$28</f>
        <v>2071474.5894160017</v>
      </c>
      <c r="D242" s="24">
        <f>'[21]Mkg to Mkt Platinum  '!$E$28</f>
        <v>21246.960790000041</v>
      </c>
      <c r="E242" s="24">
        <f>'[21]Mkg to Mkt Palladium'!$E$28</f>
        <v>98891.349400000239</v>
      </c>
      <c r="F242" s="24">
        <f>'[21]Mkg to Mkt Rhodium'!$E$28</f>
        <v>3252.8199999999997</v>
      </c>
      <c r="G242" s="19">
        <f>SUM(B242:F242)</f>
        <v>2402614.3338159928</v>
      </c>
      <c r="H242" s="72"/>
      <c r="I242" s="74"/>
      <c r="J242" s="33"/>
    </row>
    <row r="243" spans="1:10" ht="15" thickBot="1" x14ac:dyDescent="0.35">
      <c r="A243" s="13" t="s">
        <v>18</v>
      </c>
      <c r="B243" s="40"/>
      <c r="C243" s="40"/>
      <c r="D243" s="40"/>
      <c r="E243" s="40"/>
      <c r="F243" s="40"/>
      <c r="G243" s="73">
        <f>+'[8]P&amp;L Compare to Hedge 2017'!$L$159</f>
        <v>-3755.83</v>
      </c>
      <c r="H243" s="72"/>
      <c r="I243" s="74"/>
    </row>
    <row r="244" spans="1:10" ht="15" thickBot="1" x14ac:dyDescent="0.35">
      <c r="A244" s="13"/>
      <c r="B244" s="42">
        <f>+B238-B239-B240-B241-B242</f>
        <v>198099.33579001203</v>
      </c>
      <c r="C244" s="42">
        <f>+C238-C239-C240-C241-C242</f>
        <v>349733.1805838861</v>
      </c>
      <c r="D244" s="42">
        <f>+D238-D239-D240-D241-D242</f>
        <v>32271.939209999866</v>
      </c>
      <c r="E244" s="42">
        <f>+E238-E239-E240-E241-E242</f>
        <v>43298.190599999798</v>
      </c>
      <c r="F244" s="42">
        <f>+F238-F239-F240-F241-F242</f>
        <v>-1282</v>
      </c>
      <c r="G244" s="43">
        <f>+G238-G239-G240-G241-G242-G243</f>
        <v>625876.47618388606</v>
      </c>
      <c r="I244" s="71"/>
    </row>
    <row r="245" spans="1:10" ht="15" thickTop="1" x14ac:dyDescent="0.3">
      <c r="A245" s="13"/>
      <c r="B245" s="44"/>
      <c r="C245" s="44"/>
      <c r="D245" s="44"/>
      <c r="E245" s="44"/>
      <c r="F245" s="44"/>
      <c r="G245" s="28"/>
      <c r="J245" s="33"/>
    </row>
    <row r="246" spans="1:10" x14ac:dyDescent="0.3">
      <c r="A246" s="13" t="s">
        <v>11</v>
      </c>
      <c r="B246" s="50">
        <f>'[10]Comparison 2016-2017'!B$283</f>
        <v>314960.37713138707</v>
      </c>
      <c r="C246" s="50">
        <f>'[10]Comparison 2016-2017'!C$283</f>
        <v>364000.68499998655</v>
      </c>
      <c r="D246" s="50">
        <f>'[10]Comparison 2016-2017'!D$283</f>
        <v>36006.4686</v>
      </c>
      <c r="E246" s="50">
        <f>'[10]Comparison 2016-2017'!E$283</f>
        <v>44597.689999999973</v>
      </c>
      <c r="F246" s="50">
        <f>'[10]Comparison 2016-2017'!F$283</f>
        <v>-53</v>
      </c>
      <c r="G246" s="28">
        <f t="shared" ref="G246:G253" si="15">SUM(B246:F246)</f>
        <v>759512.22073137364</v>
      </c>
      <c r="H246" s="72"/>
    </row>
    <row r="247" spans="1:10" x14ac:dyDescent="0.3">
      <c r="A247" s="13" t="s">
        <v>17</v>
      </c>
      <c r="B247" s="27">
        <f>10285.47</f>
        <v>10285.469999999999</v>
      </c>
      <c r="C247" s="27">
        <v>133.69999999999999</v>
      </c>
      <c r="D247" s="27">
        <v>0</v>
      </c>
      <c r="E247" s="27">
        <v>0</v>
      </c>
      <c r="F247" s="27">
        <v>0</v>
      </c>
      <c r="G247" s="28">
        <f t="shared" si="15"/>
        <v>10419.17</v>
      </c>
      <c r="H247" s="72"/>
    </row>
    <row r="248" spans="1:10" x14ac:dyDescent="0.3">
      <c r="A248" s="13" t="s">
        <v>19</v>
      </c>
      <c r="B248" s="27">
        <f>[11]Nov!$B$10</f>
        <v>30346.32</v>
      </c>
      <c r="C248" s="27">
        <f>[11]Nov!$B$20</f>
        <v>22506.759999999995</v>
      </c>
      <c r="D248" s="27">
        <v>0</v>
      </c>
      <c r="E248" s="27">
        <v>0</v>
      </c>
      <c r="F248" s="27">
        <v>0</v>
      </c>
      <c r="G248" s="28">
        <f t="shared" si="15"/>
        <v>52853.079999999994</v>
      </c>
      <c r="H248" s="72"/>
    </row>
    <row r="249" spans="1:10" x14ac:dyDescent="0.3">
      <c r="A249" s="13" t="s">
        <v>20</v>
      </c>
      <c r="B249" s="27">
        <v>-375</v>
      </c>
      <c r="C249" s="27">
        <v>-110279</v>
      </c>
      <c r="D249" s="27">
        <v>0</v>
      </c>
      <c r="E249" s="27">
        <v>0</v>
      </c>
      <c r="F249" s="27">
        <v>0</v>
      </c>
      <c r="G249" s="28">
        <f t="shared" si="15"/>
        <v>-110654</v>
      </c>
    </row>
    <row r="250" spans="1:10" x14ac:dyDescent="0.3">
      <c r="A250" s="13" t="s">
        <v>292</v>
      </c>
      <c r="B250" s="27">
        <v>-22775.89</v>
      </c>
      <c r="C250" s="27">
        <v>92073</v>
      </c>
      <c r="D250" s="27">
        <v>0</v>
      </c>
      <c r="E250" s="27">
        <v>0</v>
      </c>
      <c r="F250" s="27">
        <v>0</v>
      </c>
      <c r="G250" s="28">
        <f t="shared" si="15"/>
        <v>69297.11</v>
      </c>
    </row>
    <row r="251" spans="1:10" x14ac:dyDescent="0.3">
      <c r="A251" s="13" t="s">
        <v>291</v>
      </c>
      <c r="B251" s="27">
        <v>-18000</v>
      </c>
      <c r="C251" s="27">
        <v>-17000</v>
      </c>
      <c r="D251" s="27"/>
      <c r="E251" s="27"/>
      <c r="F251" s="27"/>
      <c r="G251" s="28">
        <f t="shared" si="15"/>
        <v>-35000</v>
      </c>
    </row>
    <row r="252" spans="1:10" x14ac:dyDescent="0.3">
      <c r="A252" s="13" t="s">
        <v>21</v>
      </c>
      <c r="B252" s="27"/>
      <c r="C252" s="27"/>
      <c r="D252" s="27"/>
      <c r="E252" s="27"/>
      <c r="F252" s="27"/>
      <c r="G252" s="28">
        <f t="shared" si="15"/>
        <v>0</v>
      </c>
    </row>
    <row r="253" spans="1:10" x14ac:dyDescent="0.3">
      <c r="A253" s="85" t="s">
        <v>296</v>
      </c>
      <c r="B253" s="44">
        <v>0</v>
      </c>
      <c r="C253" s="44"/>
      <c r="D253" s="44"/>
      <c r="E253" s="44"/>
      <c r="F253" s="44"/>
      <c r="G253" s="28">
        <f t="shared" si="15"/>
        <v>0</v>
      </c>
      <c r="H253" s="8">
        <f>SUM(B254:F254)-G243</f>
        <v>-120551.10454747577</v>
      </c>
      <c r="I253" s="33">
        <f>G254-H253</f>
        <v>-1.1801603250205517E-8</v>
      </c>
      <c r="J253" s="8" t="s">
        <v>23</v>
      </c>
    </row>
    <row r="254" spans="1:10" x14ac:dyDescent="0.3">
      <c r="A254" s="13" t="s">
        <v>14</v>
      </c>
      <c r="B254" s="44">
        <f>+B244-SUM(B246:B253)</f>
        <v>-116341.941341375</v>
      </c>
      <c r="C254" s="44">
        <f>+C244-SUM(C246:C253)</f>
        <v>-1701.964416100469</v>
      </c>
      <c r="D254" s="44">
        <f>+D244-SUM(D246:D253)</f>
        <v>-3734.5293900001343</v>
      </c>
      <c r="E254" s="44">
        <f>+E244-SUM(E246:E253)</f>
        <v>-1299.4994000001752</v>
      </c>
      <c r="F254" s="44">
        <f>+F244-SUM(F246:F253)</f>
        <v>-1229</v>
      </c>
      <c r="G254" s="86">
        <f>G244-G246-G247-G248-G249-G250-G251</f>
        <v>-120551.10454748757</v>
      </c>
      <c r="H254" s="8">
        <f>'[8]P&amp;L Compare to Hedge 2017'!$L$43</f>
        <v>-120551.0907314684</v>
      </c>
      <c r="I254" s="33">
        <f>G254-H254</f>
        <v>-1.3816019170917571E-2</v>
      </c>
      <c r="J254" s="9" t="s">
        <v>22</v>
      </c>
    </row>
    <row r="255" spans="1:10" ht="15" thickBot="1" x14ac:dyDescent="0.35">
      <c r="A255" s="35" t="s">
        <v>16</v>
      </c>
      <c r="B255" s="47">
        <v>1273.2</v>
      </c>
      <c r="C255" s="47">
        <v>16.382000000000001</v>
      </c>
      <c r="D255" s="47">
        <v>941.3</v>
      </c>
      <c r="E255" s="47">
        <v>1006.6</v>
      </c>
      <c r="F255" s="47">
        <v>1400</v>
      </c>
      <c r="G255" s="48"/>
    </row>
    <row r="256" spans="1:10" x14ac:dyDescent="0.3">
      <c r="A256" s="98" t="s">
        <v>12</v>
      </c>
      <c r="B256" s="99"/>
      <c r="C256" s="99"/>
      <c r="D256" s="99"/>
      <c r="E256" s="99"/>
      <c r="F256" s="99"/>
      <c r="G256" s="100"/>
      <c r="I256" s="33">
        <f>I254/2</f>
        <v>-6.9080095854587853E-3</v>
      </c>
    </row>
    <row r="257" spans="1:14" x14ac:dyDescent="0.3">
      <c r="A257" s="101" t="s">
        <v>13</v>
      </c>
      <c r="B257" s="102"/>
      <c r="C257" s="102"/>
      <c r="D257" s="102"/>
      <c r="E257" s="102"/>
      <c r="F257" s="102"/>
      <c r="G257" s="103"/>
    </row>
    <row r="258" spans="1:14" x14ac:dyDescent="0.3">
      <c r="A258" s="95">
        <v>43070</v>
      </c>
      <c r="B258" s="96"/>
      <c r="C258" s="96"/>
      <c r="D258" s="96"/>
      <c r="E258" s="96"/>
      <c r="F258" s="96"/>
      <c r="G258" s="97"/>
    </row>
    <row r="259" spans="1:14" s="17" customFormat="1" x14ac:dyDescent="0.3">
      <c r="A259" s="10"/>
      <c r="B259" s="11"/>
      <c r="C259" s="11"/>
      <c r="D259" s="11"/>
      <c r="E259" s="11"/>
      <c r="F259" s="11"/>
      <c r="G259" s="12"/>
      <c r="H259" s="16"/>
      <c r="M259" s="70"/>
      <c r="N259" s="70"/>
    </row>
    <row r="260" spans="1:14" x14ac:dyDescent="0.3">
      <c r="A260" s="13"/>
      <c r="B260" s="14" t="s">
        <v>5</v>
      </c>
      <c r="C260" s="14" t="s">
        <v>6</v>
      </c>
      <c r="D260" s="14" t="s">
        <v>7</v>
      </c>
      <c r="E260" s="14" t="s">
        <v>8</v>
      </c>
      <c r="F260" s="14" t="s">
        <v>9</v>
      </c>
      <c r="G260" s="15" t="s">
        <v>10</v>
      </c>
    </row>
    <row r="261" spans="1:14" x14ac:dyDescent="0.3">
      <c r="A261" s="13" t="s">
        <v>0</v>
      </c>
      <c r="B261" s="50">
        <f>'[8]P&amp;L Compare to Hedge 2017'!$M$5</f>
        <v>99730461.799999997</v>
      </c>
      <c r="C261" s="50">
        <f>'[8]P&amp;L Compare to Hedge 2017'!$M$6</f>
        <v>116652187.25</v>
      </c>
      <c r="D261" s="50">
        <f>'[8]P&amp;L Compare to Hedge 2017'!$M$7</f>
        <v>1648609.38</v>
      </c>
      <c r="E261" s="50">
        <f>'[8]P&amp;L Compare to Hedge 2017'!$M$8</f>
        <v>2085534</v>
      </c>
      <c r="F261" s="50">
        <f>'[8]P&amp;L Compare to Hedge 2017'!$M$9</f>
        <v>193580</v>
      </c>
      <c r="G261" s="28">
        <f>SUM(B261:F261)</f>
        <v>220310372.43000001</v>
      </c>
    </row>
    <row r="262" spans="1:14" x14ac:dyDescent="0.3">
      <c r="A262" s="13" t="s">
        <v>1</v>
      </c>
      <c r="B262" s="50">
        <f>'[8]P&amp;L Compare to Hedge 2017'!$M$13</f>
        <v>100578101.03</v>
      </c>
      <c r="C262" s="50">
        <f>'[8]P&amp;L Compare to Hedge 2017'!$M$14</f>
        <v>119514310.34999999</v>
      </c>
      <c r="D262" s="50">
        <f>'[8]P&amp;L Compare to Hedge 2017'!$M$15</f>
        <v>1670663.54</v>
      </c>
      <c r="E262" s="50">
        <f>'[8]P&amp;L Compare to Hedge 2017'!$M$16</f>
        <v>2031491.83</v>
      </c>
      <c r="F262" s="50">
        <f>'[8]P&amp;L Compare to Hedge 2017'!$M$17</f>
        <v>173902.83</v>
      </c>
      <c r="G262" s="28">
        <f>SUM(B262:F262)</f>
        <v>223968469.58000001</v>
      </c>
    </row>
    <row r="263" spans="1:14" x14ac:dyDescent="0.3">
      <c r="A263" s="13" t="s">
        <v>2</v>
      </c>
      <c r="B263" s="50">
        <f>'[8]P&amp;L Compare to Hedge 2017'!$M$19</f>
        <v>-279624.56000000238</v>
      </c>
      <c r="C263" s="50">
        <f>'[8]P&amp;L Compare to Hedge 2017'!$M$20</f>
        <v>1385551.560000062</v>
      </c>
      <c r="D263" s="50">
        <f>'[8]P&amp;L Compare to Hedge 2017'!$M$21</f>
        <v>23565.449999999953</v>
      </c>
      <c r="E263" s="50">
        <f>'[8]P&amp;L Compare to Hedge 2017'!$M$22</f>
        <v>11011.359999999986</v>
      </c>
      <c r="F263" s="50">
        <v>0</v>
      </c>
      <c r="G263" s="28">
        <f>SUM(B263:F263)</f>
        <v>1140503.8100000597</v>
      </c>
    </row>
    <row r="264" spans="1:14" x14ac:dyDescent="0.3">
      <c r="A264" s="13" t="s">
        <v>3</v>
      </c>
      <c r="B264" s="50">
        <f>'[8]P&amp;L Compare to Hedge 2017'!$M$24</f>
        <v>-1525613.7400000095</v>
      </c>
      <c r="C264" s="50">
        <f>'[8]P&amp;L Compare to Hedge 2017'!$M$25</f>
        <v>596515.85000000894</v>
      </c>
      <c r="D264" s="50">
        <f>'[8]P&amp;L Compare to Hedge 2017'!$M$26</f>
        <v>-145</v>
      </c>
      <c r="E264" s="50">
        <f>'[8]P&amp;L Compare to Hedge 2017'!$M$27</f>
        <v>0</v>
      </c>
      <c r="F264" s="50">
        <v>0</v>
      </c>
      <c r="G264" s="28">
        <f>SUM(B264:F264)</f>
        <v>-929242.8900000006</v>
      </c>
    </row>
    <row r="265" spans="1:14" ht="15" thickBot="1" x14ac:dyDescent="0.35">
      <c r="A265" s="13" t="s">
        <v>4</v>
      </c>
      <c r="B265" s="50">
        <f>'[22]Mrkg to Mkt Gold'!$E$28+129582</f>
        <v>734100.5521700196</v>
      </c>
      <c r="C265" s="50">
        <f>'[22]Mkg to Mkt Silver'!$E$28</f>
        <v>-5257767.4578485042</v>
      </c>
      <c r="D265" s="50">
        <f>'[22]Mkg to Mkt Platinum  '!$E$28</f>
        <v>-68837.364700000209</v>
      </c>
      <c r="E265" s="50">
        <f>'[22]Mkg to Mkt Palladium'!$E$28</f>
        <v>10622.478750000009</v>
      </c>
      <c r="F265" s="50">
        <f>'[22]Mkg to Mkt Rhodium'!$E$28</f>
        <v>-9631.4079999999958</v>
      </c>
      <c r="G265" s="28">
        <f>SUM(B265:F265)</f>
        <v>-4591513.1996284844</v>
      </c>
      <c r="H265" s="8">
        <v>-4591513.2</v>
      </c>
      <c r="I265" s="33">
        <f>G265-H265</f>
        <v>3.7151575088500977E-4</v>
      </c>
    </row>
    <row r="266" spans="1:14" ht="15" thickBot="1" x14ac:dyDescent="0.35">
      <c r="A266" s="13" t="s">
        <v>18</v>
      </c>
      <c r="B266" s="40"/>
      <c r="C266" s="40"/>
      <c r="D266" s="40"/>
      <c r="E266" s="40"/>
      <c r="F266" s="40"/>
      <c r="G266" s="41">
        <f>'[8]P&amp;L Compare to Hedge 2017'!$M$159</f>
        <v>10321.5</v>
      </c>
    </row>
    <row r="267" spans="1:14" ht="15" thickBot="1" x14ac:dyDescent="0.35">
      <c r="A267" s="13"/>
      <c r="B267" s="42">
        <f>+B261-B262-B263-B264-B265</f>
        <v>223498.51782998815</v>
      </c>
      <c r="C267" s="42">
        <f>+C261-C262-C263-C264-C265</f>
        <v>413576.94784843922</v>
      </c>
      <c r="D267" s="42">
        <f>+D261-D262-D263-D264-D265</f>
        <v>23362.754700000107</v>
      </c>
      <c r="E267" s="42">
        <f>+E261-E262-E263-E264-E265</f>
        <v>32408.33124999993</v>
      </c>
      <c r="F267" s="42">
        <f>+F261-F262-F263-F264-F265</f>
        <v>29308.578000000009</v>
      </c>
      <c r="G267" s="43">
        <f>+G261-G262-G263-G264-G265-G266</f>
        <v>711833.62962841894</v>
      </c>
    </row>
    <row r="268" spans="1:14" ht="15" thickTop="1" x14ac:dyDescent="0.3">
      <c r="A268" s="13"/>
      <c r="B268" s="44"/>
      <c r="C268" s="44"/>
      <c r="D268" s="44"/>
      <c r="E268" s="44"/>
      <c r="F268" s="44"/>
      <c r="G268" s="28"/>
    </row>
    <row r="269" spans="1:14" x14ac:dyDescent="0.3">
      <c r="A269" s="13" t="s">
        <v>11</v>
      </c>
      <c r="B269" s="44">
        <f>'[10]Comparison 2016-2017'!$B$309</f>
        <v>312732.62058957614</v>
      </c>
      <c r="C269" s="44">
        <f>'[10]Comparison 2016-2017'!$C$309</f>
        <v>366458.29499998473</v>
      </c>
      <c r="D269" s="44">
        <f>'[10]Comparison 2016-2017'!$D$309</f>
        <v>20683.105599999981</v>
      </c>
      <c r="E269" s="44">
        <f>'[10]Comparison 2016-2017'!$E$309</f>
        <v>41683.443999999996</v>
      </c>
      <c r="F269" s="44">
        <f>'[10]Comparison 2016-2017'!$F$309</f>
        <v>32380</v>
      </c>
      <c r="G269" s="28">
        <f t="shared" ref="G269:G275" si="16">SUM(B269:F269)</f>
        <v>773937.4651895609</v>
      </c>
    </row>
    <row r="270" spans="1:14" x14ac:dyDescent="0.3">
      <c r="A270" s="13" t="s">
        <v>17</v>
      </c>
      <c r="B270" s="27">
        <v>5035.3599999999997</v>
      </c>
      <c r="C270" s="27">
        <v>3207.08</v>
      </c>
      <c r="D270" s="27">
        <v>0</v>
      </c>
      <c r="E270" s="27">
        <v>0</v>
      </c>
      <c r="F270" s="27">
        <v>0</v>
      </c>
      <c r="G270" s="28">
        <f t="shared" si="16"/>
        <v>8242.4399999999987</v>
      </c>
    </row>
    <row r="271" spans="1:14" x14ac:dyDescent="0.3">
      <c r="A271" s="13" t="s">
        <v>19</v>
      </c>
      <c r="B271" s="26">
        <f>[11]Dec!$B$10</f>
        <v>29383.399999999998</v>
      </c>
      <c r="C271" s="26">
        <f>[11]Dec!$B$20</f>
        <v>0</v>
      </c>
      <c r="D271" s="27">
        <v>0</v>
      </c>
      <c r="E271" s="27">
        <v>0</v>
      </c>
      <c r="F271" s="27">
        <v>0</v>
      </c>
      <c r="G271" s="28">
        <f t="shared" si="16"/>
        <v>29383.399999999998</v>
      </c>
    </row>
    <row r="272" spans="1:14" x14ac:dyDescent="0.3">
      <c r="A272" s="13" t="s">
        <v>20</v>
      </c>
      <c r="B272" s="27">
        <v>-671</v>
      </c>
      <c r="C272" s="27">
        <v>-53248</v>
      </c>
      <c r="D272" s="27"/>
      <c r="E272" s="27"/>
      <c r="F272" s="27"/>
      <c r="G272" s="28">
        <f t="shared" si="16"/>
        <v>-53919</v>
      </c>
    </row>
    <row r="273" spans="1:10" x14ac:dyDescent="0.3">
      <c r="A273" s="13" t="s">
        <v>292</v>
      </c>
      <c r="B273" s="27">
        <v>54828.22</v>
      </c>
      <c r="C273" s="27">
        <v>74037</v>
      </c>
      <c r="D273" s="27"/>
      <c r="E273" s="27"/>
      <c r="F273" s="27"/>
      <c r="G273" s="28">
        <f t="shared" si="16"/>
        <v>128865.22</v>
      </c>
    </row>
    <row r="274" spans="1:10" x14ac:dyDescent="0.3">
      <c r="A274" s="13" t="s">
        <v>291</v>
      </c>
      <c r="B274" s="27">
        <v>-18000</v>
      </c>
      <c r="C274" s="27">
        <v>-17000</v>
      </c>
      <c r="D274" s="27"/>
      <c r="E274" s="27"/>
      <c r="F274" s="27"/>
      <c r="G274" s="28">
        <f t="shared" si="16"/>
        <v>-35000</v>
      </c>
    </row>
    <row r="275" spans="1:10" x14ac:dyDescent="0.3">
      <c r="A275" s="13" t="s">
        <v>21</v>
      </c>
      <c r="B275" s="27">
        <v>-129582</v>
      </c>
      <c r="C275" s="27"/>
      <c r="D275" s="27"/>
      <c r="E275" s="27"/>
      <c r="F275" s="27"/>
      <c r="G275" s="28">
        <f t="shared" si="16"/>
        <v>-129582</v>
      </c>
    </row>
    <row r="276" spans="1:10" x14ac:dyDescent="0.3">
      <c r="A276" s="85" t="s">
        <v>297</v>
      </c>
      <c r="B276" s="27">
        <f>SUM(B269:B275)</f>
        <v>253726.60058957618</v>
      </c>
      <c r="C276" s="27">
        <f>SUM(C269:C275)</f>
        <v>373454.37499998475</v>
      </c>
      <c r="D276" s="27">
        <f>SUM(D269:D275)</f>
        <v>20683.105599999981</v>
      </c>
      <c r="E276" s="27">
        <f>SUM(E269:E275)</f>
        <v>41683.443999999996</v>
      </c>
      <c r="F276" s="27">
        <f>SUM(F269:F275)</f>
        <v>32380</v>
      </c>
      <c r="G276" s="39">
        <f>SUM(B276:F276)</f>
        <v>721927.52518956095</v>
      </c>
      <c r="H276" s="8">
        <f>SUM(B277:F277)-G266</f>
        <v>-10093.89556113349</v>
      </c>
      <c r="I276" s="33">
        <f>G277-H276</f>
        <v>-8.4619387052953243E-9</v>
      </c>
      <c r="J276" s="8" t="s">
        <v>23</v>
      </c>
    </row>
    <row r="277" spans="1:10" x14ac:dyDescent="0.3">
      <c r="A277" s="13" t="s">
        <v>14</v>
      </c>
      <c r="B277" s="46">
        <f>+B267-SUM(B269:B275)</f>
        <v>-30228.082759588026</v>
      </c>
      <c r="C277" s="46">
        <f>+C267-SUM(C269:C275)</f>
        <v>40122.572848454467</v>
      </c>
      <c r="D277" s="46">
        <f>+D267-SUM(D269:D275)</f>
        <v>2679.6491000001261</v>
      </c>
      <c r="E277" s="46">
        <f>+E267-SUM(E269:E275)</f>
        <v>-9275.1127500000657</v>
      </c>
      <c r="F277" s="46">
        <f>+F267-SUM(F269:F275)</f>
        <v>-3071.4219999999914</v>
      </c>
      <c r="G277" s="51">
        <f>+G267-G269-G270-G271-G272-G275-G273-G274</f>
        <v>-10093.895561141951</v>
      </c>
      <c r="H277" s="8">
        <f>'[8]P&amp;L Compare to Hedge 2017'!$M$43</f>
        <v>-10093.900000064285</v>
      </c>
      <c r="I277" s="33">
        <f>G277-H277</f>
        <v>4.4389223330654204E-3</v>
      </c>
      <c r="J277" s="9" t="s">
        <v>22</v>
      </c>
    </row>
    <row r="278" spans="1:10" x14ac:dyDescent="0.3">
      <c r="A278" s="53" t="s">
        <v>16</v>
      </c>
      <c r="B278" s="44">
        <v>1306.3</v>
      </c>
      <c r="C278" s="44">
        <v>17.059999999999999</v>
      </c>
      <c r="D278" s="44">
        <v>934.2</v>
      </c>
      <c r="E278" s="44">
        <v>1073.75</v>
      </c>
      <c r="F278" s="44">
        <v>1715</v>
      </c>
      <c r="G278" s="28"/>
    </row>
    <row r="279" spans="1:10" x14ac:dyDescent="0.3">
      <c r="A279" s="54" t="s">
        <v>13</v>
      </c>
      <c r="B279" s="55"/>
      <c r="C279" s="55"/>
      <c r="D279" s="55"/>
      <c r="E279" s="55"/>
      <c r="F279" s="55"/>
      <c r="G279" s="56"/>
    </row>
    <row r="280" spans="1:10" x14ac:dyDescent="0.3">
      <c r="A280" s="10" t="s">
        <v>15</v>
      </c>
      <c r="B280" s="11"/>
      <c r="C280" s="11"/>
      <c r="D280" s="11"/>
      <c r="E280" s="11"/>
      <c r="F280" s="11"/>
      <c r="G280" s="12"/>
    </row>
    <row r="281" spans="1:10" x14ac:dyDescent="0.3">
      <c r="A281" s="10"/>
      <c r="B281" s="11"/>
      <c r="C281" s="11"/>
      <c r="D281" s="11"/>
      <c r="E281" s="11"/>
      <c r="F281" s="11"/>
      <c r="G281" s="12"/>
    </row>
    <row r="282" spans="1:10" x14ac:dyDescent="0.3">
      <c r="A282" s="13"/>
      <c r="B282" s="14" t="s">
        <v>5</v>
      </c>
      <c r="C282" s="14" t="s">
        <v>6</v>
      </c>
      <c r="D282" s="14" t="s">
        <v>7</v>
      </c>
      <c r="E282" s="14" t="s">
        <v>8</v>
      </c>
      <c r="F282" s="14" t="s">
        <v>9</v>
      </c>
      <c r="G282" s="15" t="s">
        <v>10</v>
      </c>
    </row>
    <row r="283" spans="1:10" x14ac:dyDescent="0.3">
      <c r="A283" s="13" t="s">
        <v>0</v>
      </c>
      <c r="B283" s="46">
        <f t="shared" ref="B283:F287" si="17">+B6+B29+B52+B75+B98+B121+B144+B167+B190+B213+B238+B261</f>
        <v>1594275707.8899999</v>
      </c>
      <c r="C283" s="46">
        <f t="shared" si="17"/>
        <v>1547757167.0200002</v>
      </c>
      <c r="D283" s="46">
        <f t="shared" si="17"/>
        <v>24821194.039999995</v>
      </c>
      <c r="E283" s="46">
        <f t="shared" si="17"/>
        <v>43014463.729999997</v>
      </c>
      <c r="F283" s="46">
        <f t="shared" si="17"/>
        <v>1782947</v>
      </c>
      <c r="G283" s="15">
        <f>SUM(B283:F283)</f>
        <v>3211651479.6799998</v>
      </c>
    </row>
    <row r="284" spans="1:10" x14ac:dyDescent="0.3">
      <c r="A284" s="13" t="s">
        <v>1</v>
      </c>
      <c r="B284" s="46">
        <f t="shared" si="17"/>
        <v>1590470839.2300003</v>
      </c>
      <c r="C284" s="46">
        <f t="shared" si="17"/>
        <v>1547891069.3100002</v>
      </c>
      <c r="D284" s="46">
        <f t="shared" si="17"/>
        <v>24678762.739999998</v>
      </c>
      <c r="E284" s="46">
        <f t="shared" si="17"/>
        <v>43061665.670000002</v>
      </c>
      <c r="F284" s="46">
        <f t="shared" si="17"/>
        <v>1699087.1999999997</v>
      </c>
      <c r="G284" s="15">
        <f>SUM(B284:F284)</f>
        <v>3207801424.1500001</v>
      </c>
    </row>
    <row r="285" spans="1:10" x14ac:dyDescent="0.3">
      <c r="A285" s="13" t="s">
        <v>2</v>
      </c>
      <c r="B285" s="46">
        <f t="shared" si="17"/>
        <v>-8026931.3800000027</v>
      </c>
      <c r="C285" s="46">
        <f t="shared" si="17"/>
        <v>5008896.9900004268</v>
      </c>
      <c r="D285" s="46">
        <f t="shared" si="17"/>
        <v>-80998.550000000163</v>
      </c>
      <c r="E285" s="46">
        <f t="shared" si="17"/>
        <v>-439264.24</v>
      </c>
      <c r="F285" s="46">
        <f t="shared" si="17"/>
        <v>0</v>
      </c>
      <c r="G285" s="15">
        <f>SUM(B285:F285)</f>
        <v>-3538297.179999576</v>
      </c>
    </row>
    <row r="286" spans="1:10" x14ac:dyDescent="0.3">
      <c r="A286" s="13" t="s">
        <v>3</v>
      </c>
      <c r="B286" s="46">
        <f t="shared" si="17"/>
        <v>-2510740.540000014</v>
      </c>
      <c r="C286" s="46">
        <f t="shared" si="17"/>
        <v>148672.28000002354</v>
      </c>
      <c r="D286" s="46">
        <f t="shared" si="17"/>
        <v>-112652.5</v>
      </c>
      <c r="E286" s="46">
        <f t="shared" si="17"/>
        <v>-3881.25</v>
      </c>
      <c r="F286" s="46">
        <f t="shared" si="17"/>
        <v>0</v>
      </c>
      <c r="G286" s="15">
        <f>SUM(B286:F286)</f>
        <v>-2478602.0099999905</v>
      </c>
    </row>
    <row r="287" spans="1:10" x14ac:dyDescent="0.3">
      <c r="A287" s="13" t="s">
        <v>4</v>
      </c>
      <c r="B287" s="46">
        <f t="shared" si="17"/>
        <v>10466666.32189</v>
      </c>
      <c r="C287" s="46">
        <f t="shared" si="17"/>
        <v>-8031939.8505580146</v>
      </c>
      <c r="D287" s="46">
        <f t="shared" si="17"/>
        <v>12150.103589999198</v>
      </c>
      <c r="E287" s="46">
        <f t="shared" si="17"/>
        <v>-46854.170599999721</v>
      </c>
      <c r="F287" s="46">
        <f t="shared" si="17"/>
        <v>-20474.777999999991</v>
      </c>
      <c r="G287" s="15">
        <f>SUM(B287:F287)</f>
        <v>2379547.6263219849</v>
      </c>
    </row>
    <row r="288" spans="1:10" x14ac:dyDescent="0.3">
      <c r="A288" s="13" t="s">
        <v>18</v>
      </c>
      <c r="B288" s="57"/>
      <c r="C288" s="57"/>
      <c r="D288" s="57"/>
      <c r="E288" s="57"/>
      <c r="F288" s="57"/>
      <c r="G288" s="15">
        <f>+G243+G219+G195+G172+G149+G126+G103+G80+G57+G34+G11+G266</f>
        <v>67830.25</v>
      </c>
    </row>
    <row r="289" spans="1:10" ht="15" thickBot="1" x14ac:dyDescent="0.35">
      <c r="A289" s="13"/>
      <c r="B289" s="58">
        <f>+B283-SUM(B284:B287)</f>
        <v>3875874.2581095695</v>
      </c>
      <c r="C289" s="58">
        <f>+C283-SUM(C284:C287)</f>
        <v>2740468.2905576229</v>
      </c>
      <c r="D289" s="58">
        <f>+D283-SUM(D284:D287)</f>
        <v>323932.24640999734</v>
      </c>
      <c r="E289" s="58">
        <f>+E283-SUM(E284:E287)</f>
        <v>442797.72059999406</v>
      </c>
      <c r="F289" s="58">
        <f>+F283-SUM(F284:F287)</f>
        <v>104334.57800000021</v>
      </c>
      <c r="G289" s="59">
        <f>+G283-G284-G285-G286-G287-G288</f>
        <v>7419576.843677314</v>
      </c>
    </row>
    <row r="290" spans="1:10" ht="15" thickTop="1" x14ac:dyDescent="0.3">
      <c r="A290" s="13"/>
      <c r="B290" s="46"/>
      <c r="C290" s="46"/>
      <c r="D290" s="46"/>
      <c r="E290" s="46"/>
      <c r="F290" s="46"/>
      <c r="G290" s="12"/>
    </row>
    <row r="291" spans="1:10" x14ac:dyDescent="0.3">
      <c r="A291" s="13" t="s">
        <v>11</v>
      </c>
      <c r="B291" s="46">
        <f t="shared" ref="B291:F293" si="18">+B14+B37+B60+B83+B106+B129+B152+B175+B198+B222+B246+B269</f>
        <v>4259081.0588077856</v>
      </c>
      <c r="C291" s="46">
        <f t="shared" si="18"/>
        <v>3483869.5866000615</v>
      </c>
      <c r="D291" s="46">
        <f t="shared" si="18"/>
        <v>280110.63147000002</v>
      </c>
      <c r="E291" s="46">
        <f t="shared" si="18"/>
        <v>459851.47100000014</v>
      </c>
      <c r="F291" s="46">
        <f t="shared" si="18"/>
        <v>104673</v>
      </c>
      <c r="G291" s="15">
        <f>SUM(B291:F291)</f>
        <v>8587585.7478778474</v>
      </c>
    </row>
    <row r="292" spans="1:10" x14ac:dyDescent="0.3">
      <c r="A292" s="13" t="s">
        <v>17</v>
      </c>
      <c r="B292" s="46">
        <f t="shared" si="18"/>
        <v>56515.62</v>
      </c>
      <c r="C292" s="46">
        <f t="shared" si="18"/>
        <v>20772.269999999997</v>
      </c>
      <c r="D292" s="46">
        <f t="shared" si="18"/>
        <v>0</v>
      </c>
      <c r="E292" s="46">
        <f t="shared" si="18"/>
        <v>0</v>
      </c>
      <c r="F292" s="46">
        <f t="shared" si="18"/>
        <v>0</v>
      </c>
      <c r="G292" s="15">
        <f t="shared" ref="G292:G297" si="19">SUM(B292:F292)</f>
        <v>77287.89</v>
      </c>
    </row>
    <row r="293" spans="1:10" x14ac:dyDescent="0.3">
      <c r="A293" s="13" t="s">
        <v>19</v>
      </c>
      <c r="B293" s="46">
        <f t="shared" si="18"/>
        <v>335915.31000000006</v>
      </c>
      <c r="C293" s="46">
        <f t="shared" si="18"/>
        <v>79425.209999999992</v>
      </c>
      <c r="D293" s="46">
        <f t="shared" si="18"/>
        <v>10738.470000000001</v>
      </c>
      <c r="E293" s="46">
        <f t="shared" si="18"/>
        <v>0</v>
      </c>
      <c r="F293" s="46">
        <f t="shared" si="18"/>
        <v>0</v>
      </c>
      <c r="G293" s="15">
        <f t="shared" si="19"/>
        <v>426078.99</v>
      </c>
    </row>
    <row r="294" spans="1:10" x14ac:dyDescent="0.3">
      <c r="A294" s="13" t="s">
        <v>20</v>
      </c>
      <c r="B294" s="46">
        <f>+B17+B40+B63+B86+B109+B132+B155+B178+B202+B225+B249+B272</f>
        <v>-142974.08999999997</v>
      </c>
      <c r="C294" s="46">
        <f>+C17+C40+C63+C86+C109+C132+C155+C178+C202+C225+C249+C272</f>
        <v>-792013.8899999999</v>
      </c>
      <c r="D294" s="46">
        <f>+D17+D40+D63+D86+D109+D132+D155+D178+D202+D225+D249+D272</f>
        <v>0</v>
      </c>
      <c r="E294" s="46">
        <f>+E17+E40+E63+E86+E109+E132+E155+E178+E202+E225+E249+E272</f>
        <v>0</v>
      </c>
      <c r="F294" s="46">
        <f>+F17+F40+F63+F86+F109+F132+F155+F178+F202+F225+F249+F272</f>
        <v>0</v>
      </c>
      <c r="G294" s="15">
        <f t="shared" si="19"/>
        <v>-934987.97999999986</v>
      </c>
    </row>
    <row r="295" spans="1:10" x14ac:dyDescent="0.3">
      <c r="A295" s="13" t="s">
        <v>292</v>
      </c>
      <c r="B295" s="27">
        <f>B18+B41+B64+B87+B110+B133+B156+B179+B201+B226+B250+B273</f>
        <v>56097.33</v>
      </c>
      <c r="C295" s="27">
        <f>C18+C41+C64+C87+C110+C133+C156+C179+C201+C226+C250+C273</f>
        <v>-174</v>
      </c>
      <c r="D295" s="27">
        <f>D18+D41+D64+D87+D110+D133+D156+D179+D201+D226+D250+D273</f>
        <v>0</v>
      </c>
      <c r="E295" s="27">
        <f>E18+E41+E64+E87+E110+E133+E156+E179+E201+E226+E250+E273</f>
        <v>0</v>
      </c>
      <c r="F295" s="27">
        <f>F18+F41+F64+F87+F110+F133+F156+F179+F201+F226+F250+F273</f>
        <v>0</v>
      </c>
      <c r="G295" s="15">
        <f>SUM(B295:F295)</f>
        <v>55923.33</v>
      </c>
    </row>
    <row r="296" spans="1:10" x14ac:dyDescent="0.3">
      <c r="A296" s="13" t="s">
        <v>21</v>
      </c>
      <c r="B296" s="46">
        <f>+B19+B42+B66+B89+B112+B135+B158+B181+B204+B228+B252+B275</f>
        <v>-200582</v>
      </c>
      <c r="C296" s="46">
        <f>+C19+C42+C66+C89+C112+C135+C158+C181+C204+C228+C252+C275</f>
        <v>0</v>
      </c>
      <c r="D296" s="46">
        <f>+D19+D42+D66+D89+D112+D135+D158+D181+D204+D228+D252+D275</f>
        <v>0</v>
      </c>
      <c r="E296" s="46">
        <f>+E19+E42+E66+E89+E112+E135+E158+E181+E204+E228+E252+E275</f>
        <v>0</v>
      </c>
      <c r="F296" s="46">
        <f>+F19+F42+F66+F89+F112+F135+F158+F181+F204+F228+F252+F275</f>
        <v>0</v>
      </c>
      <c r="G296" s="15">
        <f t="shared" si="19"/>
        <v>-200582</v>
      </c>
    </row>
    <row r="297" spans="1:10" x14ac:dyDescent="0.3">
      <c r="A297" s="13" t="s">
        <v>291</v>
      </c>
      <c r="B297" s="60">
        <f>+B20+B43+B65+B88+B111+B134+B157+B180+B203+B227+B251+B274</f>
        <v>-216000</v>
      </c>
      <c r="C297" s="60">
        <f>+C20+C43+C65+C88+C111+C134+C157+C180+C203+C227+C251+C274</f>
        <v>-204000</v>
      </c>
      <c r="D297" s="60">
        <f>+D20+D43+D65+D88+D111+D134+D157+D180+D203+D227+D251+D274</f>
        <v>0</v>
      </c>
      <c r="E297" s="60">
        <f>+E20+E43+E65+E88+E111+E134+E157+E180+E203+E227+E251+E274</f>
        <v>0</v>
      </c>
      <c r="F297" s="60">
        <f>+F20+F43+F65+F88+F111+F134+F157+F180+F203+F227+F251+F274</f>
        <v>0</v>
      </c>
      <c r="G297" s="15">
        <f t="shared" si="19"/>
        <v>-420000</v>
      </c>
    </row>
    <row r="298" spans="1:10" x14ac:dyDescent="0.3">
      <c r="A298" s="13"/>
      <c r="B298" s="61"/>
      <c r="C298" s="62"/>
      <c r="D298" s="62"/>
      <c r="E298" s="62"/>
      <c r="F298" s="62"/>
      <c r="G298" s="15"/>
      <c r="H298" s="8">
        <f>SUM(B299:F299)-G288</f>
        <v>-171729.13420021354</v>
      </c>
      <c r="I298" s="63">
        <f>G299-H298</f>
        <v>-3.198510967195034E-7</v>
      </c>
      <c r="J298" s="8" t="s">
        <v>23</v>
      </c>
    </row>
    <row r="299" spans="1:10" x14ac:dyDescent="0.3">
      <c r="A299" s="13" t="s">
        <v>14</v>
      </c>
      <c r="B299" s="46">
        <f>+B22+B45+B68+B91+B114+B137+B160+B183+B206+B231+B254+B277</f>
        <v>-272178.97069774999</v>
      </c>
      <c r="C299" s="46">
        <f>+C22+C45+C68+C91+C114+C137+C160+C183+C206+C231+C254+C277</f>
        <v>152589.11395753355</v>
      </c>
      <c r="D299" s="46">
        <f>+D22+D45+D68+D91+D114+D137+D160+D183+D206+D231+D254+D277</f>
        <v>33083.144940002392</v>
      </c>
      <c r="E299" s="46">
        <f>+E22+E45+E68+E91+E114+E137+E160+E183+E206+E231+E254+E277</f>
        <v>-17053.750399999517</v>
      </c>
      <c r="F299" s="46">
        <f>+F22+F45+F68+F91+F114+F137+F160+F183+F206+F231+F254+F277</f>
        <v>-338.42199999994227</v>
      </c>
      <c r="G299" s="15">
        <f>+G289-G291-G292-G293-G294-G295-G296-G297</f>
        <v>-171729.13420053339</v>
      </c>
      <c r="H299" s="8">
        <f>'[8]P&amp;L Compare to Hedge 2017'!$N$43</f>
        <v>-171929.1297575552</v>
      </c>
      <c r="I299" s="63">
        <f>G299-H299</f>
        <v>199.99555702181533</v>
      </c>
      <c r="J299" s="64" t="s">
        <v>22</v>
      </c>
    </row>
    <row r="300" spans="1:10" ht="15" thickBot="1" x14ac:dyDescent="0.35">
      <c r="A300" s="35"/>
      <c r="B300" s="65"/>
      <c r="C300" s="65"/>
      <c r="D300" s="65"/>
      <c r="E300" s="65"/>
      <c r="F300" s="65"/>
      <c r="G300" s="66"/>
    </row>
    <row r="301" spans="1:10" x14ac:dyDescent="0.3">
      <c r="G301" s="68"/>
    </row>
  </sheetData>
  <mergeCells count="36">
    <mergeCell ref="A1:G1"/>
    <mergeCell ref="A2:G2"/>
    <mergeCell ref="A3:G3"/>
    <mergeCell ref="A24:G24"/>
    <mergeCell ref="A25:G25"/>
    <mergeCell ref="A26:G26"/>
    <mergeCell ref="A47:G47"/>
    <mergeCell ref="A48:G48"/>
    <mergeCell ref="A49:G49"/>
    <mergeCell ref="A70:G70"/>
    <mergeCell ref="A71:G71"/>
    <mergeCell ref="A72:G72"/>
    <mergeCell ref="A93:G93"/>
    <mergeCell ref="A94:G94"/>
    <mergeCell ref="A95:G95"/>
    <mergeCell ref="A116:G116"/>
    <mergeCell ref="A117:G117"/>
    <mergeCell ref="A118:G118"/>
    <mergeCell ref="A139:G139"/>
    <mergeCell ref="A140:G140"/>
    <mergeCell ref="A141:G141"/>
    <mergeCell ref="A162:G162"/>
    <mergeCell ref="A163:G163"/>
    <mergeCell ref="A164:G164"/>
    <mergeCell ref="A185:G185"/>
    <mergeCell ref="A186:G186"/>
    <mergeCell ref="A187:G187"/>
    <mergeCell ref="A208:G208"/>
    <mergeCell ref="A209:G209"/>
    <mergeCell ref="A210:G210"/>
    <mergeCell ref="A258:G258"/>
    <mergeCell ref="A233:G233"/>
    <mergeCell ref="A234:G234"/>
    <mergeCell ref="A235:G235"/>
    <mergeCell ref="A256:G256"/>
    <mergeCell ref="A257:G257"/>
  </mergeCells>
  <pageMargins left="0.7" right="0.7" top="0.5" bottom="0.5" header="0.3" footer="0.3"/>
  <pageSetup scale="66" fitToHeight="0" orientation="portrait" r:id="rId1"/>
  <rowBreaks count="4" manualBreakCount="4">
    <brk id="46" max="16383" man="1"/>
    <brk id="92" max="16383" man="1"/>
    <brk id="138" max="16383" man="1"/>
    <brk id="2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3"/>
  <sheetViews>
    <sheetView workbookViewId="0">
      <selection activeCell="D564" sqref="D564"/>
    </sheetView>
  </sheetViews>
  <sheetFormatPr defaultRowHeight="14.4" outlineLevelRow="2" x14ac:dyDescent="0.3"/>
  <cols>
    <col min="1" max="1" width="13.109375" bestFit="1" customWidth="1"/>
    <col min="2" max="2" width="14.109375" bestFit="1" customWidth="1"/>
    <col min="3" max="3" width="17.33203125" bestFit="1" customWidth="1"/>
    <col min="4" max="4" width="18.33203125" style="4" bestFit="1" customWidth="1"/>
    <col min="5" max="5" width="17.109375" bestFit="1" customWidth="1"/>
    <col min="6" max="6" width="16" bestFit="1" customWidth="1"/>
    <col min="7" max="7" width="9.5546875" bestFit="1" customWidth="1"/>
    <col min="8" max="8" width="10.6640625" bestFit="1" customWidth="1"/>
    <col min="9" max="9" width="15.109375" bestFit="1" customWidth="1"/>
    <col min="10" max="10" width="10.44140625" bestFit="1" customWidth="1"/>
    <col min="11" max="11" width="14.6640625" bestFit="1" customWidth="1"/>
    <col min="12" max="12" width="13.5546875" bestFit="1" customWidth="1"/>
  </cols>
  <sheetData>
    <row r="1" spans="1:12" x14ac:dyDescent="0.3">
      <c r="A1" t="s">
        <v>25</v>
      </c>
      <c r="B1" t="s">
        <v>26</v>
      </c>
      <c r="C1" t="s">
        <v>27</v>
      </c>
      <c r="D1" s="4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24</v>
      </c>
    </row>
    <row r="2" spans="1:12" hidden="1" outlineLevel="2" x14ac:dyDescent="0.3">
      <c r="A2" t="s">
        <v>36</v>
      </c>
      <c r="B2" t="s">
        <v>64</v>
      </c>
      <c r="C2" t="s">
        <v>63</v>
      </c>
      <c r="D2" s="4">
        <v>42738</v>
      </c>
      <c r="E2" t="s">
        <v>39</v>
      </c>
      <c r="F2">
        <v>-1</v>
      </c>
      <c r="G2">
        <v>100</v>
      </c>
      <c r="H2">
        <v>0</v>
      </c>
      <c r="I2">
        <v>0</v>
      </c>
      <c r="J2">
        <v>1743.1383000000001</v>
      </c>
      <c r="K2">
        <v>-1743.14</v>
      </c>
    </row>
    <row r="3" spans="1:12" hidden="1" outlineLevel="2" x14ac:dyDescent="0.3">
      <c r="A3" t="s">
        <v>36</v>
      </c>
      <c r="B3" t="s">
        <v>101</v>
      </c>
      <c r="C3" t="s">
        <v>63</v>
      </c>
      <c r="D3" s="4">
        <v>42739</v>
      </c>
      <c r="E3" t="s">
        <v>39</v>
      </c>
      <c r="F3">
        <v>-1500</v>
      </c>
      <c r="G3">
        <v>1</v>
      </c>
      <c r="H3">
        <v>0</v>
      </c>
      <c r="I3">
        <v>0</v>
      </c>
      <c r="J3">
        <v>18.8429</v>
      </c>
      <c r="K3">
        <v>-28264.29</v>
      </c>
    </row>
    <row r="4" spans="1:12" hidden="1" outlineLevel="2" x14ac:dyDescent="0.3">
      <c r="A4" t="s">
        <v>36</v>
      </c>
      <c r="B4" t="s">
        <v>138</v>
      </c>
      <c r="C4" t="s">
        <v>63</v>
      </c>
      <c r="D4" s="4">
        <v>42739</v>
      </c>
      <c r="E4" t="s">
        <v>39</v>
      </c>
      <c r="F4">
        <v>-1250</v>
      </c>
      <c r="G4">
        <v>1</v>
      </c>
      <c r="H4">
        <v>0</v>
      </c>
      <c r="I4">
        <v>0</v>
      </c>
      <c r="J4">
        <v>19.229500000000002</v>
      </c>
      <c r="K4">
        <v>-24036.82</v>
      </c>
    </row>
    <row r="5" spans="1:12" hidden="1" outlineLevel="2" x14ac:dyDescent="0.3">
      <c r="A5" t="s">
        <v>36</v>
      </c>
      <c r="B5" t="s">
        <v>64</v>
      </c>
      <c r="C5" t="s">
        <v>63</v>
      </c>
      <c r="D5" s="4">
        <v>42740</v>
      </c>
      <c r="E5" t="s">
        <v>39</v>
      </c>
      <c r="F5">
        <v>-17</v>
      </c>
      <c r="G5">
        <v>100</v>
      </c>
      <c r="H5">
        <v>0</v>
      </c>
      <c r="I5">
        <v>0</v>
      </c>
      <c r="J5">
        <v>1742.5041000000001</v>
      </c>
      <c r="K5">
        <v>-29622.57</v>
      </c>
    </row>
    <row r="6" spans="1:12" hidden="1" outlineLevel="2" x14ac:dyDescent="0.3">
      <c r="A6" t="s">
        <v>36</v>
      </c>
      <c r="B6" t="s">
        <v>120</v>
      </c>
      <c r="C6" t="s">
        <v>63</v>
      </c>
      <c r="D6" s="4">
        <v>42740</v>
      </c>
      <c r="E6" t="s">
        <v>39</v>
      </c>
      <c r="F6">
        <v>-500</v>
      </c>
      <c r="G6">
        <v>1</v>
      </c>
      <c r="H6">
        <v>0</v>
      </c>
      <c r="I6">
        <v>0</v>
      </c>
      <c r="J6">
        <v>17.420000000000002</v>
      </c>
      <c r="K6">
        <v>-8710</v>
      </c>
    </row>
    <row r="7" spans="1:12" hidden="1" outlineLevel="2" x14ac:dyDescent="0.3">
      <c r="A7" t="s">
        <v>36</v>
      </c>
      <c r="B7" t="s">
        <v>136</v>
      </c>
      <c r="C7" t="s">
        <v>63</v>
      </c>
      <c r="D7" s="4">
        <v>42740</v>
      </c>
      <c r="E7" t="s">
        <v>39</v>
      </c>
      <c r="F7">
        <v>-2500</v>
      </c>
      <c r="G7">
        <v>1</v>
      </c>
      <c r="H7">
        <v>0</v>
      </c>
      <c r="I7">
        <v>0</v>
      </c>
      <c r="J7">
        <v>17.8353</v>
      </c>
      <c r="K7">
        <v>-44588.24</v>
      </c>
    </row>
    <row r="8" spans="1:12" hidden="1" outlineLevel="2" x14ac:dyDescent="0.3">
      <c r="A8" t="s">
        <v>36</v>
      </c>
      <c r="B8" t="s">
        <v>67</v>
      </c>
      <c r="C8" t="s">
        <v>63</v>
      </c>
      <c r="D8" s="4">
        <v>42741</v>
      </c>
      <c r="E8" t="s">
        <v>68</v>
      </c>
      <c r="F8">
        <v>-435.61</v>
      </c>
      <c r="G8">
        <v>0.8</v>
      </c>
      <c r="H8">
        <v>0</v>
      </c>
      <c r="I8">
        <v>0</v>
      </c>
      <c r="J8">
        <v>11.9862</v>
      </c>
      <c r="K8">
        <v>-5221.33</v>
      </c>
    </row>
    <row r="9" spans="1:12" hidden="1" outlineLevel="2" x14ac:dyDescent="0.3">
      <c r="A9" t="s">
        <v>36</v>
      </c>
      <c r="B9" t="s">
        <v>71</v>
      </c>
      <c r="C9" t="s">
        <v>63</v>
      </c>
      <c r="D9" s="4">
        <v>42741</v>
      </c>
      <c r="E9" t="s">
        <v>68</v>
      </c>
      <c r="F9">
        <v>-16019.62</v>
      </c>
      <c r="G9">
        <v>0.92500000000000004</v>
      </c>
      <c r="H9">
        <v>0</v>
      </c>
      <c r="I9">
        <v>0</v>
      </c>
      <c r="J9">
        <v>15.151400000000001</v>
      </c>
      <c r="K9">
        <v>-242719.61</v>
      </c>
    </row>
    <row r="10" spans="1:12" hidden="1" outlineLevel="2" x14ac:dyDescent="0.3">
      <c r="A10" t="s">
        <v>36</v>
      </c>
      <c r="B10" t="s">
        <v>72</v>
      </c>
      <c r="C10" t="s">
        <v>63</v>
      </c>
      <c r="D10" s="4">
        <v>42741</v>
      </c>
      <c r="E10" t="s">
        <v>68</v>
      </c>
      <c r="F10">
        <v>-104000</v>
      </c>
      <c r="G10">
        <v>1</v>
      </c>
      <c r="H10">
        <v>0</v>
      </c>
      <c r="I10">
        <v>0</v>
      </c>
      <c r="J10">
        <v>17.827200000000001</v>
      </c>
      <c r="K10">
        <v>-1854030.96</v>
      </c>
    </row>
    <row r="11" spans="1:12" hidden="1" outlineLevel="2" x14ac:dyDescent="0.3">
      <c r="A11" t="s">
        <v>36</v>
      </c>
      <c r="B11" t="s">
        <v>79</v>
      </c>
      <c r="C11" t="s">
        <v>63</v>
      </c>
      <c r="D11" s="4">
        <v>42741</v>
      </c>
      <c r="E11" t="s">
        <v>68</v>
      </c>
      <c r="F11">
        <v>-13066.8</v>
      </c>
      <c r="G11">
        <v>1</v>
      </c>
      <c r="H11">
        <v>0</v>
      </c>
      <c r="I11">
        <v>0</v>
      </c>
      <c r="J11">
        <v>16.076599999999999</v>
      </c>
      <c r="K11">
        <v>-210069.23</v>
      </c>
    </row>
    <row r="12" spans="1:12" hidden="1" outlineLevel="2" x14ac:dyDescent="0.3">
      <c r="A12" t="s">
        <v>36</v>
      </c>
      <c r="B12" t="s">
        <v>114</v>
      </c>
      <c r="C12" t="s">
        <v>63</v>
      </c>
      <c r="D12" s="4">
        <v>42741</v>
      </c>
      <c r="E12" t="s">
        <v>68</v>
      </c>
      <c r="F12">
        <v>-61887</v>
      </c>
      <c r="G12">
        <v>0.29499999999999998</v>
      </c>
      <c r="H12">
        <v>0</v>
      </c>
      <c r="I12">
        <v>0</v>
      </c>
      <c r="J12">
        <v>4.8705999999999996</v>
      </c>
      <c r="K12">
        <v>-301429.13</v>
      </c>
    </row>
    <row r="13" spans="1:12" hidden="1" outlineLevel="2" x14ac:dyDescent="0.3">
      <c r="A13" t="s">
        <v>36</v>
      </c>
      <c r="B13" t="s">
        <v>122</v>
      </c>
      <c r="C13" t="s">
        <v>63</v>
      </c>
      <c r="D13" s="4">
        <v>42744</v>
      </c>
      <c r="E13" t="s">
        <v>46</v>
      </c>
      <c r="F13">
        <v>-1000</v>
      </c>
      <c r="G13">
        <v>1</v>
      </c>
      <c r="H13">
        <v>0</v>
      </c>
      <c r="I13">
        <v>0</v>
      </c>
      <c r="J13">
        <v>17.420000000000002</v>
      </c>
      <c r="K13">
        <v>-17420</v>
      </c>
    </row>
    <row r="14" spans="1:12" hidden="1" outlineLevel="2" x14ac:dyDescent="0.3">
      <c r="A14" t="s">
        <v>36</v>
      </c>
      <c r="B14" t="s">
        <v>126</v>
      </c>
      <c r="C14" t="s">
        <v>63</v>
      </c>
      <c r="D14" s="4">
        <v>42744</v>
      </c>
      <c r="E14" t="s">
        <v>46</v>
      </c>
      <c r="F14">
        <v>-2000</v>
      </c>
      <c r="G14">
        <v>1</v>
      </c>
      <c r="H14">
        <v>0</v>
      </c>
      <c r="I14">
        <v>0</v>
      </c>
      <c r="J14">
        <v>18.260000000000002</v>
      </c>
      <c r="K14">
        <v>-36520</v>
      </c>
    </row>
    <row r="15" spans="1:12" hidden="1" outlineLevel="2" x14ac:dyDescent="0.3">
      <c r="A15" t="s">
        <v>36</v>
      </c>
      <c r="B15" t="s">
        <v>157</v>
      </c>
      <c r="C15" t="s">
        <v>63</v>
      </c>
      <c r="D15" s="4">
        <v>42744</v>
      </c>
      <c r="E15" t="s">
        <v>39</v>
      </c>
      <c r="F15">
        <v>-300</v>
      </c>
      <c r="G15">
        <v>0.96450000000000002</v>
      </c>
      <c r="H15">
        <v>0</v>
      </c>
      <c r="I15">
        <v>0</v>
      </c>
      <c r="J15">
        <v>22.867999999999999</v>
      </c>
      <c r="K15">
        <v>-6860.4</v>
      </c>
    </row>
    <row r="16" spans="1:12" hidden="1" outlineLevel="2" x14ac:dyDescent="0.3">
      <c r="A16" t="s">
        <v>36</v>
      </c>
      <c r="B16" t="s">
        <v>160</v>
      </c>
      <c r="C16" t="s">
        <v>63</v>
      </c>
      <c r="D16" s="4">
        <v>42744</v>
      </c>
      <c r="E16" t="s">
        <v>39</v>
      </c>
      <c r="F16">
        <v>-1000</v>
      </c>
      <c r="G16">
        <v>1</v>
      </c>
      <c r="H16">
        <v>0</v>
      </c>
      <c r="I16">
        <v>0</v>
      </c>
      <c r="J16">
        <v>18.010000000000002</v>
      </c>
      <c r="K16">
        <v>-18010</v>
      </c>
    </row>
    <row r="17" spans="1:11" hidden="1" outlineLevel="2" x14ac:dyDescent="0.3">
      <c r="A17" t="s">
        <v>36</v>
      </c>
      <c r="B17" t="s">
        <v>64</v>
      </c>
      <c r="C17" t="s">
        <v>63</v>
      </c>
      <c r="D17" s="4">
        <v>42745</v>
      </c>
      <c r="E17" t="s">
        <v>39</v>
      </c>
      <c r="F17">
        <v>-16</v>
      </c>
      <c r="G17">
        <v>100</v>
      </c>
      <c r="H17">
        <v>0</v>
      </c>
      <c r="I17">
        <v>0</v>
      </c>
      <c r="J17">
        <v>1742.5039999999999</v>
      </c>
      <c r="K17">
        <v>-27880.06</v>
      </c>
    </row>
    <row r="18" spans="1:11" hidden="1" outlineLevel="2" x14ac:dyDescent="0.3">
      <c r="A18" t="s">
        <v>36</v>
      </c>
      <c r="B18" t="s">
        <v>64</v>
      </c>
      <c r="C18" t="s">
        <v>63</v>
      </c>
      <c r="D18" s="4">
        <v>42745</v>
      </c>
      <c r="E18" t="s">
        <v>39</v>
      </c>
      <c r="F18">
        <v>-150</v>
      </c>
      <c r="G18">
        <v>100</v>
      </c>
      <c r="H18">
        <v>0</v>
      </c>
      <c r="I18">
        <v>0</v>
      </c>
      <c r="J18">
        <v>1742.5041000000001</v>
      </c>
      <c r="K18">
        <v>-261375.61</v>
      </c>
    </row>
    <row r="19" spans="1:11" hidden="1" outlineLevel="2" x14ac:dyDescent="0.3">
      <c r="A19" t="s">
        <v>36</v>
      </c>
      <c r="B19" t="s">
        <v>115</v>
      </c>
      <c r="C19" t="s">
        <v>63</v>
      </c>
      <c r="D19" s="4">
        <v>42745</v>
      </c>
      <c r="E19" t="s">
        <v>39</v>
      </c>
      <c r="F19">
        <v>-26</v>
      </c>
      <c r="G19">
        <v>0.77339999999999998</v>
      </c>
      <c r="H19">
        <v>0</v>
      </c>
      <c r="I19">
        <v>0</v>
      </c>
      <c r="J19">
        <v>17.91</v>
      </c>
      <c r="K19">
        <v>-465.66</v>
      </c>
    </row>
    <row r="20" spans="1:11" hidden="1" outlineLevel="2" x14ac:dyDescent="0.3">
      <c r="A20" t="s">
        <v>36</v>
      </c>
      <c r="B20" t="s">
        <v>117</v>
      </c>
      <c r="C20" t="s">
        <v>63</v>
      </c>
      <c r="D20" s="4">
        <v>42745</v>
      </c>
      <c r="E20" t="s">
        <v>39</v>
      </c>
      <c r="F20">
        <v>-57</v>
      </c>
      <c r="G20">
        <v>0.77339999999999998</v>
      </c>
      <c r="H20">
        <v>0</v>
      </c>
      <c r="I20">
        <v>0</v>
      </c>
      <c r="J20">
        <v>17.91</v>
      </c>
      <c r="K20">
        <v>-1020.87</v>
      </c>
    </row>
    <row r="21" spans="1:11" hidden="1" outlineLevel="2" x14ac:dyDescent="0.3">
      <c r="A21" t="s">
        <v>36</v>
      </c>
      <c r="B21" t="s">
        <v>118</v>
      </c>
      <c r="C21" t="s">
        <v>63</v>
      </c>
      <c r="D21" s="4">
        <v>42745</v>
      </c>
      <c r="E21" t="s">
        <v>39</v>
      </c>
      <c r="F21">
        <v>-16</v>
      </c>
      <c r="G21">
        <v>0.77339999999999998</v>
      </c>
      <c r="H21">
        <v>0</v>
      </c>
      <c r="I21">
        <v>0</v>
      </c>
      <c r="J21">
        <v>17.91</v>
      </c>
      <c r="K21">
        <v>-286.56</v>
      </c>
    </row>
    <row r="22" spans="1:11" hidden="1" outlineLevel="2" x14ac:dyDescent="0.3">
      <c r="A22" t="s">
        <v>36</v>
      </c>
      <c r="B22" t="s">
        <v>133</v>
      </c>
      <c r="C22" t="s">
        <v>63</v>
      </c>
      <c r="D22" s="4">
        <v>42745</v>
      </c>
      <c r="E22" t="s">
        <v>39</v>
      </c>
      <c r="F22">
        <v>-11970</v>
      </c>
      <c r="G22">
        <v>1</v>
      </c>
      <c r="H22">
        <v>0</v>
      </c>
      <c r="I22">
        <v>0</v>
      </c>
      <c r="J22">
        <v>18.5016</v>
      </c>
      <c r="K22">
        <v>-221463.56</v>
      </c>
    </row>
    <row r="23" spans="1:11" hidden="1" outlineLevel="2" x14ac:dyDescent="0.3">
      <c r="A23" t="s">
        <v>36</v>
      </c>
      <c r="B23" t="s">
        <v>150</v>
      </c>
      <c r="C23" t="s">
        <v>63</v>
      </c>
      <c r="D23" s="4">
        <v>42745</v>
      </c>
      <c r="E23" t="s">
        <v>39</v>
      </c>
      <c r="F23">
        <v>-15823</v>
      </c>
      <c r="G23">
        <v>1</v>
      </c>
      <c r="H23">
        <v>0</v>
      </c>
      <c r="I23">
        <v>0</v>
      </c>
      <c r="J23">
        <v>17.573699999999999</v>
      </c>
      <c r="K23">
        <v>-278068.59000000003</v>
      </c>
    </row>
    <row r="24" spans="1:11" hidden="1" outlineLevel="2" x14ac:dyDescent="0.3">
      <c r="A24" t="s">
        <v>36</v>
      </c>
      <c r="B24" t="s">
        <v>101</v>
      </c>
      <c r="C24" t="s">
        <v>63</v>
      </c>
      <c r="D24" s="4">
        <v>42746</v>
      </c>
      <c r="E24" t="s">
        <v>39</v>
      </c>
      <c r="F24">
        <v>-1000</v>
      </c>
      <c r="G24">
        <v>1</v>
      </c>
      <c r="H24">
        <v>0</v>
      </c>
      <c r="I24">
        <v>0</v>
      </c>
      <c r="J24">
        <v>18.8429</v>
      </c>
      <c r="K24">
        <v>-18842.86</v>
      </c>
    </row>
    <row r="25" spans="1:11" hidden="1" outlineLevel="2" x14ac:dyDescent="0.3">
      <c r="A25" t="s">
        <v>36</v>
      </c>
      <c r="B25" t="s">
        <v>103</v>
      </c>
      <c r="C25" t="s">
        <v>63</v>
      </c>
      <c r="D25" s="4">
        <v>42746</v>
      </c>
      <c r="E25" t="s">
        <v>47</v>
      </c>
      <c r="F25">
        <v>-15000</v>
      </c>
      <c r="G25">
        <v>5</v>
      </c>
      <c r="H25">
        <v>0</v>
      </c>
      <c r="I25">
        <v>0</v>
      </c>
      <c r="J25">
        <v>98</v>
      </c>
      <c r="K25">
        <v>-1470000</v>
      </c>
    </row>
    <row r="26" spans="1:11" hidden="1" outlineLevel="2" x14ac:dyDescent="0.3">
      <c r="A26" t="s">
        <v>36</v>
      </c>
      <c r="B26" t="s">
        <v>131</v>
      </c>
      <c r="C26" t="s">
        <v>63</v>
      </c>
      <c r="D26" s="4">
        <v>42746</v>
      </c>
      <c r="E26" t="s">
        <v>56</v>
      </c>
      <c r="F26">
        <v>-60</v>
      </c>
      <c r="G26">
        <v>1</v>
      </c>
      <c r="H26">
        <v>0</v>
      </c>
      <c r="I26">
        <v>0</v>
      </c>
      <c r="J26">
        <v>18.284800000000001</v>
      </c>
      <c r="K26">
        <v>-1097.0899999999999</v>
      </c>
    </row>
    <row r="27" spans="1:11" hidden="1" outlineLevel="2" x14ac:dyDescent="0.3">
      <c r="A27" t="s">
        <v>36</v>
      </c>
      <c r="B27" t="s">
        <v>79</v>
      </c>
      <c r="C27" t="s">
        <v>63</v>
      </c>
      <c r="D27" s="4">
        <v>42747</v>
      </c>
      <c r="E27" t="s">
        <v>39</v>
      </c>
      <c r="F27">
        <v>-500</v>
      </c>
      <c r="G27">
        <v>1</v>
      </c>
      <c r="H27">
        <v>0</v>
      </c>
      <c r="I27">
        <v>0</v>
      </c>
      <c r="J27">
        <v>16.416</v>
      </c>
      <c r="K27">
        <v>-8208</v>
      </c>
    </row>
    <row r="28" spans="1:11" hidden="1" outlineLevel="2" x14ac:dyDescent="0.3">
      <c r="A28" t="s">
        <v>36</v>
      </c>
      <c r="B28" t="s">
        <v>79</v>
      </c>
      <c r="C28" t="s">
        <v>63</v>
      </c>
      <c r="D28" s="4">
        <v>42747</v>
      </c>
      <c r="E28" t="s">
        <v>39</v>
      </c>
      <c r="F28">
        <v>-500</v>
      </c>
      <c r="G28">
        <v>1</v>
      </c>
      <c r="H28">
        <v>0</v>
      </c>
      <c r="I28">
        <v>0</v>
      </c>
      <c r="J28">
        <v>16.416</v>
      </c>
      <c r="K28">
        <v>-8208</v>
      </c>
    </row>
    <row r="29" spans="1:11" hidden="1" outlineLevel="2" x14ac:dyDescent="0.3">
      <c r="A29" t="s">
        <v>36</v>
      </c>
      <c r="B29" t="s">
        <v>79</v>
      </c>
      <c r="C29" t="s">
        <v>63</v>
      </c>
      <c r="D29" s="4">
        <v>42748</v>
      </c>
      <c r="E29" t="s">
        <v>39</v>
      </c>
      <c r="F29">
        <v>-40</v>
      </c>
      <c r="G29">
        <v>1</v>
      </c>
      <c r="H29">
        <v>0</v>
      </c>
      <c r="I29">
        <v>0</v>
      </c>
      <c r="J29">
        <v>16.414899999999999</v>
      </c>
      <c r="K29">
        <v>-656.6</v>
      </c>
    </row>
    <row r="30" spans="1:11" hidden="1" outlineLevel="2" x14ac:dyDescent="0.3">
      <c r="A30" t="s">
        <v>36</v>
      </c>
      <c r="B30" t="s">
        <v>82</v>
      </c>
      <c r="C30" t="s">
        <v>63</v>
      </c>
      <c r="D30" s="4">
        <v>42751</v>
      </c>
      <c r="E30" t="s">
        <v>51</v>
      </c>
      <c r="F30">
        <v>-30000</v>
      </c>
      <c r="G30">
        <v>1</v>
      </c>
      <c r="H30">
        <v>0</v>
      </c>
      <c r="I30">
        <v>0</v>
      </c>
      <c r="J30">
        <v>16.0806</v>
      </c>
      <c r="K30">
        <v>-482418</v>
      </c>
    </row>
    <row r="31" spans="1:11" hidden="1" outlineLevel="2" x14ac:dyDescent="0.3">
      <c r="A31" t="s">
        <v>36</v>
      </c>
      <c r="B31" t="s">
        <v>131</v>
      </c>
      <c r="C31" t="s">
        <v>63</v>
      </c>
      <c r="D31" s="4">
        <v>42751</v>
      </c>
      <c r="E31" t="s">
        <v>39</v>
      </c>
      <c r="F31">
        <v>-60</v>
      </c>
      <c r="G31">
        <v>1</v>
      </c>
      <c r="H31">
        <v>0</v>
      </c>
      <c r="I31">
        <v>0</v>
      </c>
      <c r="J31">
        <v>18.284800000000001</v>
      </c>
      <c r="K31">
        <v>-1097.0899999999999</v>
      </c>
    </row>
    <row r="32" spans="1:11" hidden="1" outlineLevel="2" x14ac:dyDescent="0.3">
      <c r="A32" t="s">
        <v>36</v>
      </c>
      <c r="B32" t="s">
        <v>154</v>
      </c>
      <c r="C32" t="s">
        <v>63</v>
      </c>
      <c r="D32" s="4">
        <v>42751</v>
      </c>
      <c r="E32" t="s">
        <v>39</v>
      </c>
      <c r="F32">
        <v>-600</v>
      </c>
      <c r="G32">
        <v>0.96450000000000002</v>
      </c>
      <c r="H32">
        <v>0</v>
      </c>
      <c r="I32">
        <v>0</v>
      </c>
      <c r="J32">
        <v>21.89</v>
      </c>
      <c r="K32">
        <v>-13133.98</v>
      </c>
    </row>
    <row r="33" spans="1:11" hidden="1" outlineLevel="2" x14ac:dyDescent="0.3">
      <c r="A33" t="s">
        <v>36</v>
      </c>
      <c r="B33" t="s">
        <v>62</v>
      </c>
      <c r="C33" t="s">
        <v>63</v>
      </c>
      <c r="D33" s="4">
        <v>42752</v>
      </c>
      <c r="E33" t="s">
        <v>39</v>
      </c>
      <c r="F33">
        <v>-50</v>
      </c>
      <c r="G33">
        <v>10</v>
      </c>
      <c r="H33">
        <v>0</v>
      </c>
      <c r="I33">
        <v>0</v>
      </c>
      <c r="J33">
        <v>168.66589999999999</v>
      </c>
      <c r="K33">
        <v>-8433.2999999999993</v>
      </c>
    </row>
    <row r="34" spans="1:11" hidden="1" outlineLevel="2" x14ac:dyDescent="0.3">
      <c r="A34" t="s">
        <v>36</v>
      </c>
      <c r="B34" t="s">
        <v>64</v>
      </c>
      <c r="C34" t="s">
        <v>63</v>
      </c>
      <c r="D34" s="4">
        <v>42752</v>
      </c>
      <c r="E34" t="s">
        <v>39</v>
      </c>
      <c r="F34">
        <v>-307</v>
      </c>
      <c r="G34">
        <v>100</v>
      </c>
      <c r="H34">
        <v>0</v>
      </c>
      <c r="I34">
        <v>0</v>
      </c>
      <c r="J34">
        <v>1740.7492</v>
      </c>
      <c r="K34">
        <v>-534410.01</v>
      </c>
    </row>
    <row r="35" spans="1:11" hidden="1" outlineLevel="2" x14ac:dyDescent="0.3">
      <c r="A35" t="s">
        <v>36</v>
      </c>
      <c r="B35" t="s">
        <v>79</v>
      </c>
      <c r="C35" t="s">
        <v>63</v>
      </c>
      <c r="D35" s="4">
        <v>42753</v>
      </c>
      <c r="E35" t="s">
        <v>39</v>
      </c>
      <c r="F35">
        <v>-1200</v>
      </c>
      <c r="G35">
        <v>1</v>
      </c>
      <c r="H35">
        <v>0</v>
      </c>
      <c r="I35">
        <v>0</v>
      </c>
      <c r="J35">
        <v>16.402200000000001</v>
      </c>
      <c r="K35">
        <v>-19682.650000000001</v>
      </c>
    </row>
    <row r="36" spans="1:11" hidden="1" outlineLevel="2" x14ac:dyDescent="0.3">
      <c r="A36" t="s">
        <v>36</v>
      </c>
      <c r="B36" t="s">
        <v>79</v>
      </c>
      <c r="C36" t="s">
        <v>63</v>
      </c>
      <c r="D36" s="4">
        <v>42753</v>
      </c>
      <c r="E36" t="s">
        <v>39</v>
      </c>
      <c r="F36">
        <v>-1100</v>
      </c>
      <c r="G36">
        <v>1</v>
      </c>
      <c r="H36">
        <v>0</v>
      </c>
      <c r="I36">
        <v>0</v>
      </c>
      <c r="J36">
        <v>16.402200000000001</v>
      </c>
      <c r="K36">
        <v>-18042.43</v>
      </c>
    </row>
    <row r="37" spans="1:11" hidden="1" outlineLevel="2" x14ac:dyDescent="0.3">
      <c r="A37" t="s">
        <v>36</v>
      </c>
      <c r="B37" t="s">
        <v>79</v>
      </c>
      <c r="C37" t="s">
        <v>63</v>
      </c>
      <c r="D37" s="4">
        <v>42753</v>
      </c>
      <c r="E37" t="s">
        <v>39</v>
      </c>
      <c r="F37">
        <v>-1400</v>
      </c>
      <c r="G37">
        <v>1</v>
      </c>
      <c r="H37">
        <v>0</v>
      </c>
      <c r="I37">
        <v>0</v>
      </c>
      <c r="J37">
        <v>16.402200000000001</v>
      </c>
      <c r="K37">
        <v>-22963.09</v>
      </c>
    </row>
    <row r="38" spans="1:11" hidden="1" outlineLevel="2" x14ac:dyDescent="0.3">
      <c r="A38" t="s">
        <v>36</v>
      </c>
      <c r="B38" t="s">
        <v>129</v>
      </c>
      <c r="C38" t="s">
        <v>63</v>
      </c>
      <c r="D38" s="4">
        <v>42753</v>
      </c>
      <c r="E38" t="s">
        <v>39</v>
      </c>
      <c r="F38">
        <v>-10</v>
      </c>
      <c r="G38">
        <v>0.5</v>
      </c>
      <c r="H38">
        <v>0</v>
      </c>
      <c r="I38">
        <v>0</v>
      </c>
      <c r="J38">
        <v>10.468999999999999</v>
      </c>
      <c r="K38">
        <v>-104.69</v>
      </c>
    </row>
    <row r="39" spans="1:11" hidden="1" outlineLevel="2" x14ac:dyDescent="0.3">
      <c r="A39" t="s">
        <v>36</v>
      </c>
      <c r="B39" t="s">
        <v>134</v>
      </c>
      <c r="C39" t="s">
        <v>63</v>
      </c>
      <c r="D39" s="4">
        <v>42753</v>
      </c>
      <c r="E39" t="s">
        <v>56</v>
      </c>
      <c r="F39">
        <v>-4409</v>
      </c>
      <c r="G39">
        <v>1</v>
      </c>
      <c r="H39">
        <v>0</v>
      </c>
      <c r="I39">
        <v>0</v>
      </c>
      <c r="J39">
        <v>19.0779</v>
      </c>
      <c r="K39">
        <v>-84114.57</v>
      </c>
    </row>
    <row r="40" spans="1:11" hidden="1" outlineLevel="2" x14ac:dyDescent="0.3">
      <c r="A40" t="s">
        <v>36</v>
      </c>
      <c r="B40" t="s">
        <v>136</v>
      </c>
      <c r="C40" t="s">
        <v>63</v>
      </c>
      <c r="D40" s="4">
        <v>42753</v>
      </c>
      <c r="E40" t="s">
        <v>56</v>
      </c>
      <c r="F40">
        <v>-4409</v>
      </c>
      <c r="G40">
        <v>1</v>
      </c>
      <c r="H40">
        <v>0</v>
      </c>
      <c r="I40">
        <v>0</v>
      </c>
      <c r="J40">
        <v>19.0779</v>
      </c>
      <c r="K40">
        <v>-84114.57</v>
      </c>
    </row>
    <row r="41" spans="1:11" hidden="1" outlineLevel="2" x14ac:dyDescent="0.3">
      <c r="A41" t="s">
        <v>36</v>
      </c>
      <c r="B41" t="s">
        <v>136</v>
      </c>
      <c r="C41" t="s">
        <v>63</v>
      </c>
      <c r="D41" s="4">
        <v>42753</v>
      </c>
      <c r="E41" t="s">
        <v>56</v>
      </c>
      <c r="F41">
        <v>-500</v>
      </c>
      <c r="G41">
        <v>1</v>
      </c>
      <c r="H41">
        <v>0</v>
      </c>
      <c r="I41">
        <v>0</v>
      </c>
      <c r="J41">
        <v>19.0779</v>
      </c>
      <c r="K41">
        <v>-9538.9500000000007</v>
      </c>
    </row>
    <row r="42" spans="1:11" hidden="1" outlineLevel="2" x14ac:dyDescent="0.3">
      <c r="A42" t="s">
        <v>36</v>
      </c>
      <c r="B42" t="s">
        <v>138</v>
      </c>
      <c r="C42" t="s">
        <v>63</v>
      </c>
      <c r="D42" s="4">
        <v>42753</v>
      </c>
      <c r="E42" t="s">
        <v>56</v>
      </c>
      <c r="F42">
        <v>-500</v>
      </c>
      <c r="G42">
        <v>1</v>
      </c>
      <c r="H42">
        <v>0</v>
      </c>
      <c r="I42">
        <v>0</v>
      </c>
      <c r="J42">
        <v>19.0779</v>
      </c>
      <c r="K42">
        <v>-9538.9599999999991</v>
      </c>
    </row>
    <row r="43" spans="1:11" hidden="1" outlineLevel="2" x14ac:dyDescent="0.3">
      <c r="A43" t="s">
        <v>36</v>
      </c>
      <c r="B43" t="s">
        <v>150</v>
      </c>
      <c r="C43" t="s">
        <v>63</v>
      </c>
      <c r="D43" s="4">
        <v>42753</v>
      </c>
      <c r="E43" t="s">
        <v>41</v>
      </c>
      <c r="F43">
        <v>-8500</v>
      </c>
      <c r="G43">
        <v>1</v>
      </c>
      <c r="H43">
        <v>0</v>
      </c>
      <c r="I43">
        <v>0</v>
      </c>
      <c r="J43">
        <v>17.5746</v>
      </c>
      <c r="K43">
        <v>-149384.1</v>
      </c>
    </row>
    <row r="44" spans="1:11" hidden="1" outlineLevel="2" x14ac:dyDescent="0.3">
      <c r="A44" t="s">
        <v>36</v>
      </c>
      <c r="B44" t="s">
        <v>150</v>
      </c>
      <c r="C44" t="s">
        <v>63</v>
      </c>
      <c r="D44" s="4">
        <v>42753</v>
      </c>
      <c r="E44" t="s">
        <v>56</v>
      </c>
      <c r="F44">
        <v>-2500</v>
      </c>
      <c r="G44">
        <v>1</v>
      </c>
      <c r="H44">
        <v>0</v>
      </c>
      <c r="I44">
        <v>0</v>
      </c>
      <c r="J44">
        <v>16.156600000000001</v>
      </c>
      <c r="K44">
        <v>-40391.589999999997</v>
      </c>
    </row>
    <row r="45" spans="1:11" hidden="1" outlineLevel="2" x14ac:dyDescent="0.3">
      <c r="A45" t="s">
        <v>36</v>
      </c>
      <c r="B45" t="s">
        <v>150</v>
      </c>
      <c r="C45" t="s">
        <v>63</v>
      </c>
      <c r="D45" s="4">
        <v>42753</v>
      </c>
      <c r="E45" t="s">
        <v>56</v>
      </c>
      <c r="F45">
        <v>-6589</v>
      </c>
      <c r="G45">
        <v>1</v>
      </c>
      <c r="H45">
        <v>0</v>
      </c>
      <c r="I45">
        <v>0</v>
      </c>
      <c r="J45">
        <v>16.156600000000001</v>
      </c>
      <c r="K45">
        <v>-106456.09</v>
      </c>
    </row>
    <row r="46" spans="1:11" hidden="1" outlineLevel="2" x14ac:dyDescent="0.3">
      <c r="A46" t="s">
        <v>36</v>
      </c>
      <c r="B46" t="s">
        <v>153</v>
      </c>
      <c r="C46" t="s">
        <v>63</v>
      </c>
      <c r="D46" s="4">
        <v>42753</v>
      </c>
      <c r="E46" t="s">
        <v>56</v>
      </c>
      <c r="F46">
        <v>-3430</v>
      </c>
      <c r="G46">
        <v>1</v>
      </c>
      <c r="H46">
        <v>0</v>
      </c>
      <c r="I46">
        <v>0</v>
      </c>
      <c r="J46">
        <v>16.5611</v>
      </c>
      <c r="K46">
        <v>-56804.47</v>
      </c>
    </row>
    <row r="47" spans="1:11" hidden="1" outlineLevel="2" x14ac:dyDescent="0.3">
      <c r="A47" t="s">
        <v>36</v>
      </c>
      <c r="B47" t="s">
        <v>165</v>
      </c>
      <c r="C47" t="s">
        <v>63</v>
      </c>
      <c r="D47" s="4">
        <v>42753</v>
      </c>
      <c r="E47" t="s">
        <v>39</v>
      </c>
      <c r="F47">
        <v>-236</v>
      </c>
      <c r="G47">
        <v>32.151000000000003</v>
      </c>
      <c r="H47">
        <v>0</v>
      </c>
      <c r="I47">
        <v>0</v>
      </c>
      <c r="J47">
        <v>565.87459999999999</v>
      </c>
      <c r="K47">
        <v>-133546.41</v>
      </c>
    </row>
    <row r="48" spans="1:11" hidden="1" outlineLevel="2" x14ac:dyDescent="0.3">
      <c r="A48" t="s">
        <v>36</v>
      </c>
      <c r="B48" t="s">
        <v>64</v>
      </c>
      <c r="C48" t="s">
        <v>63</v>
      </c>
      <c r="D48" s="4">
        <v>42754</v>
      </c>
      <c r="E48" t="s">
        <v>39</v>
      </c>
      <c r="F48">
        <v>-10</v>
      </c>
      <c r="G48">
        <v>100</v>
      </c>
      <c r="H48">
        <v>0</v>
      </c>
      <c r="I48">
        <v>0</v>
      </c>
      <c r="J48">
        <v>1732.4555</v>
      </c>
      <c r="K48">
        <v>-17324.560000000001</v>
      </c>
    </row>
    <row r="49" spans="1:11" hidden="1" outlineLevel="2" x14ac:dyDescent="0.3">
      <c r="A49" t="s">
        <v>36</v>
      </c>
      <c r="B49" t="s">
        <v>86</v>
      </c>
      <c r="C49" t="s">
        <v>63</v>
      </c>
      <c r="D49" s="4">
        <v>42754</v>
      </c>
      <c r="E49" t="s">
        <v>39</v>
      </c>
      <c r="F49">
        <v>-995.4</v>
      </c>
      <c r="G49">
        <v>1</v>
      </c>
      <c r="H49">
        <v>0</v>
      </c>
      <c r="I49">
        <v>0</v>
      </c>
      <c r="J49">
        <v>16.345600000000001</v>
      </c>
      <c r="K49">
        <v>-16270.44</v>
      </c>
    </row>
    <row r="50" spans="1:11" hidden="1" outlineLevel="2" x14ac:dyDescent="0.3">
      <c r="A50" t="s">
        <v>36</v>
      </c>
      <c r="B50" t="s">
        <v>136</v>
      </c>
      <c r="C50" t="s">
        <v>63</v>
      </c>
      <c r="D50" s="4">
        <v>42754</v>
      </c>
      <c r="E50" t="s">
        <v>39</v>
      </c>
      <c r="F50">
        <v>-250</v>
      </c>
      <c r="G50">
        <v>1</v>
      </c>
      <c r="H50">
        <v>0</v>
      </c>
      <c r="I50">
        <v>0</v>
      </c>
      <c r="J50">
        <v>17.9788</v>
      </c>
      <c r="K50">
        <v>-4494.7</v>
      </c>
    </row>
    <row r="51" spans="1:11" hidden="1" outlineLevel="2" x14ac:dyDescent="0.3">
      <c r="A51" t="s">
        <v>36</v>
      </c>
      <c r="B51" t="s">
        <v>69</v>
      </c>
      <c r="C51" t="s">
        <v>63</v>
      </c>
      <c r="D51" s="4">
        <v>42755</v>
      </c>
      <c r="E51" t="s">
        <v>70</v>
      </c>
      <c r="F51">
        <v>-8406.2000000000007</v>
      </c>
      <c r="G51">
        <v>1</v>
      </c>
      <c r="H51">
        <v>0</v>
      </c>
      <c r="I51">
        <v>0</v>
      </c>
      <c r="J51">
        <v>16.108799999999999</v>
      </c>
      <c r="K51">
        <v>-135413.78</v>
      </c>
    </row>
    <row r="52" spans="1:11" hidden="1" outlineLevel="2" x14ac:dyDescent="0.3">
      <c r="A52" t="s">
        <v>36</v>
      </c>
      <c r="B52" t="s">
        <v>79</v>
      </c>
      <c r="C52" t="s">
        <v>63</v>
      </c>
      <c r="D52" s="4">
        <v>42755</v>
      </c>
      <c r="E52" t="s">
        <v>39</v>
      </c>
      <c r="F52">
        <v>-995.4</v>
      </c>
      <c r="G52">
        <v>1</v>
      </c>
      <c r="H52">
        <v>0</v>
      </c>
      <c r="I52">
        <v>0</v>
      </c>
      <c r="J52">
        <v>16.5059</v>
      </c>
      <c r="K52">
        <v>-16429.96</v>
      </c>
    </row>
    <row r="53" spans="1:11" hidden="1" outlineLevel="2" x14ac:dyDescent="0.3">
      <c r="A53" t="s">
        <v>36</v>
      </c>
      <c r="B53" t="s">
        <v>79</v>
      </c>
      <c r="C53" t="s">
        <v>63</v>
      </c>
      <c r="D53" s="4">
        <v>42755</v>
      </c>
      <c r="E53" t="s">
        <v>39</v>
      </c>
      <c r="F53">
        <v>-995.4</v>
      </c>
      <c r="G53">
        <v>1</v>
      </c>
      <c r="H53">
        <v>0</v>
      </c>
      <c r="I53">
        <v>0</v>
      </c>
      <c r="J53">
        <v>16.5059</v>
      </c>
      <c r="K53">
        <v>-16429.96</v>
      </c>
    </row>
    <row r="54" spans="1:11" hidden="1" outlineLevel="2" x14ac:dyDescent="0.3">
      <c r="A54" t="s">
        <v>36</v>
      </c>
      <c r="B54" t="s">
        <v>72</v>
      </c>
      <c r="C54" t="s">
        <v>63</v>
      </c>
      <c r="D54" s="4">
        <v>42758</v>
      </c>
      <c r="E54" t="s">
        <v>51</v>
      </c>
      <c r="F54">
        <v>-2000</v>
      </c>
      <c r="G54">
        <v>1</v>
      </c>
      <c r="H54">
        <v>0</v>
      </c>
      <c r="I54">
        <v>0</v>
      </c>
      <c r="J54">
        <v>19.636099999999999</v>
      </c>
      <c r="K54">
        <v>-39272.199999999997</v>
      </c>
    </row>
    <row r="55" spans="1:11" hidden="1" outlineLevel="2" x14ac:dyDescent="0.3">
      <c r="A55" t="s">
        <v>36</v>
      </c>
      <c r="B55" t="s">
        <v>82</v>
      </c>
      <c r="C55" t="s">
        <v>63</v>
      </c>
      <c r="D55" s="4">
        <v>42758</v>
      </c>
      <c r="E55" t="s">
        <v>51</v>
      </c>
      <c r="F55">
        <v>-30000</v>
      </c>
      <c r="G55">
        <v>1</v>
      </c>
      <c r="H55">
        <v>0</v>
      </c>
      <c r="I55">
        <v>0</v>
      </c>
      <c r="J55">
        <v>16.480599999999999</v>
      </c>
      <c r="K55">
        <v>-494417.69</v>
      </c>
    </row>
    <row r="56" spans="1:11" hidden="1" outlineLevel="2" x14ac:dyDescent="0.3">
      <c r="A56" t="s">
        <v>36</v>
      </c>
      <c r="B56" t="s">
        <v>64</v>
      </c>
      <c r="C56" t="s">
        <v>63</v>
      </c>
      <c r="D56" s="4">
        <v>42759</v>
      </c>
      <c r="E56" t="s">
        <v>39</v>
      </c>
      <c r="F56">
        <v>-15</v>
      </c>
      <c r="G56">
        <v>100</v>
      </c>
      <c r="H56">
        <v>0</v>
      </c>
      <c r="I56">
        <v>0</v>
      </c>
      <c r="J56">
        <v>1730.2342000000001</v>
      </c>
      <c r="K56">
        <v>-25953.51</v>
      </c>
    </row>
    <row r="57" spans="1:11" hidden="1" outlineLevel="2" x14ac:dyDescent="0.3">
      <c r="A57" t="s">
        <v>36</v>
      </c>
      <c r="B57" t="s">
        <v>79</v>
      </c>
      <c r="C57" t="s">
        <v>63</v>
      </c>
      <c r="D57" s="4">
        <v>42759</v>
      </c>
      <c r="E57" t="s">
        <v>39</v>
      </c>
      <c r="F57">
        <v>-700</v>
      </c>
      <c r="G57">
        <v>1</v>
      </c>
      <c r="H57">
        <v>0</v>
      </c>
      <c r="I57">
        <v>0</v>
      </c>
      <c r="J57">
        <v>16.525700000000001</v>
      </c>
      <c r="K57">
        <v>-11568</v>
      </c>
    </row>
    <row r="58" spans="1:11" hidden="1" outlineLevel="2" x14ac:dyDescent="0.3">
      <c r="A58" t="s">
        <v>36</v>
      </c>
      <c r="B58" t="s">
        <v>82</v>
      </c>
      <c r="C58" t="s">
        <v>63</v>
      </c>
      <c r="D58" s="4">
        <v>42759</v>
      </c>
      <c r="E58" t="s">
        <v>39</v>
      </c>
      <c r="F58">
        <v>-1982.73</v>
      </c>
      <c r="G58">
        <v>1</v>
      </c>
      <c r="H58">
        <v>0</v>
      </c>
      <c r="I58">
        <v>0</v>
      </c>
      <c r="J58">
        <v>16.456900000000001</v>
      </c>
      <c r="K58">
        <v>-32629.52</v>
      </c>
    </row>
    <row r="59" spans="1:11" hidden="1" outlineLevel="2" x14ac:dyDescent="0.3">
      <c r="A59" t="s">
        <v>36</v>
      </c>
      <c r="B59" t="s">
        <v>120</v>
      </c>
      <c r="C59" t="s">
        <v>63</v>
      </c>
      <c r="D59" s="4">
        <v>42759</v>
      </c>
      <c r="E59" t="s">
        <v>39</v>
      </c>
      <c r="F59">
        <v>-500</v>
      </c>
      <c r="G59">
        <v>1</v>
      </c>
      <c r="H59">
        <v>0</v>
      </c>
      <c r="I59">
        <v>0</v>
      </c>
      <c r="J59">
        <v>18</v>
      </c>
      <c r="K59">
        <v>-9000</v>
      </c>
    </row>
    <row r="60" spans="1:11" hidden="1" outlineLevel="2" x14ac:dyDescent="0.3">
      <c r="A60" t="s">
        <v>36</v>
      </c>
      <c r="B60" t="s">
        <v>136</v>
      </c>
      <c r="C60" t="s">
        <v>63</v>
      </c>
      <c r="D60" s="4">
        <v>42759</v>
      </c>
      <c r="E60" t="s">
        <v>56</v>
      </c>
      <c r="F60">
        <v>-8250</v>
      </c>
      <c r="G60">
        <v>1</v>
      </c>
      <c r="H60">
        <v>0</v>
      </c>
      <c r="I60">
        <v>0</v>
      </c>
      <c r="J60">
        <v>17.9788</v>
      </c>
      <c r="K60">
        <v>-148324.99</v>
      </c>
    </row>
    <row r="61" spans="1:11" hidden="1" outlineLevel="2" x14ac:dyDescent="0.3">
      <c r="A61" t="s">
        <v>36</v>
      </c>
      <c r="B61" t="s">
        <v>69</v>
      </c>
      <c r="C61" t="s">
        <v>63</v>
      </c>
      <c r="D61" s="4">
        <v>42760</v>
      </c>
      <c r="E61" t="s">
        <v>70</v>
      </c>
      <c r="F61">
        <v>-9771.23</v>
      </c>
      <c r="G61">
        <v>1</v>
      </c>
      <c r="H61">
        <v>0</v>
      </c>
      <c r="I61">
        <v>0</v>
      </c>
      <c r="J61">
        <v>16.108799999999999</v>
      </c>
      <c r="K61">
        <v>-157402.76</v>
      </c>
    </row>
    <row r="62" spans="1:11" hidden="1" outlineLevel="2" x14ac:dyDescent="0.3">
      <c r="A62" t="s">
        <v>36</v>
      </c>
      <c r="B62" t="s">
        <v>69</v>
      </c>
      <c r="C62" t="s">
        <v>63</v>
      </c>
      <c r="D62" s="4">
        <v>42760</v>
      </c>
      <c r="E62" t="s">
        <v>70</v>
      </c>
      <c r="F62">
        <v>-4347.5200000000004</v>
      </c>
      <c r="G62">
        <v>1</v>
      </c>
      <c r="H62">
        <v>0</v>
      </c>
      <c r="I62">
        <v>0</v>
      </c>
      <c r="J62">
        <v>16.108799999999999</v>
      </c>
      <c r="K62">
        <v>-70033.320000000007</v>
      </c>
    </row>
    <row r="63" spans="1:11" hidden="1" outlineLevel="2" x14ac:dyDescent="0.3">
      <c r="A63" t="s">
        <v>36</v>
      </c>
      <c r="B63" t="s">
        <v>69</v>
      </c>
      <c r="C63" t="s">
        <v>63</v>
      </c>
      <c r="D63" s="4">
        <v>42760</v>
      </c>
      <c r="E63" t="s">
        <v>70</v>
      </c>
      <c r="F63">
        <v>-3842.27</v>
      </c>
      <c r="G63">
        <v>1</v>
      </c>
      <c r="H63">
        <v>0</v>
      </c>
      <c r="I63">
        <v>0</v>
      </c>
      <c r="J63">
        <v>16.108799999999999</v>
      </c>
      <c r="K63">
        <v>-61894.35</v>
      </c>
    </row>
    <row r="64" spans="1:11" hidden="1" outlineLevel="2" x14ac:dyDescent="0.3">
      <c r="A64" t="s">
        <v>36</v>
      </c>
      <c r="B64" t="s">
        <v>79</v>
      </c>
      <c r="C64" t="s">
        <v>63</v>
      </c>
      <c r="D64" s="4">
        <v>42760</v>
      </c>
      <c r="E64" t="s">
        <v>39</v>
      </c>
      <c r="F64">
        <v>-1935.2</v>
      </c>
      <c r="G64">
        <v>1</v>
      </c>
      <c r="H64">
        <v>0</v>
      </c>
      <c r="I64">
        <v>0</v>
      </c>
      <c r="J64">
        <v>16.604800000000001</v>
      </c>
      <c r="K64">
        <v>-32133.58</v>
      </c>
    </row>
    <row r="65" spans="1:11" hidden="1" outlineLevel="2" x14ac:dyDescent="0.3">
      <c r="A65" t="s">
        <v>36</v>
      </c>
      <c r="B65" t="s">
        <v>79</v>
      </c>
      <c r="C65" t="s">
        <v>63</v>
      </c>
      <c r="D65" s="4">
        <v>42761</v>
      </c>
      <c r="E65" t="s">
        <v>55</v>
      </c>
      <c r="F65">
        <v>-1</v>
      </c>
      <c r="G65">
        <v>1</v>
      </c>
      <c r="H65">
        <v>0</v>
      </c>
      <c r="I65">
        <v>0</v>
      </c>
      <c r="J65">
        <v>16.61</v>
      </c>
      <c r="K65">
        <v>-16.61</v>
      </c>
    </row>
    <row r="66" spans="1:11" hidden="1" outlineLevel="2" x14ac:dyDescent="0.3">
      <c r="A66" t="s">
        <v>36</v>
      </c>
      <c r="B66" t="s">
        <v>79</v>
      </c>
      <c r="C66" t="s">
        <v>63</v>
      </c>
      <c r="D66" s="4">
        <v>42761</v>
      </c>
      <c r="E66" t="s">
        <v>56</v>
      </c>
      <c r="F66">
        <v>-15</v>
      </c>
      <c r="G66">
        <v>1</v>
      </c>
      <c r="H66">
        <v>0</v>
      </c>
      <c r="I66">
        <v>0</v>
      </c>
      <c r="J66">
        <v>16.604700000000001</v>
      </c>
      <c r="K66">
        <v>-249.07</v>
      </c>
    </row>
    <row r="67" spans="1:11" hidden="1" outlineLevel="2" x14ac:dyDescent="0.3">
      <c r="A67" t="s">
        <v>36</v>
      </c>
      <c r="B67" t="s">
        <v>122</v>
      </c>
      <c r="C67" t="s">
        <v>63</v>
      </c>
      <c r="D67" s="4">
        <v>42761</v>
      </c>
      <c r="E67" t="s">
        <v>39</v>
      </c>
      <c r="F67">
        <v>-3000</v>
      </c>
      <c r="G67">
        <v>1</v>
      </c>
      <c r="H67">
        <v>0</v>
      </c>
      <c r="I67">
        <v>0</v>
      </c>
      <c r="J67">
        <v>19.374199999999998</v>
      </c>
      <c r="K67">
        <v>-58122.5</v>
      </c>
    </row>
    <row r="68" spans="1:11" hidden="1" outlineLevel="2" x14ac:dyDescent="0.3">
      <c r="A68" t="s">
        <v>36</v>
      </c>
      <c r="B68" t="s">
        <v>79</v>
      </c>
      <c r="C68" t="s">
        <v>63</v>
      </c>
      <c r="D68" s="4">
        <v>42766</v>
      </c>
      <c r="E68" t="s">
        <v>39</v>
      </c>
      <c r="F68">
        <v>-1000</v>
      </c>
      <c r="G68">
        <v>1</v>
      </c>
      <c r="H68">
        <v>0</v>
      </c>
      <c r="I68">
        <v>0</v>
      </c>
      <c r="J68">
        <v>16.6126</v>
      </c>
      <c r="K68">
        <v>-16612.62</v>
      </c>
    </row>
    <row r="69" spans="1:11" hidden="1" outlineLevel="2" x14ac:dyDescent="0.3">
      <c r="A69" t="s">
        <v>36</v>
      </c>
      <c r="B69" t="s">
        <v>82</v>
      </c>
      <c r="C69" t="s">
        <v>63</v>
      </c>
      <c r="D69" s="4">
        <v>42766</v>
      </c>
      <c r="E69" t="s">
        <v>74</v>
      </c>
      <c r="F69">
        <v>-167.47</v>
      </c>
      <c r="G69">
        <v>1</v>
      </c>
      <c r="H69">
        <v>0</v>
      </c>
      <c r="I69">
        <v>0</v>
      </c>
      <c r="J69">
        <v>16.083400000000001</v>
      </c>
      <c r="K69">
        <v>-2693.48</v>
      </c>
    </row>
    <row r="70" spans="1:11" hidden="1" outlineLevel="2" x14ac:dyDescent="0.3">
      <c r="A70" t="s">
        <v>36</v>
      </c>
      <c r="B70" t="s">
        <v>119</v>
      </c>
      <c r="C70" t="s">
        <v>63</v>
      </c>
      <c r="D70" s="4">
        <v>42766</v>
      </c>
      <c r="E70" t="s">
        <v>39</v>
      </c>
      <c r="F70">
        <v>-389</v>
      </c>
      <c r="G70">
        <v>1</v>
      </c>
      <c r="H70">
        <v>0</v>
      </c>
      <c r="I70">
        <v>0</v>
      </c>
      <c r="J70">
        <v>18.830400000000001</v>
      </c>
      <c r="K70">
        <v>-7325.03</v>
      </c>
    </row>
    <row r="71" spans="1:11" outlineLevel="1" collapsed="1" x14ac:dyDescent="0.3">
      <c r="C71" s="2" t="s">
        <v>168</v>
      </c>
      <c r="I71">
        <f>SUBTOTAL(9,I2:I70)</f>
        <v>0</v>
      </c>
      <c r="K71" s="2">
        <f>SUM(K2:K70)</f>
        <v>-8275006.7600000016</v>
      </c>
    </row>
    <row r="72" spans="1:11" hidden="1" outlineLevel="2" x14ac:dyDescent="0.3">
      <c r="A72" t="s">
        <v>36</v>
      </c>
      <c r="B72" t="s">
        <v>79</v>
      </c>
      <c r="C72" t="s">
        <v>40</v>
      </c>
      <c r="D72" s="4">
        <v>42738</v>
      </c>
      <c r="E72" t="s">
        <v>39</v>
      </c>
      <c r="F72">
        <v>100</v>
      </c>
      <c r="G72">
        <v>1</v>
      </c>
      <c r="H72">
        <v>0</v>
      </c>
      <c r="I72">
        <v>0</v>
      </c>
      <c r="J72">
        <v>17.4314</v>
      </c>
      <c r="K72" s="2">
        <v>1743.14</v>
      </c>
    </row>
    <row r="73" spans="1:11" hidden="1" outlineLevel="2" x14ac:dyDescent="0.3">
      <c r="A73" t="s">
        <v>36</v>
      </c>
      <c r="B73" t="s">
        <v>119</v>
      </c>
      <c r="C73" t="s">
        <v>40</v>
      </c>
      <c r="D73" s="4">
        <v>42739</v>
      </c>
      <c r="E73" t="s">
        <v>39</v>
      </c>
      <c r="F73">
        <v>1500</v>
      </c>
      <c r="G73">
        <v>1</v>
      </c>
      <c r="H73">
        <v>0</v>
      </c>
      <c r="I73">
        <v>0</v>
      </c>
      <c r="J73">
        <v>18.8429</v>
      </c>
      <c r="K73" s="2">
        <v>28264.29</v>
      </c>
    </row>
    <row r="74" spans="1:11" hidden="1" outlineLevel="2" x14ac:dyDescent="0.3">
      <c r="A74" t="s">
        <v>36</v>
      </c>
      <c r="B74" t="s">
        <v>136</v>
      </c>
      <c r="C74" t="s">
        <v>40</v>
      </c>
      <c r="D74" s="4">
        <v>42739</v>
      </c>
      <c r="E74" t="s">
        <v>39</v>
      </c>
      <c r="F74">
        <v>1250</v>
      </c>
      <c r="G74">
        <v>1</v>
      </c>
      <c r="H74">
        <v>0</v>
      </c>
      <c r="I74">
        <v>0</v>
      </c>
      <c r="J74">
        <v>19.229500000000002</v>
      </c>
      <c r="K74" s="2">
        <v>24036.82</v>
      </c>
    </row>
    <row r="75" spans="1:11" hidden="1" outlineLevel="2" x14ac:dyDescent="0.3">
      <c r="A75" t="s">
        <v>36</v>
      </c>
      <c r="B75" t="s">
        <v>79</v>
      </c>
      <c r="C75" t="s">
        <v>40</v>
      </c>
      <c r="D75" s="4">
        <v>42740</v>
      </c>
      <c r="E75" t="s">
        <v>39</v>
      </c>
      <c r="F75">
        <v>1700</v>
      </c>
      <c r="G75">
        <v>1</v>
      </c>
      <c r="H75">
        <v>0</v>
      </c>
      <c r="I75">
        <v>0</v>
      </c>
      <c r="J75">
        <v>17.425000000000001</v>
      </c>
      <c r="K75" s="2">
        <v>29622.57</v>
      </c>
    </row>
    <row r="76" spans="1:11" hidden="1" outlineLevel="2" x14ac:dyDescent="0.3">
      <c r="A76" t="s">
        <v>36</v>
      </c>
      <c r="B76" t="s">
        <v>122</v>
      </c>
      <c r="C76" t="s">
        <v>40</v>
      </c>
      <c r="D76" s="4">
        <v>42740</v>
      </c>
      <c r="E76" t="s">
        <v>39</v>
      </c>
      <c r="F76">
        <v>500</v>
      </c>
      <c r="G76">
        <v>1</v>
      </c>
      <c r="H76">
        <v>0</v>
      </c>
      <c r="I76">
        <v>0</v>
      </c>
      <c r="J76">
        <v>17.420000000000002</v>
      </c>
      <c r="K76" s="2">
        <v>8710</v>
      </c>
    </row>
    <row r="77" spans="1:11" hidden="1" outlineLevel="2" x14ac:dyDescent="0.3">
      <c r="A77" t="s">
        <v>36</v>
      </c>
      <c r="B77" t="s">
        <v>138</v>
      </c>
      <c r="C77" t="s">
        <v>40</v>
      </c>
      <c r="D77" s="4">
        <v>42740</v>
      </c>
      <c r="E77" t="s">
        <v>39</v>
      </c>
      <c r="F77">
        <v>2500</v>
      </c>
      <c r="G77">
        <v>1</v>
      </c>
      <c r="H77">
        <v>0</v>
      </c>
      <c r="I77">
        <v>0</v>
      </c>
      <c r="J77">
        <v>17.8353</v>
      </c>
      <c r="K77" s="2">
        <v>44588.24</v>
      </c>
    </row>
    <row r="78" spans="1:11" hidden="1" outlineLevel="2" x14ac:dyDescent="0.3">
      <c r="A78" t="s">
        <v>36</v>
      </c>
      <c r="B78" t="s">
        <v>87</v>
      </c>
      <c r="C78" t="s">
        <v>40</v>
      </c>
      <c r="D78" s="4">
        <v>42741</v>
      </c>
      <c r="E78" t="s">
        <v>68</v>
      </c>
      <c r="F78">
        <v>150467.269</v>
      </c>
      <c r="G78">
        <v>1</v>
      </c>
      <c r="H78">
        <v>0</v>
      </c>
      <c r="I78">
        <v>0</v>
      </c>
      <c r="J78">
        <v>17.369</v>
      </c>
      <c r="K78" s="2">
        <v>2613470.2599999998</v>
      </c>
    </row>
    <row r="79" spans="1:11" hidden="1" outlineLevel="2" x14ac:dyDescent="0.3">
      <c r="A79" t="s">
        <v>36</v>
      </c>
      <c r="B79" t="s">
        <v>79</v>
      </c>
      <c r="C79" t="s">
        <v>40</v>
      </c>
      <c r="D79" s="4">
        <v>42744</v>
      </c>
      <c r="E79" t="s">
        <v>81</v>
      </c>
      <c r="F79">
        <v>1</v>
      </c>
      <c r="G79">
        <v>1</v>
      </c>
      <c r="H79">
        <v>0</v>
      </c>
      <c r="I79">
        <v>0</v>
      </c>
      <c r="J79">
        <v>201.75</v>
      </c>
      <c r="K79" s="2">
        <v>201.75</v>
      </c>
    </row>
    <row r="80" spans="1:11" hidden="1" outlineLevel="2" x14ac:dyDescent="0.3">
      <c r="A80" t="s">
        <v>36</v>
      </c>
      <c r="B80" t="s">
        <v>122</v>
      </c>
      <c r="C80" t="s">
        <v>40</v>
      </c>
      <c r="D80" s="4">
        <v>42744</v>
      </c>
      <c r="E80" t="s">
        <v>46</v>
      </c>
      <c r="F80">
        <v>2000</v>
      </c>
      <c r="G80">
        <v>1</v>
      </c>
      <c r="H80">
        <v>0</v>
      </c>
      <c r="I80">
        <v>0</v>
      </c>
      <c r="J80">
        <v>18.260000000000002</v>
      </c>
      <c r="K80" s="2">
        <v>36520</v>
      </c>
    </row>
    <row r="81" spans="1:11" hidden="1" outlineLevel="2" x14ac:dyDescent="0.3">
      <c r="A81" t="s">
        <v>36</v>
      </c>
      <c r="B81" t="s">
        <v>126</v>
      </c>
      <c r="C81" t="s">
        <v>40</v>
      </c>
      <c r="D81" s="4">
        <v>42744</v>
      </c>
      <c r="E81" t="s">
        <v>46</v>
      </c>
      <c r="F81">
        <v>1000</v>
      </c>
      <c r="G81">
        <v>1</v>
      </c>
      <c r="H81">
        <v>0</v>
      </c>
      <c r="I81">
        <v>0</v>
      </c>
      <c r="J81">
        <v>17.420000000000002</v>
      </c>
      <c r="K81" s="2">
        <v>17420</v>
      </c>
    </row>
    <row r="82" spans="1:11" hidden="1" outlineLevel="2" x14ac:dyDescent="0.3">
      <c r="A82" t="s">
        <v>36</v>
      </c>
      <c r="B82" t="s">
        <v>154</v>
      </c>
      <c r="C82" t="s">
        <v>40</v>
      </c>
      <c r="D82" s="4">
        <v>42744</v>
      </c>
      <c r="E82" t="s">
        <v>39</v>
      </c>
      <c r="F82">
        <v>300</v>
      </c>
      <c r="G82">
        <v>0.96450000000000002</v>
      </c>
      <c r="H82">
        <v>0</v>
      </c>
      <c r="I82">
        <v>0</v>
      </c>
      <c r="J82">
        <v>22.867999999999999</v>
      </c>
      <c r="K82" s="2">
        <v>6860.4</v>
      </c>
    </row>
    <row r="83" spans="1:11" hidden="1" outlineLevel="2" x14ac:dyDescent="0.3">
      <c r="A83" t="s">
        <v>36</v>
      </c>
      <c r="B83" t="s">
        <v>159</v>
      </c>
      <c r="C83" t="s">
        <v>40</v>
      </c>
      <c r="D83" s="4">
        <v>42744</v>
      </c>
      <c r="E83" t="s">
        <v>39</v>
      </c>
      <c r="F83">
        <v>1000</v>
      </c>
      <c r="G83">
        <v>1</v>
      </c>
      <c r="H83">
        <v>0</v>
      </c>
      <c r="I83">
        <v>0</v>
      </c>
      <c r="J83">
        <v>18.010000000000002</v>
      </c>
      <c r="K83" s="2">
        <v>18010</v>
      </c>
    </row>
    <row r="84" spans="1:11" hidden="1" outlineLevel="2" x14ac:dyDescent="0.3">
      <c r="A84" t="s">
        <v>36</v>
      </c>
      <c r="B84" t="s">
        <v>79</v>
      </c>
      <c r="C84" t="s">
        <v>40</v>
      </c>
      <c r="D84" s="4">
        <v>42745</v>
      </c>
      <c r="E84" t="s">
        <v>39</v>
      </c>
      <c r="F84">
        <v>1600</v>
      </c>
      <c r="G84">
        <v>1</v>
      </c>
      <c r="H84">
        <v>0</v>
      </c>
      <c r="I84">
        <v>0</v>
      </c>
      <c r="J84">
        <v>17.425000000000001</v>
      </c>
      <c r="K84" s="2">
        <v>27880.06</v>
      </c>
    </row>
    <row r="85" spans="1:11" hidden="1" outlineLevel="2" x14ac:dyDescent="0.3">
      <c r="A85" t="s">
        <v>36</v>
      </c>
      <c r="B85" t="s">
        <v>116</v>
      </c>
      <c r="C85" t="s">
        <v>40</v>
      </c>
      <c r="D85" s="4">
        <v>42745</v>
      </c>
      <c r="E85" t="s">
        <v>39</v>
      </c>
      <c r="F85">
        <v>26</v>
      </c>
      <c r="G85">
        <v>0.77400000000000002</v>
      </c>
      <c r="H85">
        <v>0</v>
      </c>
      <c r="I85">
        <v>0</v>
      </c>
      <c r="J85">
        <v>17.91</v>
      </c>
      <c r="K85" s="2">
        <v>465.66</v>
      </c>
    </row>
    <row r="86" spans="1:11" hidden="1" outlineLevel="2" x14ac:dyDescent="0.3">
      <c r="A86" t="s">
        <v>36</v>
      </c>
      <c r="B86" t="s">
        <v>116</v>
      </c>
      <c r="C86" t="s">
        <v>40</v>
      </c>
      <c r="D86" s="4">
        <v>42745</v>
      </c>
      <c r="E86" t="s">
        <v>39</v>
      </c>
      <c r="F86">
        <v>16</v>
      </c>
      <c r="G86">
        <v>0.77400000000000002</v>
      </c>
      <c r="H86">
        <v>0</v>
      </c>
      <c r="I86">
        <v>0</v>
      </c>
      <c r="J86">
        <v>17.91</v>
      </c>
      <c r="K86" s="2">
        <v>286.56</v>
      </c>
    </row>
    <row r="87" spans="1:11" hidden="1" outlineLevel="2" x14ac:dyDescent="0.3">
      <c r="A87" t="s">
        <v>36</v>
      </c>
      <c r="B87" t="s">
        <v>116</v>
      </c>
      <c r="C87" t="s">
        <v>40</v>
      </c>
      <c r="D87" s="4">
        <v>42745</v>
      </c>
      <c r="E87" t="s">
        <v>39</v>
      </c>
      <c r="F87">
        <v>57</v>
      </c>
      <c r="G87">
        <v>0.77400000000000002</v>
      </c>
      <c r="H87">
        <v>0</v>
      </c>
      <c r="I87">
        <v>0</v>
      </c>
      <c r="J87">
        <v>17.91</v>
      </c>
      <c r="K87" s="2">
        <v>1020.87</v>
      </c>
    </row>
    <row r="88" spans="1:11" hidden="1" outlineLevel="2" x14ac:dyDescent="0.3">
      <c r="A88" t="s">
        <v>36</v>
      </c>
      <c r="B88" t="s">
        <v>128</v>
      </c>
      <c r="C88" t="s">
        <v>40</v>
      </c>
      <c r="D88" s="4">
        <v>42745</v>
      </c>
      <c r="E88" t="s">
        <v>39</v>
      </c>
      <c r="F88">
        <v>150</v>
      </c>
      <c r="G88">
        <v>100</v>
      </c>
      <c r="H88">
        <v>0</v>
      </c>
      <c r="I88">
        <v>0</v>
      </c>
      <c r="J88">
        <v>1742.5041000000001</v>
      </c>
      <c r="K88" s="2">
        <v>261375.61</v>
      </c>
    </row>
    <row r="89" spans="1:11" hidden="1" outlineLevel="2" x14ac:dyDescent="0.3">
      <c r="A89" t="s">
        <v>36</v>
      </c>
      <c r="B89" t="s">
        <v>139</v>
      </c>
      <c r="C89" t="s">
        <v>40</v>
      </c>
      <c r="D89" s="4">
        <v>42745</v>
      </c>
      <c r="E89" t="s">
        <v>39</v>
      </c>
      <c r="F89">
        <v>11970</v>
      </c>
      <c r="G89">
        <v>1</v>
      </c>
      <c r="H89">
        <v>0</v>
      </c>
      <c r="I89">
        <v>0</v>
      </c>
      <c r="J89">
        <v>18.5016</v>
      </c>
      <c r="K89" s="2">
        <v>221463.56</v>
      </c>
    </row>
    <row r="90" spans="1:11" hidden="1" outlineLevel="2" x14ac:dyDescent="0.3">
      <c r="A90" t="s">
        <v>36</v>
      </c>
      <c r="B90" t="s">
        <v>153</v>
      </c>
      <c r="C90" t="s">
        <v>40</v>
      </c>
      <c r="D90" s="4">
        <v>42745</v>
      </c>
      <c r="E90" t="s">
        <v>39</v>
      </c>
      <c r="F90">
        <v>15823</v>
      </c>
      <c r="G90">
        <v>1</v>
      </c>
      <c r="H90">
        <v>0</v>
      </c>
      <c r="I90">
        <v>0</v>
      </c>
      <c r="J90">
        <v>17.573699999999999</v>
      </c>
      <c r="K90" s="2">
        <v>278068.59000000003</v>
      </c>
    </row>
    <row r="91" spans="1:11" hidden="1" outlineLevel="2" x14ac:dyDescent="0.3">
      <c r="A91" t="s">
        <v>36</v>
      </c>
      <c r="B91" t="s">
        <v>119</v>
      </c>
      <c r="C91" t="s">
        <v>40</v>
      </c>
      <c r="D91" s="4">
        <v>42746</v>
      </c>
      <c r="E91" t="s">
        <v>39</v>
      </c>
      <c r="F91">
        <v>1000</v>
      </c>
      <c r="G91">
        <v>1</v>
      </c>
      <c r="H91">
        <v>0</v>
      </c>
      <c r="I91">
        <v>0</v>
      </c>
      <c r="J91">
        <v>18.8429</v>
      </c>
      <c r="K91" s="2">
        <v>18842.86</v>
      </c>
    </row>
    <row r="92" spans="1:11" hidden="1" outlineLevel="2" x14ac:dyDescent="0.3">
      <c r="A92" t="s">
        <v>36</v>
      </c>
      <c r="B92" t="s">
        <v>132</v>
      </c>
      <c r="C92" t="s">
        <v>40</v>
      </c>
      <c r="D92" s="4">
        <v>42746</v>
      </c>
      <c r="E92" t="s">
        <v>56</v>
      </c>
      <c r="F92">
        <v>60</v>
      </c>
      <c r="G92">
        <v>1</v>
      </c>
      <c r="H92">
        <v>0</v>
      </c>
      <c r="I92">
        <v>0</v>
      </c>
      <c r="J92">
        <v>18.284800000000001</v>
      </c>
      <c r="K92" s="2">
        <v>1097.0899999999999</v>
      </c>
    </row>
    <row r="93" spans="1:11" hidden="1" outlineLevel="2" x14ac:dyDescent="0.3">
      <c r="A93" t="s">
        <v>36</v>
      </c>
      <c r="B93" t="s">
        <v>64</v>
      </c>
      <c r="C93" t="s">
        <v>40</v>
      </c>
      <c r="D93" s="4">
        <v>42747</v>
      </c>
      <c r="E93" t="s">
        <v>39</v>
      </c>
      <c r="F93">
        <v>5</v>
      </c>
      <c r="G93">
        <v>100</v>
      </c>
      <c r="H93">
        <v>0</v>
      </c>
      <c r="I93">
        <v>0</v>
      </c>
      <c r="J93">
        <v>1641.6</v>
      </c>
      <c r="K93" s="2">
        <v>8208</v>
      </c>
    </row>
    <row r="94" spans="1:11" hidden="1" outlineLevel="2" x14ac:dyDescent="0.3">
      <c r="A94" t="s">
        <v>36</v>
      </c>
      <c r="B94" t="s">
        <v>64</v>
      </c>
      <c r="C94" t="s">
        <v>40</v>
      </c>
      <c r="D94" s="4">
        <v>42747</v>
      </c>
      <c r="E94" t="s">
        <v>39</v>
      </c>
      <c r="F94">
        <v>5</v>
      </c>
      <c r="G94">
        <v>100</v>
      </c>
      <c r="H94">
        <v>0</v>
      </c>
      <c r="I94">
        <v>0</v>
      </c>
      <c r="J94">
        <v>1641.6</v>
      </c>
      <c r="K94" s="2">
        <v>8208</v>
      </c>
    </row>
    <row r="95" spans="1:11" hidden="1" outlineLevel="2" x14ac:dyDescent="0.3">
      <c r="A95" t="s">
        <v>36</v>
      </c>
      <c r="B95" t="s">
        <v>37</v>
      </c>
      <c r="C95" t="s">
        <v>40</v>
      </c>
      <c r="D95" s="4">
        <v>42748</v>
      </c>
      <c r="E95" t="s">
        <v>39</v>
      </c>
      <c r="F95">
        <v>40</v>
      </c>
      <c r="G95">
        <v>1</v>
      </c>
      <c r="H95">
        <v>0</v>
      </c>
      <c r="I95">
        <v>0</v>
      </c>
      <c r="J95">
        <v>16.414999999999999</v>
      </c>
      <c r="K95" s="2">
        <v>656.6</v>
      </c>
    </row>
    <row r="96" spans="1:11" hidden="1" outlineLevel="2" x14ac:dyDescent="0.3">
      <c r="A96" t="s">
        <v>36</v>
      </c>
      <c r="B96" t="s">
        <v>57</v>
      </c>
      <c r="C96" t="s">
        <v>40</v>
      </c>
      <c r="D96" s="4">
        <v>42751</v>
      </c>
      <c r="E96" t="s">
        <v>51</v>
      </c>
      <c r="F96">
        <v>30000</v>
      </c>
      <c r="G96">
        <v>1</v>
      </c>
      <c r="H96">
        <v>0</v>
      </c>
      <c r="I96">
        <v>0</v>
      </c>
      <c r="J96">
        <v>16.480599999999999</v>
      </c>
      <c r="K96" s="2">
        <v>494418</v>
      </c>
    </row>
    <row r="97" spans="1:11" hidden="1" outlineLevel="2" x14ac:dyDescent="0.3">
      <c r="A97" t="s">
        <v>36</v>
      </c>
      <c r="B97" t="s">
        <v>132</v>
      </c>
      <c r="C97" t="s">
        <v>40</v>
      </c>
      <c r="D97" s="4">
        <v>42751</v>
      </c>
      <c r="E97" t="s">
        <v>39</v>
      </c>
      <c r="F97">
        <v>60</v>
      </c>
      <c r="G97">
        <v>1</v>
      </c>
      <c r="H97">
        <v>0</v>
      </c>
      <c r="I97">
        <v>0</v>
      </c>
      <c r="J97">
        <v>18.284800000000001</v>
      </c>
      <c r="K97" s="2">
        <v>1097.0899999999999</v>
      </c>
    </row>
    <row r="98" spans="1:11" hidden="1" outlineLevel="2" x14ac:dyDescent="0.3">
      <c r="A98" t="s">
        <v>36</v>
      </c>
      <c r="B98" t="s">
        <v>157</v>
      </c>
      <c r="C98" t="s">
        <v>40</v>
      </c>
      <c r="D98" s="4">
        <v>42751</v>
      </c>
      <c r="E98" t="s">
        <v>39</v>
      </c>
      <c r="F98">
        <v>600</v>
      </c>
      <c r="G98">
        <v>0.96450000000000002</v>
      </c>
      <c r="H98">
        <v>0</v>
      </c>
      <c r="I98">
        <v>0</v>
      </c>
      <c r="J98">
        <v>21.89</v>
      </c>
      <c r="K98" s="2">
        <v>13133.98</v>
      </c>
    </row>
    <row r="99" spans="1:11" hidden="1" outlineLevel="2" x14ac:dyDescent="0.3">
      <c r="A99" t="s">
        <v>36</v>
      </c>
      <c r="B99" t="s">
        <v>59</v>
      </c>
      <c r="C99" t="s">
        <v>40</v>
      </c>
      <c r="D99" s="4">
        <v>42752</v>
      </c>
      <c r="E99" t="s">
        <v>39</v>
      </c>
      <c r="F99">
        <v>50</v>
      </c>
      <c r="G99">
        <v>10</v>
      </c>
      <c r="H99">
        <v>0</v>
      </c>
      <c r="I99">
        <v>0</v>
      </c>
      <c r="J99">
        <v>168.666</v>
      </c>
      <c r="K99" s="2">
        <v>8433.2999999999993</v>
      </c>
    </row>
    <row r="100" spans="1:11" hidden="1" outlineLevel="2" x14ac:dyDescent="0.3">
      <c r="A100" t="s">
        <v>36</v>
      </c>
      <c r="B100" t="s">
        <v>128</v>
      </c>
      <c r="C100" t="s">
        <v>40</v>
      </c>
      <c r="D100" s="4">
        <v>42752</v>
      </c>
      <c r="E100" t="s">
        <v>39</v>
      </c>
      <c r="F100">
        <v>307</v>
      </c>
      <c r="G100">
        <v>100</v>
      </c>
      <c r="H100">
        <v>0</v>
      </c>
      <c r="I100">
        <v>0</v>
      </c>
      <c r="J100">
        <v>1740.7492</v>
      </c>
      <c r="K100" s="2">
        <v>534410.01</v>
      </c>
    </row>
    <row r="101" spans="1:11" hidden="1" outlineLevel="2" x14ac:dyDescent="0.3">
      <c r="A101" t="s">
        <v>36</v>
      </c>
      <c r="B101" t="s">
        <v>64</v>
      </c>
      <c r="C101" t="s">
        <v>40</v>
      </c>
      <c r="D101" s="4">
        <v>42753</v>
      </c>
      <c r="E101" t="s">
        <v>39</v>
      </c>
      <c r="F101">
        <v>14</v>
      </c>
      <c r="G101">
        <v>100</v>
      </c>
      <c r="H101">
        <v>0</v>
      </c>
      <c r="I101">
        <v>0</v>
      </c>
      <c r="J101">
        <v>1640.2207000000001</v>
      </c>
      <c r="K101" s="2">
        <v>22963.09</v>
      </c>
    </row>
    <row r="102" spans="1:11" hidden="1" outlineLevel="2" x14ac:dyDescent="0.3">
      <c r="A102" t="s">
        <v>36</v>
      </c>
      <c r="B102" t="s">
        <v>65</v>
      </c>
      <c r="C102" t="s">
        <v>40</v>
      </c>
      <c r="D102" s="4">
        <v>42753</v>
      </c>
      <c r="E102" t="s">
        <v>39</v>
      </c>
      <c r="F102">
        <v>11</v>
      </c>
      <c r="G102">
        <v>100</v>
      </c>
      <c r="H102">
        <v>0</v>
      </c>
      <c r="I102">
        <v>0</v>
      </c>
      <c r="J102">
        <v>1640.2209</v>
      </c>
      <c r="K102" s="2">
        <v>18042.43</v>
      </c>
    </row>
    <row r="103" spans="1:11" hidden="1" outlineLevel="2" x14ac:dyDescent="0.3">
      <c r="A103" t="s">
        <v>36</v>
      </c>
      <c r="B103" t="s">
        <v>66</v>
      </c>
      <c r="C103" t="s">
        <v>40</v>
      </c>
      <c r="D103" s="4">
        <v>42753</v>
      </c>
      <c r="E103" t="s">
        <v>39</v>
      </c>
      <c r="F103">
        <v>12</v>
      </c>
      <c r="G103">
        <v>100</v>
      </c>
      <c r="H103">
        <v>0</v>
      </c>
      <c r="I103">
        <v>0</v>
      </c>
      <c r="J103">
        <v>1640.2208000000001</v>
      </c>
      <c r="K103" s="2">
        <v>19682.650000000001</v>
      </c>
    </row>
    <row r="104" spans="1:11" hidden="1" outlineLevel="2" x14ac:dyDescent="0.3">
      <c r="A104" t="s">
        <v>36</v>
      </c>
      <c r="B104" t="s">
        <v>130</v>
      </c>
      <c r="C104" t="s">
        <v>40</v>
      </c>
      <c r="D104" s="4">
        <v>42753</v>
      </c>
      <c r="E104" t="s">
        <v>39</v>
      </c>
      <c r="F104">
        <v>10</v>
      </c>
      <c r="G104">
        <v>0.5</v>
      </c>
      <c r="H104">
        <v>0</v>
      </c>
      <c r="I104">
        <v>0</v>
      </c>
      <c r="J104">
        <v>10.468999999999999</v>
      </c>
      <c r="K104" s="2">
        <v>104.69</v>
      </c>
    </row>
    <row r="105" spans="1:11" hidden="1" outlineLevel="2" x14ac:dyDescent="0.3">
      <c r="A105" t="s">
        <v>36</v>
      </c>
      <c r="B105" t="s">
        <v>134</v>
      </c>
      <c r="C105" t="s">
        <v>40</v>
      </c>
      <c r="D105" s="4">
        <v>42753</v>
      </c>
      <c r="E105" t="s">
        <v>56</v>
      </c>
      <c r="F105">
        <v>500</v>
      </c>
      <c r="G105">
        <v>1</v>
      </c>
      <c r="H105">
        <v>0</v>
      </c>
      <c r="I105">
        <v>0</v>
      </c>
      <c r="J105">
        <v>19.0779</v>
      </c>
      <c r="K105" s="2">
        <v>9538.9500000000007</v>
      </c>
    </row>
    <row r="106" spans="1:11" hidden="1" outlineLevel="2" x14ac:dyDescent="0.3">
      <c r="A106" t="s">
        <v>36</v>
      </c>
      <c r="B106" t="s">
        <v>136</v>
      </c>
      <c r="C106" t="s">
        <v>40</v>
      </c>
      <c r="D106" s="4">
        <v>42753</v>
      </c>
      <c r="E106" t="s">
        <v>56</v>
      </c>
      <c r="F106">
        <v>4409</v>
      </c>
      <c r="G106">
        <v>1</v>
      </c>
      <c r="H106">
        <v>0</v>
      </c>
      <c r="I106">
        <v>0</v>
      </c>
      <c r="J106">
        <v>19.0779</v>
      </c>
      <c r="K106" s="2">
        <v>84114.57</v>
      </c>
    </row>
    <row r="107" spans="1:11" hidden="1" outlineLevel="2" x14ac:dyDescent="0.3">
      <c r="A107" t="s">
        <v>36</v>
      </c>
      <c r="B107" t="s">
        <v>136</v>
      </c>
      <c r="C107" t="s">
        <v>40</v>
      </c>
      <c r="D107" s="4">
        <v>42753</v>
      </c>
      <c r="E107" t="s">
        <v>56</v>
      </c>
      <c r="F107">
        <v>500</v>
      </c>
      <c r="G107">
        <v>1</v>
      </c>
      <c r="H107">
        <v>0</v>
      </c>
      <c r="I107">
        <v>0</v>
      </c>
      <c r="J107">
        <v>19.0779</v>
      </c>
      <c r="K107" s="2">
        <v>9538.9599999999991</v>
      </c>
    </row>
    <row r="108" spans="1:11" hidden="1" outlineLevel="2" x14ac:dyDescent="0.3">
      <c r="A108" t="s">
        <v>36</v>
      </c>
      <c r="B108" t="s">
        <v>138</v>
      </c>
      <c r="C108" t="s">
        <v>40</v>
      </c>
      <c r="D108" s="4">
        <v>42753</v>
      </c>
      <c r="E108" t="s">
        <v>56</v>
      </c>
      <c r="F108">
        <v>4409</v>
      </c>
      <c r="G108">
        <v>1</v>
      </c>
      <c r="H108">
        <v>0</v>
      </c>
      <c r="I108">
        <v>0</v>
      </c>
      <c r="J108">
        <v>19.0779</v>
      </c>
      <c r="K108" s="2">
        <v>84114.57</v>
      </c>
    </row>
    <row r="109" spans="1:11" hidden="1" outlineLevel="2" x14ac:dyDescent="0.3">
      <c r="A109" t="s">
        <v>36</v>
      </c>
      <c r="B109" t="s">
        <v>147</v>
      </c>
      <c r="C109" t="s">
        <v>40</v>
      </c>
      <c r="D109" s="4">
        <v>42753</v>
      </c>
      <c r="E109" t="s">
        <v>56</v>
      </c>
      <c r="F109">
        <v>3430</v>
      </c>
      <c r="G109">
        <v>1</v>
      </c>
      <c r="H109">
        <v>0</v>
      </c>
      <c r="I109">
        <v>0</v>
      </c>
      <c r="J109">
        <v>16.5611</v>
      </c>
      <c r="K109" s="2">
        <v>56804.47</v>
      </c>
    </row>
    <row r="110" spans="1:11" hidden="1" outlineLevel="2" x14ac:dyDescent="0.3">
      <c r="A110" t="s">
        <v>36</v>
      </c>
      <c r="B110" t="s">
        <v>148</v>
      </c>
      <c r="C110" t="s">
        <v>40</v>
      </c>
      <c r="D110" s="4">
        <v>42753</v>
      </c>
      <c r="E110" t="s">
        <v>56</v>
      </c>
      <c r="F110">
        <v>6589</v>
      </c>
      <c r="G110">
        <v>1</v>
      </c>
      <c r="H110">
        <v>0</v>
      </c>
      <c r="I110">
        <v>0</v>
      </c>
      <c r="J110">
        <v>16.156600000000001</v>
      </c>
      <c r="K110" s="2">
        <v>106456.09</v>
      </c>
    </row>
    <row r="111" spans="1:11" hidden="1" outlineLevel="2" x14ac:dyDescent="0.3">
      <c r="A111" t="s">
        <v>36</v>
      </c>
      <c r="B111" t="s">
        <v>149</v>
      </c>
      <c r="C111" t="s">
        <v>40</v>
      </c>
      <c r="D111" s="4">
        <v>42753</v>
      </c>
      <c r="E111" t="s">
        <v>56</v>
      </c>
      <c r="F111">
        <v>2500</v>
      </c>
      <c r="G111">
        <v>1</v>
      </c>
      <c r="H111">
        <v>0</v>
      </c>
      <c r="I111">
        <v>0</v>
      </c>
      <c r="J111">
        <v>16.156600000000001</v>
      </c>
      <c r="K111" s="2">
        <v>40391.589999999997</v>
      </c>
    </row>
    <row r="112" spans="1:11" hidden="1" outlineLevel="2" x14ac:dyDescent="0.3">
      <c r="A112" t="s">
        <v>36</v>
      </c>
      <c r="B112" t="s">
        <v>153</v>
      </c>
      <c r="C112" t="s">
        <v>40</v>
      </c>
      <c r="D112" s="4">
        <v>42753</v>
      </c>
      <c r="E112" t="s">
        <v>41</v>
      </c>
      <c r="F112">
        <v>8500</v>
      </c>
      <c r="G112">
        <v>1</v>
      </c>
      <c r="H112">
        <v>0</v>
      </c>
      <c r="I112">
        <v>0</v>
      </c>
      <c r="J112">
        <v>17.5746</v>
      </c>
      <c r="K112" s="2">
        <v>149384.1</v>
      </c>
    </row>
    <row r="113" spans="1:11" hidden="1" outlineLevel="2" x14ac:dyDescent="0.3">
      <c r="A113" t="s">
        <v>36</v>
      </c>
      <c r="B113" t="s">
        <v>166</v>
      </c>
      <c r="C113" t="s">
        <v>40</v>
      </c>
      <c r="D113" s="4">
        <v>42753</v>
      </c>
      <c r="E113" t="s">
        <v>39</v>
      </c>
      <c r="F113">
        <v>236</v>
      </c>
      <c r="G113">
        <v>32.151000000000003</v>
      </c>
      <c r="H113">
        <v>0</v>
      </c>
      <c r="I113">
        <v>0</v>
      </c>
      <c r="J113">
        <v>565.87459999999999</v>
      </c>
      <c r="K113" s="2">
        <v>133546.41</v>
      </c>
    </row>
    <row r="114" spans="1:11" hidden="1" outlineLevel="2" x14ac:dyDescent="0.3">
      <c r="A114" t="s">
        <v>36</v>
      </c>
      <c r="B114" t="s">
        <v>79</v>
      </c>
      <c r="C114" t="s">
        <v>40</v>
      </c>
      <c r="D114" s="4">
        <v>42754</v>
      </c>
      <c r="E114" t="s">
        <v>39</v>
      </c>
      <c r="F114">
        <v>1000</v>
      </c>
      <c r="G114">
        <v>1</v>
      </c>
      <c r="H114">
        <v>0</v>
      </c>
      <c r="I114">
        <v>0</v>
      </c>
      <c r="J114">
        <v>17.3246</v>
      </c>
      <c r="K114" s="2">
        <v>17324.560000000001</v>
      </c>
    </row>
    <row r="115" spans="1:11" hidden="1" outlineLevel="2" x14ac:dyDescent="0.3">
      <c r="A115" t="s">
        <v>36</v>
      </c>
      <c r="B115" t="s">
        <v>79</v>
      </c>
      <c r="C115" t="s">
        <v>40</v>
      </c>
      <c r="D115" s="4">
        <v>42754</v>
      </c>
      <c r="E115" t="s">
        <v>39</v>
      </c>
      <c r="F115">
        <v>995.4</v>
      </c>
      <c r="G115">
        <v>1</v>
      </c>
      <c r="H115">
        <v>0</v>
      </c>
      <c r="I115">
        <v>0</v>
      </c>
      <c r="J115">
        <v>16.345600000000001</v>
      </c>
      <c r="K115" s="2">
        <v>16270.44</v>
      </c>
    </row>
    <row r="116" spans="1:11" hidden="1" outlineLevel="2" x14ac:dyDescent="0.3">
      <c r="A116" t="s">
        <v>36</v>
      </c>
      <c r="B116" t="s">
        <v>138</v>
      </c>
      <c r="C116" t="s">
        <v>40</v>
      </c>
      <c r="D116" s="4">
        <v>42754</v>
      </c>
      <c r="E116" t="s">
        <v>39</v>
      </c>
      <c r="F116">
        <v>250</v>
      </c>
      <c r="G116">
        <v>1</v>
      </c>
      <c r="H116">
        <v>0</v>
      </c>
      <c r="I116">
        <v>0</v>
      </c>
      <c r="J116">
        <v>17.9788</v>
      </c>
      <c r="K116" s="2">
        <v>4494.7</v>
      </c>
    </row>
    <row r="117" spans="1:11" hidden="1" outlineLevel="2" x14ac:dyDescent="0.3">
      <c r="A117" t="s">
        <v>36</v>
      </c>
      <c r="B117" t="s">
        <v>86</v>
      </c>
      <c r="C117" t="s">
        <v>40</v>
      </c>
      <c r="D117" s="4">
        <v>42755</v>
      </c>
      <c r="E117" t="s">
        <v>39</v>
      </c>
      <c r="F117">
        <v>995.4</v>
      </c>
      <c r="G117">
        <v>1</v>
      </c>
      <c r="H117">
        <v>0</v>
      </c>
      <c r="I117">
        <v>0</v>
      </c>
      <c r="J117">
        <v>16.5059</v>
      </c>
      <c r="K117" s="2">
        <v>16429.96</v>
      </c>
    </row>
    <row r="118" spans="1:11" hidden="1" outlineLevel="2" x14ac:dyDescent="0.3">
      <c r="A118" t="s">
        <v>36</v>
      </c>
      <c r="B118" t="s">
        <v>86</v>
      </c>
      <c r="C118" t="s">
        <v>40</v>
      </c>
      <c r="D118" s="4">
        <v>42755</v>
      </c>
      <c r="E118" t="s">
        <v>39</v>
      </c>
      <c r="F118">
        <v>995.4</v>
      </c>
      <c r="G118">
        <v>1</v>
      </c>
      <c r="H118">
        <v>0</v>
      </c>
      <c r="I118">
        <v>0</v>
      </c>
      <c r="J118">
        <v>16.5059</v>
      </c>
      <c r="K118" s="2">
        <v>16429.96</v>
      </c>
    </row>
    <row r="119" spans="1:11" hidden="1" outlineLevel="2" x14ac:dyDescent="0.3">
      <c r="A119" t="s">
        <v>36</v>
      </c>
      <c r="B119" t="s">
        <v>95</v>
      </c>
      <c r="C119" t="s">
        <v>40</v>
      </c>
      <c r="D119" s="4">
        <v>42755</v>
      </c>
      <c r="E119" t="s">
        <v>47</v>
      </c>
      <c r="F119">
        <v>800</v>
      </c>
      <c r="G119">
        <v>5</v>
      </c>
      <c r="H119">
        <v>0</v>
      </c>
      <c r="I119">
        <v>0</v>
      </c>
      <c r="J119">
        <v>85.35</v>
      </c>
      <c r="K119" s="2">
        <v>68280</v>
      </c>
    </row>
    <row r="120" spans="1:11" hidden="1" outlineLevel="2" x14ac:dyDescent="0.3">
      <c r="A120" t="s">
        <v>36</v>
      </c>
      <c r="B120" t="s">
        <v>48</v>
      </c>
      <c r="C120" t="s">
        <v>40</v>
      </c>
      <c r="D120" s="4">
        <v>42758</v>
      </c>
      <c r="E120" t="s">
        <v>51</v>
      </c>
      <c r="F120">
        <v>20000</v>
      </c>
      <c r="G120">
        <v>0.1</v>
      </c>
      <c r="H120">
        <v>0</v>
      </c>
      <c r="I120">
        <v>0</v>
      </c>
      <c r="J120">
        <v>2.2646000000000002</v>
      </c>
      <c r="K120" s="2">
        <v>45292.6</v>
      </c>
    </row>
    <row r="121" spans="1:11" hidden="1" outlineLevel="2" x14ac:dyDescent="0.3">
      <c r="A121" t="s">
        <v>36</v>
      </c>
      <c r="B121" t="s">
        <v>57</v>
      </c>
      <c r="C121" t="s">
        <v>40</v>
      </c>
      <c r="D121" s="4">
        <v>42758</v>
      </c>
      <c r="E121" t="s">
        <v>51</v>
      </c>
      <c r="F121">
        <v>30000</v>
      </c>
      <c r="G121">
        <v>1</v>
      </c>
      <c r="H121">
        <v>0</v>
      </c>
      <c r="I121">
        <v>0</v>
      </c>
      <c r="J121">
        <v>16.880600000000001</v>
      </c>
      <c r="K121" s="2">
        <v>506417.69</v>
      </c>
    </row>
    <row r="122" spans="1:11" hidden="1" outlineLevel="2" x14ac:dyDescent="0.3">
      <c r="A122" t="s">
        <v>36</v>
      </c>
      <c r="B122" t="s">
        <v>65</v>
      </c>
      <c r="C122" t="s">
        <v>40</v>
      </c>
      <c r="D122" s="4">
        <v>42759</v>
      </c>
      <c r="E122" t="s">
        <v>39</v>
      </c>
      <c r="F122">
        <v>15</v>
      </c>
      <c r="G122">
        <v>100</v>
      </c>
      <c r="H122">
        <v>0</v>
      </c>
      <c r="I122">
        <v>0</v>
      </c>
      <c r="J122">
        <v>1730.2339999999999</v>
      </c>
      <c r="K122" s="2">
        <v>25953.51</v>
      </c>
    </row>
    <row r="123" spans="1:11" hidden="1" outlineLevel="2" x14ac:dyDescent="0.3">
      <c r="A123" t="s">
        <v>36</v>
      </c>
      <c r="B123" t="s">
        <v>65</v>
      </c>
      <c r="C123" t="s">
        <v>40</v>
      </c>
      <c r="D123" s="4">
        <v>42759</v>
      </c>
      <c r="E123" t="s">
        <v>39</v>
      </c>
      <c r="F123">
        <v>7</v>
      </c>
      <c r="G123">
        <v>100</v>
      </c>
      <c r="H123">
        <v>0</v>
      </c>
      <c r="I123">
        <v>0</v>
      </c>
      <c r="J123">
        <v>1652.5714</v>
      </c>
      <c r="K123" s="2">
        <v>11568</v>
      </c>
    </row>
    <row r="124" spans="1:11" hidden="1" outlineLevel="2" x14ac:dyDescent="0.3">
      <c r="A124" t="s">
        <v>36</v>
      </c>
      <c r="B124" t="s">
        <v>86</v>
      </c>
      <c r="C124" t="s">
        <v>40</v>
      </c>
      <c r="D124" s="4">
        <v>42759</v>
      </c>
      <c r="E124" t="s">
        <v>39</v>
      </c>
      <c r="F124">
        <v>1982.73</v>
      </c>
      <c r="G124">
        <v>1</v>
      </c>
      <c r="H124">
        <v>0</v>
      </c>
      <c r="I124">
        <v>0</v>
      </c>
      <c r="J124">
        <v>16.456900000000001</v>
      </c>
      <c r="K124" s="2">
        <v>32629.52</v>
      </c>
    </row>
    <row r="125" spans="1:11" hidden="1" outlineLevel="2" x14ac:dyDescent="0.3">
      <c r="A125" t="s">
        <v>36</v>
      </c>
      <c r="B125" t="s">
        <v>122</v>
      </c>
      <c r="C125" t="s">
        <v>40</v>
      </c>
      <c r="D125" s="4">
        <v>42759</v>
      </c>
      <c r="E125" t="s">
        <v>39</v>
      </c>
      <c r="F125">
        <v>500</v>
      </c>
      <c r="G125">
        <v>1</v>
      </c>
      <c r="H125">
        <v>0</v>
      </c>
      <c r="I125">
        <v>0</v>
      </c>
      <c r="J125">
        <v>18</v>
      </c>
      <c r="K125" s="2">
        <v>9000</v>
      </c>
    </row>
    <row r="126" spans="1:11" hidden="1" outlineLevel="2" x14ac:dyDescent="0.3">
      <c r="A126" t="s">
        <v>36</v>
      </c>
      <c r="B126" t="s">
        <v>135</v>
      </c>
      <c r="C126" t="s">
        <v>40</v>
      </c>
      <c r="D126" s="4">
        <v>42759</v>
      </c>
      <c r="E126" t="s">
        <v>56</v>
      </c>
      <c r="F126">
        <v>8250</v>
      </c>
      <c r="G126">
        <v>1</v>
      </c>
      <c r="H126">
        <v>0</v>
      </c>
      <c r="I126">
        <v>0</v>
      </c>
      <c r="J126">
        <v>17.9788</v>
      </c>
      <c r="K126" s="2">
        <v>148324.99</v>
      </c>
    </row>
    <row r="127" spans="1:11" hidden="1" outlineLevel="2" x14ac:dyDescent="0.3">
      <c r="A127" t="s">
        <v>36</v>
      </c>
      <c r="B127" t="s">
        <v>86</v>
      </c>
      <c r="C127" t="s">
        <v>40</v>
      </c>
      <c r="D127" s="4">
        <v>42760</v>
      </c>
      <c r="E127" t="s">
        <v>39</v>
      </c>
      <c r="F127">
        <v>1935.2</v>
      </c>
      <c r="G127">
        <v>1</v>
      </c>
      <c r="H127">
        <v>0</v>
      </c>
      <c r="I127">
        <v>0</v>
      </c>
      <c r="J127">
        <v>16.604800000000001</v>
      </c>
      <c r="K127" s="2">
        <v>32133.58</v>
      </c>
    </row>
    <row r="128" spans="1:11" hidden="1" outlineLevel="2" x14ac:dyDescent="0.3">
      <c r="A128" t="s">
        <v>36</v>
      </c>
      <c r="B128" t="s">
        <v>120</v>
      </c>
      <c r="C128" t="s">
        <v>40</v>
      </c>
      <c r="D128" s="4">
        <v>42761</v>
      </c>
      <c r="E128" t="s">
        <v>39</v>
      </c>
      <c r="F128">
        <v>3000</v>
      </c>
      <c r="G128">
        <v>1</v>
      </c>
      <c r="H128">
        <v>0</v>
      </c>
      <c r="I128">
        <v>0</v>
      </c>
      <c r="J128">
        <v>19.374199999999998</v>
      </c>
      <c r="K128" s="2">
        <v>58122.5</v>
      </c>
    </row>
    <row r="129" spans="1:11" hidden="1" outlineLevel="2" x14ac:dyDescent="0.3">
      <c r="A129" t="s">
        <v>36</v>
      </c>
      <c r="B129" t="s">
        <v>65</v>
      </c>
      <c r="C129" t="s">
        <v>40</v>
      </c>
      <c r="D129" s="4">
        <v>42766</v>
      </c>
      <c r="E129" t="s">
        <v>39</v>
      </c>
      <c r="F129">
        <v>10</v>
      </c>
      <c r="G129">
        <v>100</v>
      </c>
      <c r="H129">
        <v>0</v>
      </c>
      <c r="I129">
        <v>0</v>
      </c>
      <c r="J129">
        <v>1661.2619999999999</v>
      </c>
      <c r="K129" s="2">
        <v>16612.62</v>
      </c>
    </row>
    <row r="130" spans="1:11" hidden="1" outlineLevel="2" x14ac:dyDescent="0.3">
      <c r="A130" t="s">
        <v>36</v>
      </c>
      <c r="B130" t="s">
        <v>77</v>
      </c>
      <c r="C130" t="s">
        <v>40</v>
      </c>
      <c r="D130" s="4">
        <v>42766</v>
      </c>
      <c r="E130" t="s">
        <v>74</v>
      </c>
      <c r="F130">
        <v>167.47</v>
      </c>
      <c r="G130">
        <v>1</v>
      </c>
      <c r="H130">
        <v>0</v>
      </c>
      <c r="I130">
        <v>0</v>
      </c>
      <c r="J130">
        <v>16.083400000000001</v>
      </c>
      <c r="K130" s="2">
        <v>2693.48</v>
      </c>
    </row>
    <row r="131" spans="1:11" hidden="1" outlineLevel="2" x14ac:dyDescent="0.3">
      <c r="A131" t="s">
        <v>36</v>
      </c>
      <c r="B131" t="s">
        <v>101</v>
      </c>
      <c r="C131" t="s">
        <v>40</v>
      </c>
      <c r="D131" s="4">
        <v>42766</v>
      </c>
      <c r="E131" t="s">
        <v>39</v>
      </c>
      <c r="F131">
        <v>389</v>
      </c>
      <c r="G131">
        <v>1</v>
      </c>
      <c r="H131">
        <v>0</v>
      </c>
      <c r="I131">
        <v>0</v>
      </c>
      <c r="J131">
        <v>18.830400000000001</v>
      </c>
      <c r="K131" s="2">
        <v>7325.03</v>
      </c>
    </row>
    <row r="132" spans="1:11" outlineLevel="1" collapsed="1" x14ac:dyDescent="0.3">
      <c r="C132" s="2" t="s">
        <v>169</v>
      </c>
      <c r="I132">
        <f>SUBTOTAL(9,I72:I131)</f>
        <v>0</v>
      </c>
      <c r="K132" s="2">
        <f>SUM(K72:K131)</f>
        <v>6478499.0200000005</v>
      </c>
    </row>
    <row r="133" spans="1:11" outlineLevel="2" x14ac:dyDescent="0.3">
      <c r="A133" t="s">
        <v>36</v>
      </c>
      <c r="B133" t="s">
        <v>122</v>
      </c>
      <c r="C133" t="s">
        <v>123</v>
      </c>
      <c r="D133" s="4">
        <v>42744</v>
      </c>
      <c r="E133" t="s">
        <v>46</v>
      </c>
      <c r="F133">
        <v>0</v>
      </c>
      <c r="G133">
        <v>1</v>
      </c>
      <c r="H133">
        <v>0</v>
      </c>
      <c r="I133">
        <v>0</v>
      </c>
      <c r="J133">
        <v>0</v>
      </c>
      <c r="K133" s="2">
        <v>-1850</v>
      </c>
    </row>
    <row r="134" spans="1:11" outlineLevel="2" x14ac:dyDescent="0.3">
      <c r="A134" t="s">
        <v>36</v>
      </c>
      <c r="B134" t="s">
        <v>136</v>
      </c>
      <c r="C134" t="s">
        <v>123</v>
      </c>
      <c r="D134" s="4">
        <v>42753</v>
      </c>
      <c r="E134" t="s">
        <v>56</v>
      </c>
      <c r="F134">
        <v>0</v>
      </c>
      <c r="G134">
        <v>1</v>
      </c>
      <c r="H134">
        <v>0</v>
      </c>
      <c r="I134">
        <v>0</v>
      </c>
      <c r="J134">
        <v>0</v>
      </c>
      <c r="K134" s="2">
        <v>-0.01</v>
      </c>
    </row>
    <row r="135" spans="1:11" outlineLevel="1" x14ac:dyDescent="0.3">
      <c r="C135" s="2" t="s">
        <v>170</v>
      </c>
      <c r="I135">
        <f>SUBTOTAL(9,I133:I134)</f>
        <v>0</v>
      </c>
      <c r="K135" s="2">
        <f>SUM(K133:K134)</f>
        <v>-1850.01</v>
      </c>
    </row>
    <row r="136" spans="1:11" hidden="1" outlineLevel="2" x14ac:dyDescent="0.3">
      <c r="A136" t="s">
        <v>36</v>
      </c>
      <c r="B136" t="s">
        <v>82</v>
      </c>
      <c r="C136" t="s">
        <v>85</v>
      </c>
      <c r="D136" s="4">
        <v>42745</v>
      </c>
      <c r="E136" t="s">
        <v>47</v>
      </c>
      <c r="F136">
        <v>-0.156</v>
      </c>
      <c r="G136">
        <v>1</v>
      </c>
      <c r="H136">
        <v>0</v>
      </c>
      <c r="I136">
        <v>0</v>
      </c>
      <c r="J136">
        <v>16.480599999999999</v>
      </c>
      <c r="K136" s="2">
        <v>-2.57</v>
      </c>
    </row>
    <row r="137" spans="1:11" hidden="1" outlineLevel="2" x14ac:dyDescent="0.3">
      <c r="A137" t="s">
        <v>36</v>
      </c>
      <c r="B137" t="s">
        <v>82</v>
      </c>
      <c r="C137" t="s">
        <v>85</v>
      </c>
      <c r="D137" s="4">
        <v>42752</v>
      </c>
      <c r="E137" t="s">
        <v>47</v>
      </c>
      <c r="F137">
        <v>0.72</v>
      </c>
      <c r="G137">
        <v>1</v>
      </c>
      <c r="H137">
        <v>0</v>
      </c>
      <c r="I137">
        <v>0</v>
      </c>
      <c r="J137">
        <v>16.480599999999999</v>
      </c>
      <c r="K137" s="2">
        <v>11.87</v>
      </c>
    </row>
    <row r="138" spans="1:11" hidden="1" outlineLevel="2" x14ac:dyDescent="0.3">
      <c r="A138" t="s">
        <v>36</v>
      </c>
      <c r="B138" t="s">
        <v>82</v>
      </c>
      <c r="C138" t="s">
        <v>85</v>
      </c>
      <c r="D138" s="4">
        <v>42759</v>
      </c>
      <c r="E138" t="s">
        <v>47</v>
      </c>
      <c r="F138">
        <v>0.16800000000000001</v>
      </c>
      <c r="G138">
        <v>1</v>
      </c>
      <c r="H138">
        <v>0</v>
      </c>
      <c r="I138">
        <v>0</v>
      </c>
      <c r="J138">
        <v>16.7376</v>
      </c>
      <c r="K138" s="2">
        <v>2.81</v>
      </c>
    </row>
    <row r="139" spans="1:11" hidden="1" outlineLevel="2" x14ac:dyDescent="0.3">
      <c r="A139" t="s">
        <v>36</v>
      </c>
      <c r="B139" t="s">
        <v>82</v>
      </c>
      <c r="C139" t="s">
        <v>85</v>
      </c>
      <c r="D139" s="4">
        <v>42766</v>
      </c>
      <c r="E139" t="s">
        <v>47</v>
      </c>
      <c r="F139">
        <v>-4.1000000000000002E-2</v>
      </c>
      <c r="G139">
        <v>1</v>
      </c>
      <c r="H139">
        <v>0</v>
      </c>
      <c r="I139">
        <v>0</v>
      </c>
      <c r="J139">
        <v>16.775500000000001</v>
      </c>
      <c r="K139" s="2">
        <v>-0.69</v>
      </c>
    </row>
    <row r="140" spans="1:11" hidden="1" outlineLevel="2" x14ac:dyDescent="0.3">
      <c r="A140" t="s">
        <v>36</v>
      </c>
      <c r="B140" t="s">
        <v>86</v>
      </c>
      <c r="C140" t="s">
        <v>85</v>
      </c>
      <c r="D140" s="4">
        <v>42766</v>
      </c>
      <c r="E140" t="s">
        <v>47</v>
      </c>
      <c r="F140">
        <v>-1E-3</v>
      </c>
      <c r="G140">
        <v>1</v>
      </c>
      <c r="H140">
        <v>0</v>
      </c>
      <c r="I140">
        <v>0</v>
      </c>
      <c r="J140">
        <v>20</v>
      </c>
      <c r="K140" s="2">
        <v>-0.02</v>
      </c>
    </row>
    <row r="141" spans="1:11" outlineLevel="1" collapsed="1" x14ac:dyDescent="0.3">
      <c r="C141" s="2" t="s">
        <v>171</v>
      </c>
      <c r="I141">
        <f>SUBTOTAL(9,I136:I140)</f>
        <v>0</v>
      </c>
      <c r="K141" s="2">
        <f>SUM(K136:K140)</f>
        <v>11.4</v>
      </c>
    </row>
    <row r="142" spans="1:11" hidden="1" outlineLevel="2" x14ac:dyDescent="0.3">
      <c r="A142" t="s">
        <v>36</v>
      </c>
      <c r="B142" t="s">
        <v>82</v>
      </c>
      <c r="C142" t="s">
        <v>38</v>
      </c>
      <c r="D142" s="4">
        <v>42738</v>
      </c>
      <c r="E142" t="s">
        <v>39</v>
      </c>
      <c r="F142">
        <v>-12128.8</v>
      </c>
      <c r="G142">
        <v>1</v>
      </c>
      <c r="H142">
        <v>0</v>
      </c>
      <c r="I142">
        <v>0</v>
      </c>
      <c r="J142">
        <v>16.492599999999999</v>
      </c>
      <c r="K142" s="2">
        <v>-200035.78</v>
      </c>
    </row>
    <row r="143" spans="1:11" hidden="1" outlineLevel="2" x14ac:dyDescent="0.3">
      <c r="A143" t="s">
        <v>36</v>
      </c>
      <c r="B143" t="s">
        <v>82</v>
      </c>
      <c r="C143" t="s">
        <v>38</v>
      </c>
      <c r="D143" s="4">
        <v>42738</v>
      </c>
      <c r="E143" t="s">
        <v>39</v>
      </c>
      <c r="F143">
        <v>12128.8</v>
      </c>
      <c r="G143">
        <v>1</v>
      </c>
      <c r="H143">
        <v>0</v>
      </c>
      <c r="I143">
        <v>0</v>
      </c>
      <c r="J143">
        <v>16.0806</v>
      </c>
      <c r="K143" s="2">
        <v>195038.38</v>
      </c>
    </row>
    <row r="144" spans="1:11" hidden="1" outlineLevel="2" x14ac:dyDescent="0.3">
      <c r="A144" t="s">
        <v>36</v>
      </c>
      <c r="B144" t="s">
        <v>82</v>
      </c>
      <c r="C144" t="s">
        <v>38</v>
      </c>
      <c r="D144" s="4">
        <v>42738</v>
      </c>
      <c r="E144" t="s">
        <v>83</v>
      </c>
      <c r="F144">
        <v>12128.8</v>
      </c>
      <c r="G144">
        <v>1</v>
      </c>
      <c r="H144">
        <v>0</v>
      </c>
      <c r="I144">
        <v>0</v>
      </c>
      <c r="J144">
        <v>16.492599999999999</v>
      </c>
      <c r="K144" s="2">
        <v>200035.78</v>
      </c>
    </row>
    <row r="145" spans="1:11" hidden="1" outlineLevel="2" x14ac:dyDescent="0.3">
      <c r="A145" t="s">
        <v>36</v>
      </c>
      <c r="B145" t="s">
        <v>82</v>
      </c>
      <c r="C145" t="s">
        <v>38</v>
      </c>
      <c r="D145" s="4">
        <v>42738</v>
      </c>
      <c r="E145" t="s">
        <v>47</v>
      </c>
      <c r="F145">
        <v>-12128.8</v>
      </c>
      <c r="G145">
        <v>1</v>
      </c>
      <c r="H145">
        <v>0</v>
      </c>
      <c r="I145">
        <v>0</v>
      </c>
      <c r="J145">
        <v>16.0806</v>
      </c>
      <c r="K145" s="2">
        <v>-195038.38</v>
      </c>
    </row>
    <row r="146" spans="1:11" hidden="1" outlineLevel="2" x14ac:dyDescent="0.3">
      <c r="A146" t="s">
        <v>36</v>
      </c>
      <c r="B146" t="s">
        <v>37</v>
      </c>
      <c r="C146" t="s">
        <v>38</v>
      </c>
      <c r="D146" s="4">
        <v>42739</v>
      </c>
      <c r="E146" t="s">
        <v>39</v>
      </c>
      <c r="F146">
        <v>-2500</v>
      </c>
      <c r="G146">
        <v>1</v>
      </c>
      <c r="H146">
        <v>0</v>
      </c>
      <c r="I146">
        <v>0</v>
      </c>
      <c r="J146">
        <v>17.220500000000001</v>
      </c>
      <c r="K146" s="2">
        <v>-43051.19</v>
      </c>
    </row>
    <row r="147" spans="1:11" hidden="1" outlineLevel="2" x14ac:dyDescent="0.3">
      <c r="A147" t="s">
        <v>36</v>
      </c>
      <c r="B147" t="s">
        <v>37</v>
      </c>
      <c r="C147" t="s">
        <v>38</v>
      </c>
      <c r="D147" s="4">
        <v>42739</v>
      </c>
      <c r="E147" t="s">
        <v>43</v>
      </c>
      <c r="F147">
        <v>2500</v>
      </c>
      <c r="G147">
        <v>1</v>
      </c>
      <c r="H147">
        <v>0</v>
      </c>
      <c r="I147">
        <v>0</v>
      </c>
      <c r="J147">
        <v>17.220500000000001</v>
      </c>
      <c r="K147" s="2">
        <v>43051.19</v>
      </c>
    </row>
    <row r="148" spans="1:11" hidden="1" outlineLevel="2" x14ac:dyDescent="0.3">
      <c r="A148" t="s">
        <v>36</v>
      </c>
      <c r="B148" t="s">
        <v>53</v>
      </c>
      <c r="C148" t="s">
        <v>38</v>
      </c>
      <c r="D148" s="4">
        <v>42739</v>
      </c>
      <c r="E148" t="s">
        <v>39</v>
      </c>
      <c r="F148">
        <v>-1500</v>
      </c>
      <c r="G148">
        <v>1</v>
      </c>
      <c r="H148">
        <v>0</v>
      </c>
      <c r="I148">
        <v>0</v>
      </c>
      <c r="J148">
        <v>15.285</v>
      </c>
      <c r="K148" s="2">
        <v>-22927.43</v>
      </c>
    </row>
    <row r="149" spans="1:11" hidden="1" outlineLevel="2" x14ac:dyDescent="0.3">
      <c r="A149" t="s">
        <v>36</v>
      </c>
      <c r="B149" t="s">
        <v>53</v>
      </c>
      <c r="C149" t="s">
        <v>38</v>
      </c>
      <c r="D149" s="4">
        <v>42739</v>
      </c>
      <c r="E149" t="s">
        <v>46</v>
      </c>
      <c r="F149">
        <v>1500</v>
      </c>
      <c r="G149">
        <v>1</v>
      </c>
      <c r="H149">
        <v>0</v>
      </c>
      <c r="I149">
        <v>0</v>
      </c>
      <c r="J149">
        <v>15.285</v>
      </c>
      <c r="K149" s="2">
        <v>22927.43</v>
      </c>
    </row>
    <row r="150" spans="1:11" hidden="1" outlineLevel="2" x14ac:dyDescent="0.3">
      <c r="A150" t="s">
        <v>36</v>
      </c>
      <c r="B150" t="s">
        <v>60</v>
      </c>
      <c r="C150" t="s">
        <v>38</v>
      </c>
      <c r="D150" s="4">
        <v>42739</v>
      </c>
      <c r="E150" t="s">
        <v>39</v>
      </c>
      <c r="F150">
        <v>-400</v>
      </c>
      <c r="G150">
        <v>10</v>
      </c>
      <c r="H150">
        <v>0</v>
      </c>
      <c r="I150">
        <v>0</v>
      </c>
      <c r="J150">
        <v>185.4853</v>
      </c>
      <c r="K150" s="2">
        <v>-74194.13</v>
      </c>
    </row>
    <row r="151" spans="1:11" hidden="1" outlineLevel="2" x14ac:dyDescent="0.3">
      <c r="A151" t="s">
        <v>36</v>
      </c>
      <c r="B151" t="s">
        <v>60</v>
      </c>
      <c r="C151" t="s">
        <v>38</v>
      </c>
      <c r="D151" s="4">
        <v>42739</v>
      </c>
      <c r="E151" t="s">
        <v>46</v>
      </c>
      <c r="F151">
        <v>400</v>
      </c>
      <c r="G151">
        <v>10</v>
      </c>
      <c r="H151">
        <v>0</v>
      </c>
      <c r="I151">
        <v>0</v>
      </c>
      <c r="J151">
        <v>185.4853</v>
      </c>
      <c r="K151" s="2">
        <v>74194.13</v>
      </c>
    </row>
    <row r="152" spans="1:11" hidden="1" outlineLevel="2" x14ac:dyDescent="0.3">
      <c r="A152" t="s">
        <v>36</v>
      </c>
      <c r="B152" t="s">
        <v>62</v>
      </c>
      <c r="C152" t="s">
        <v>38</v>
      </c>
      <c r="D152" s="4">
        <v>42739</v>
      </c>
      <c r="E152" t="s">
        <v>39</v>
      </c>
      <c r="F152">
        <v>-200</v>
      </c>
      <c r="G152">
        <v>10</v>
      </c>
      <c r="H152">
        <v>0</v>
      </c>
      <c r="I152">
        <v>0</v>
      </c>
      <c r="J152">
        <v>168.666</v>
      </c>
      <c r="K152" s="2">
        <v>-33733.19</v>
      </c>
    </row>
    <row r="153" spans="1:11" hidden="1" outlineLevel="2" x14ac:dyDescent="0.3">
      <c r="A153" t="s">
        <v>36</v>
      </c>
      <c r="B153" t="s">
        <v>62</v>
      </c>
      <c r="C153" t="s">
        <v>38</v>
      </c>
      <c r="D153" s="4">
        <v>42739</v>
      </c>
      <c r="E153" t="s">
        <v>46</v>
      </c>
      <c r="F153">
        <v>200</v>
      </c>
      <c r="G153">
        <v>10</v>
      </c>
      <c r="H153">
        <v>0</v>
      </c>
      <c r="I153">
        <v>0</v>
      </c>
      <c r="J153">
        <v>168.666</v>
      </c>
      <c r="K153" s="2">
        <v>33733.19</v>
      </c>
    </row>
    <row r="154" spans="1:11" hidden="1" outlineLevel="2" x14ac:dyDescent="0.3">
      <c r="A154" t="s">
        <v>36</v>
      </c>
      <c r="B154" t="s">
        <v>67</v>
      </c>
      <c r="C154" t="s">
        <v>38</v>
      </c>
      <c r="D154" s="4">
        <v>42739</v>
      </c>
      <c r="E154" t="s">
        <v>39</v>
      </c>
      <c r="F154">
        <v>-435.61</v>
      </c>
      <c r="G154">
        <v>0.8</v>
      </c>
      <c r="H154">
        <v>0</v>
      </c>
      <c r="I154">
        <v>0</v>
      </c>
      <c r="J154">
        <v>11.9862</v>
      </c>
      <c r="K154" s="2">
        <v>-5221.33</v>
      </c>
    </row>
    <row r="155" spans="1:11" hidden="1" outlineLevel="2" x14ac:dyDescent="0.3">
      <c r="A155" t="s">
        <v>36</v>
      </c>
      <c r="B155" t="s">
        <v>67</v>
      </c>
      <c r="C155" t="s">
        <v>38</v>
      </c>
      <c r="D155" s="4">
        <v>42739</v>
      </c>
      <c r="E155" t="s">
        <v>68</v>
      </c>
      <c r="F155">
        <v>435.61</v>
      </c>
      <c r="G155">
        <v>0.8</v>
      </c>
      <c r="H155">
        <v>0</v>
      </c>
      <c r="I155">
        <v>0</v>
      </c>
      <c r="J155">
        <v>11.9862</v>
      </c>
      <c r="K155" s="2">
        <v>5221.33</v>
      </c>
    </row>
    <row r="156" spans="1:11" hidden="1" outlineLevel="2" x14ac:dyDescent="0.3">
      <c r="A156" t="s">
        <v>36</v>
      </c>
      <c r="B156" t="s">
        <v>71</v>
      </c>
      <c r="C156" t="s">
        <v>38</v>
      </c>
      <c r="D156" s="4">
        <v>42739</v>
      </c>
      <c r="E156" t="s">
        <v>39</v>
      </c>
      <c r="F156">
        <v>-16019.62</v>
      </c>
      <c r="G156">
        <v>0.92500000000000004</v>
      </c>
      <c r="H156">
        <v>0</v>
      </c>
      <c r="I156">
        <v>0</v>
      </c>
      <c r="J156">
        <v>15.151400000000001</v>
      </c>
      <c r="K156" s="2">
        <v>-242719.61</v>
      </c>
    </row>
    <row r="157" spans="1:11" hidden="1" outlineLevel="2" x14ac:dyDescent="0.3">
      <c r="A157" t="s">
        <v>36</v>
      </c>
      <c r="B157" t="s">
        <v>71</v>
      </c>
      <c r="C157" t="s">
        <v>38</v>
      </c>
      <c r="D157" s="4">
        <v>42739</v>
      </c>
      <c r="E157" t="s">
        <v>68</v>
      </c>
      <c r="F157">
        <v>16019.62</v>
      </c>
      <c r="G157">
        <v>0.92500000000000004</v>
      </c>
      <c r="H157">
        <v>0</v>
      </c>
      <c r="I157">
        <v>0</v>
      </c>
      <c r="J157">
        <v>15.151400000000001</v>
      </c>
      <c r="K157" s="2">
        <v>242719.61</v>
      </c>
    </row>
    <row r="158" spans="1:11" hidden="1" outlineLevel="2" x14ac:dyDescent="0.3">
      <c r="A158" t="s">
        <v>36</v>
      </c>
      <c r="B158" t="s">
        <v>72</v>
      </c>
      <c r="C158" t="s">
        <v>38</v>
      </c>
      <c r="D158" s="4">
        <v>42739</v>
      </c>
      <c r="E158" t="s">
        <v>39</v>
      </c>
      <c r="F158">
        <v>-104000</v>
      </c>
      <c r="G158">
        <v>1</v>
      </c>
      <c r="H158">
        <v>0</v>
      </c>
      <c r="I158">
        <v>0</v>
      </c>
      <c r="J158">
        <v>17.827200000000001</v>
      </c>
      <c r="K158" s="2">
        <v>-1854030.96</v>
      </c>
    </row>
    <row r="159" spans="1:11" hidden="1" outlineLevel="2" x14ac:dyDescent="0.3">
      <c r="A159" t="s">
        <v>36</v>
      </c>
      <c r="B159" t="s">
        <v>72</v>
      </c>
      <c r="C159" t="s">
        <v>38</v>
      </c>
      <c r="D159" s="4">
        <v>42739</v>
      </c>
      <c r="E159" t="s">
        <v>68</v>
      </c>
      <c r="F159">
        <v>104000</v>
      </c>
      <c r="G159">
        <v>1</v>
      </c>
      <c r="H159">
        <v>0</v>
      </c>
      <c r="I159">
        <v>0</v>
      </c>
      <c r="J159">
        <v>17.827200000000001</v>
      </c>
      <c r="K159" s="2">
        <v>1854030.96</v>
      </c>
    </row>
    <row r="160" spans="1:11" hidden="1" outlineLevel="2" x14ac:dyDescent="0.3">
      <c r="A160" t="s">
        <v>36</v>
      </c>
      <c r="B160" t="s">
        <v>79</v>
      </c>
      <c r="C160" t="s">
        <v>38</v>
      </c>
      <c r="D160" s="4">
        <v>42739</v>
      </c>
      <c r="E160" t="s">
        <v>39</v>
      </c>
      <c r="F160">
        <v>-13066.8</v>
      </c>
      <c r="G160">
        <v>1</v>
      </c>
      <c r="H160">
        <v>0</v>
      </c>
      <c r="I160">
        <v>0</v>
      </c>
      <c r="J160">
        <v>16.076599999999999</v>
      </c>
      <c r="K160" s="2">
        <v>-210069.23</v>
      </c>
    </row>
    <row r="161" spans="1:11" hidden="1" outlineLevel="2" x14ac:dyDescent="0.3">
      <c r="A161" t="s">
        <v>36</v>
      </c>
      <c r="B161" t="s">
        <v>79</v>
      </c>
      <c r="C161" t="s">
        <v>38</v>
      </c>
      <c r="D161" s="4">
        <v>42739</v>
      </c>
      <c r="E161" t="s">
        <v>68</v>
      </c>
      <c r="F161">
        <v>13066.8</v>
      </c>
      <c r="G161">
        <v>1</v>
      </c>
      <c r="H161">
        <v>0</v>
      </c>
      <c r="I161">
        <v>0</v>
      </c>
      <c r="J161">
        <v>16.076599999999999</v>
      </c>
      <c r="K161" s="2">
        <v>210069.23</v>
      </c>
    </row>
    <row r="162" spans="1:11" hidden="1" outlineLevel="2" x14ac:dyDescent="0.3">
      <c r="A162" t="s">
        <v>36</v>
      </c>
      <c r="B162" t="s">
        <v>82</v>
      </c>
      <c r="C162" t="s">
        <v>38</v>
      </c>
      <c r="D162" s="4">
        <v>42739</v>
      </c>
      <c r="E162" t="s">
        <v>84</v>
      </c>
      <c r="F162">
        <v>119833.15</v>
      </c>
      <c r="G162">
        <v>1</v>
      </c>
      <c r="H162">
        <v>0</v>
      </c>
      <c r="I162">
        <v>0</v>
      </c>
      <c r="J162">
        <v>16.0806</v>
      </c>
      <c r="K162" s="2">
        <v>1926988.95</v>
      </c>
    </row>
    <row r="163" spans="1:11" hidden="1" outlineLevel="2" x14ac:dyDescent="0.3">
      <c r="A163" t="s">
        <v>36</v>
      </c>
      <c r="B163" t="s">
        <v>82</v>
      </c>
      <c r="C163" t="s">
        <v>38</v>
      </c>
      <c r="D163" s="4">
        <v>42739</v>
      </c>
      <c r="E163" t="s">
        <v>47</v>
      </c>
      <c r="F163">
        <v>-119833.15</v>
      </c>
      <c r="G163">
        <v>1</v>
      </c>
      <c r="H163">
        <v>0</v>
      </c>
      <c r="I163">
        <v>0</v>
      </c>
      <c r="J163">
        <v>16.0806</v>
      </c>
      <c r="K163" s="2">
        <v>-1926988.95</v>
      </c>
    </row>
    <row r="164" spans="1:11" hidden="1" outlineLevel="2" x14ac:dyDescent="0.3">
      <c r="A164" t="s">
        <v>36</v>
      </c>
      <c r="B164" t="s">
        <v>86</v>
      </c>
      <c r="C164" t="s">
        <v>38</v>
      </c>
      <c r="D164" s="4">
        <v>42739</v>
      </c>
      <c r="E164" t="s">
        <v>39</v>
      </c>
      <c r="F164">
        <v>-172577.9</v>
      </c>
      <c r="G164">
        <v>1</v>
      </c>
      <c r="H164">
        <v>0</v>
      </c>
      <c r="I164">
        <v>0</v>
      </c>
      <c r="J164">
        <v>16.065000000000001</v>
      </c>
      <c r="K164" s="2">
        <v>-2772465.23</v>
      </c>
    </row>
    <row r="165" spans="1:11" hidden="1" outlineLevel="2" x14ac:dyDescent="0.3">
      <c r="A165" t="s">
        <v>36</v>
      </c>
      <c r="B165" t="s">
        <v>86</v>
      </c>
      <c r="C165" t="s">
        <v>38</v>
      </c>
      <c r="D165" s="4">
        <v>42739</v>
      </c>
      <c r="E165" t="s">
        <v>84</v>
      </c>
      <c r="F165">
        <v>432041.1</v>
      </c>
      <c r="G165">
        <v>1</v>
      </c>
      <c r="H165">
        <v>0</v>
      </c>
      <c r="I165">
        <v>0</v>
      </c>
      <c r="J165">
        <v>16.735099999999999</v>
      </c>
      <c r="K165" s="2">
        <v>7230244.3399999999</v>
      </c>
    </row>
    <row r="166" spans="1:11" hidden="1" outlineLevel="2" x14ac:dyDescent="0.3">
      <c r="A166" t="s">
        <v>36</v>
      </c>
      <c r="B166" t="s">
        <v>86</v>
      </c>
      <c r="C166" t="s">
        <v>38</v>
      </c>
      <c r="D166" s="4">
        <v>42739</v>
      </c>
      <c r="E166" t="s">
        <v>47</v>
      </c>
      <c r="F166">
        <v>172577.9</v>
      </c>
      <c r="G166">
        <v>1</v>
      </c>
      <c r="H166">
        <v>0</v>
      </c>
      <c r="I166">
        <v>0</v>
      </c>
      <c r="J166">
        <v>16.065000000000001</v>
      </c>
      <c r="K166" s="2">
        <v>2772465.23</v>
      </c>
    </row>
    <row r="167" spans="1:11" hidden="1" outlineLevel="2" x14ac:dyDescent="0.3">
      <c r="A167" t="s">
        <v>36</v>
      </c>
      <c r="B167" t="s">
        <v>86</v>
      </c>
      <c r="C167" t="s">
        <v>38</v>
      </c>
      <c r="D167" s="4">
        <v>42739</v>
      </c>
      <c r="E167" t="s">
        <v>47</v>
      </c>
      <c r="F167">
        <v>-432041.1</v>
      </c>
      <c r="G167">
        <v>1</v>
      </c>
      <c r="H167">
        <v>0</v>
      </c>
      <c r="I167">
        <v>0</v>
      </c>
      <c r="J167">
        <v>16.735099999999999</v>
      </c>
      <c r="K167" s="2">
        <v>-7230244.3399999999</v>
      </c>
    </row>
    <row r="168" spans="1:11" hidden="1" outlineLevel="2" x14ac:dyDescent="0.3">
      <c r="A168" t="s">
        <v>36</v>
      </c>
      <c r="B168" t="s">
        <v>101</v>
      </c>
      <c r="C168" t="s">
        <v>38</v>
      </c>
      <c r="D168" s="4">
        <v>42739</v>
      </c>
      <c r="E168" t="s">
        <v>39</v>
      </c>
      <c r="F168">
        <v>-5000</v>
      </c>
      <c r="G168">
        <v>1</v>
      </c>
      <c r="H168">
        <v>0</v>
      </c>
      <c r="I168">
        <v>0</v>
      </c>
      <c r="J168">
        <v>18.8429</v>
      </c>
      <c r="K168" s="2">
        <v>-94214.3</v>
      </c>
    </row>
    <row r="169" spans="1:11" hidden="1" outlineLevel="2" x14ac:dyDescent="0.3">
      <c r="A169" t="s">
        <v>36</v>
      </c>
      <c r="B169" t="s">
        <v>101</v>
      </c>
      <c r="C169" t="s">
        <v>38</v>
      </c>
      <c r="D169" s="4">
        <v>42739</v>
      </c>
      <c r="E169" t="s">
        <v>39</v>
      </c>
      <c r="F169">
        <v>-500</v>
      </c>
      <c r="G169">
        <v>1</v>
      </c>
      <c r="H169">
        <v>0</v>
      </c>
      <c r="I169">
        <v>0</v>
      </c>
      <c r="J169">
        <v>18.8429</v>
      </c>
      <c r="K169" s="2">
        <v>-9421.43</v>
      </c>
    </row>
    <row r="170" spans="1:11" hidden="1" outlineLevel="2" x14ac:dyDescent="0.3">
      <c r="A170" t="s">
        <v>36</v>
      </c>
      <c r="B170" t="s">
        <v>101</v>
      </c>
      <c r="C170" t="s">
        <v>38</v>
      </c>
      <c r="D170" s="4">
        <v>42739</v>
      </c>
      <c r="E170" t="s">
        <v>46</v>
      </c>
      <c r="F170">
        <v>500</v>
      </c>
      <c r="G170">
        <v>1</v>
      </c>
      <c r="H170">
        <v>0</v>
      </c>
      <c r="I170">
        <v>0</v>
      </c>
      <c r="J170">
        <v>18.8429</v>
      </c>
      <c r="K170" s="2">
        <v>9421.43</v>
      </c>
    </row>
    <row r="171" spans="1:11" hidden="1" outlineLevel="2" x14ac:dyDescent="0.3">
      <c r="A171" t="s">
        <v>36</v>
      </c>
      <c r="B171" t="s">
        <v>101</v>
      </c>
      <c r="C171" t="s">
        <v>38</v>
      </c>
      <c r="D171" s="4">
        <v>42739</v>
      </c>
      <c r="E171" t="s">
        <v>56</v>
      </c>
      <c r="F171">
        <v>5000</v>
      </c>
      <c r="G171">
        <v>1</v>
      </c>
      <c r="H171">
        <v>0</v>
      </c>
      <c r="I171">
        <v>0</v>
      </c>
      <c r="J171">
        <v>18.8429</v>
      </c>
      <c r="K171" s="2">
        <v>94214.3</v>
      </c>
    </row>
    <row r="172" spans="1:11" hidden="1" outlineLevel="2" x14ac:dyDescent="0.3">
      <c r="A172" t="s">
        <v>36</v>
      </c>
      <c r="B172" t="s">
        <v>114</v>
      </c>
      <c r="C172" t="s">
        <v>38</v>
      </c>
      <c r="D172" s="4">
        <v>42739</v>
      </c>
      <c r="E172" t="s">
        <v>39</v>
      </c>
      <c r="F172">
        <v>-61887</v>
      </c>
      <c r="G172">
        <v>0.29499999999999998</v>
      </c>
      <c r="H172">
        <v>0</v>
      </c>
      <c r="I172">
        <v>0</v>
      </c>
      <c r="J172">
        <v>4.8705999999999996</v>
      </c>
      <c r="K172" s="2">
        <v>-301429.13</v>
      </c>
    </row>
    <row r="173" spans="1:11" hidden="1" outlineLevel="2" x14ac:dyDescent="0.3">
      <c r="A173" t="s">
        <v>36</v>
      </c>
      <c r="B173" t="s">
        <v>114</v>
      </c>
      <c r="C173" t="s">
        <v>38</v>
      </c>
      <c r="D173" s="4">
        <v>42739</v>
      </c>
      <c r="E173" t="s">
        <v>68</v>
      </c>
      <c r="F173">
        <v>61887</v>
      </c>
      <c r="G173">
        <v>0.29499999999999998</v>
      </c>
      <c r="H173">
        <v>0</v>
      </c>
      <c r="I173">
        <v>0</v>
      </c>
      <c r="J173">
        <v>4.8705999999999996</v>
      </c>
      <c r="K173" s="2">
        <v>301429.13</v>
      </c>
    </row>
    <row r="174" spans="1:11" hidden="1" outlineLevel="2" x14ac:dyDescent="0.3">
      <c r="A174" t="s">
        <v>36</v>
      </c>
      <c r="B174" t="s">
        <v>125</v>
      </c>
      <c r="C174" t="s">
        <v>38</v>
      </c>
      <c r="D174" s="4">
        <v>42739</v>
      </c>
      <c r="E174" t="s">
        <v>39</v>
      </c>
      <c r="F174">
        <v>-500</v>
      </c>
      <c r="G174">
        <v>1</v>
      </c>
      <c r="H174">
        <v>0</v>
      </c>
      <c r="I174">
        <v>0</v>
      </c>
      <c r="J174">
        <v>19.293299999999999</v>
      </c>
      <c r="K174" s="2">
        <v>-9646.66</v>
      </c>
    </row>
    <row r="175" spans="1:11" hidden="1" outlineLevel="2" x14ac:dyDescent="0.3">
      <c r="A175" t="s">
        <v>36</v>
      </c>
      <c r="B175" t="s">
        <v>125</v>
      </c>
      <c r="C175" t="s">
        <v>38</v>
      </c>
      <c r="D175" s="4">
        <v>42739</v>
      </c>
      <c r="E175" t="s">
        <v>46</v>
      </c>
      <c r="F175">
        <v>500</v>
      </c>
      <c r="G175">
        <v>1</v>
      </c>
      <c r="H175">
        <v>0</v>
      </c>
      <c r="I175">
        <v>0</v>
      </c>
      <c r="J175">
        <v>19.293299999999999</v>
      </c>
      <c r="K175" s="2">
        <v>9646.66</v>
      </c>
    </row>
    <row r="176" spans="1:11" hidden="1" outlineLevel="2" x14ac:dyDescent="0.3">
      <c r="A176" t="s">
        <v>36</v>
      </c>
      <c r="B176" t="s">
        <v>126</v>
      </c>
      <c r="C176" t="s">
        <v>38</v>
      </c>
      <c r="D176" s="4">
        <v>42739</v>
      </c>
      <c r="E176" t="s">
        <v>39</v>
      </c>
      <c r="F176">
        <v>-8500</v>
      </c>
      <c r="G176">
        <v>1</v>
      </c>
      <c r="H176">
        <v>0</v>
      </c>
      <c r="I176">
        <v>0</v>
      </c>
      <c r="J176">
        <v>18.399999999999999</v>
      </c>
      <c r="K176" s="2">
        <v>-156400</v>
      </c>
    </row>
    <row r="177" spans="1:11" hidden="1" outlineLevel="2" x14ac:dyDescent="0.3">
      <c r="A177" t="s">
        <v>36</v>
      </c>
      <c r="B177" t="s">
        <v>126</v>
      </c>
      <c r="C177" t="s">
        <v>38</v>
      </c>
      <c r="D177" s="4">
        <v>42739</v>
      </c>
      <c r="E177" t="s">
        <v>46</v>
      </c>
      <c r="F177">
        <v>8500</v>
      </c>
      <c r="G177">
        <v>1</v>
      </c>
      <c r="H177">
        <v>0</v>
      </c>
      <c r="I177">
        <v>0</v>
      </c>
      <c r="J177">
        <v>18.399999999999999</v>
      </c>
      <c r="K177" s="2">
        <v>156400</v>
      </c>
    </row>
    <row r="178" spans="1:11" hidden="1" outlineLevel="2" x14ac:dyDescent="0.3">
      <c r="A178" t="s">
        <v>36</v>
      </c>
      <c r="B178" t="s">
        <v>128</v>
      </c>
      <c r="C178" t="s">
        <v>38</v>
      </c>
      <c r="D178" s="4">
        <v>42739</v>
      </c>
      <c r="E178" t="s">
        <v>39</v>
      </c>
      <c r="F178">
        <v>-60</v>
      </c>
      <c r="G178">
        <v>100</v>
      </c>
      <c r="H178">
        <v>0</v>
      </c>
      <c r="I178">
        <v>0</v>
      </c>
      <c r="J178">
        <v>1846.2001</v>
      </c>
      <c r="K178" s="2">
        <v>-110772.01</v>
      </c>
    </row>
    <row r="179" spans="1:11" hidden="1" outlineLevel="2" x14ac:dyDescent="0.3">
      <c r="A179" t="s">
        <v>36</v>
      </c>
      <c r="B179" t="s">
        <v>128</v>
      </c>
      <c r="C179" t="s">
        <v>38</v>
      </c>
      <c r="D179" s="4">
        <v>42739</v>
      </c>
      <c r="E179" t="s">
        <v>46</v>
      </c>
      <c r="F179">
        <v>60</v>
      </c>
      <c r="G179">
        <v>100</v>
      </c>
      <c r="H179">
        <v>0</v>
      </c>
      <c r="I179">
        <v>0</v>
      </c>
      <c r="J179">
        <v>1846.2001</v>
      </c>
      <c r="K179" s="2">
        <v>110772.01</v>
      </c>
    </row>
    <row r="180" spans="1:11" hidden="1" outlineLevel="2" x14ac:dyDescent="0.3">
      <c r="A180" t="s">
        <v>36</v>
      </c>
      <c r="B180" t="s">
        <v>136</v>
      </c>
      <c r="C180" t="s">
        <v>38</v>
      </c>
      <c r="D180" s="4">
        <v>42739</v>
      </c>
      <c r="E180" t="s">
        <v>39</v>
      </c>
      <c r="F180">
        <v>-1000</v>
      </c>
      <c r="G180">
        <v>1</v>
      </c>
      <c r="H180">
        <v>0</v>
      </c>
      <c r="I180">
        <v>0</v>
      </c>
      <c r="J180">
        <v>17.8353</v>
      </c>
      <c r="K180" s="2">
        <v>-17835.3</v>
      </c>
    </row>
    <row r="181" spans="1:11" hidden="1" outlineLevel="2" x14ac:dyDescent="0.3">
      <c r="A181" t="s">
        <v>36</v>
      </c>
      <c r="B181" t="s">
        <v>136</v>
      </c>
      <c r="C181" t="s">
        <v>38</v>
      </c>
      <c r="D181" s="4">
        <v>42739</v>
      </c>
      <c r="E181" t="s">
        <v>46</v>
      </c>
      <c r="F181">
        <v>1000</v>
      </c>
      <c r="G181">
        <v>1</v>
      </c>
      <c r="H181">
        <v>0</v>
      </c>
      <c r="I181">
        <v>0</v>
      </c>
      <c r="J181">
        <v>17.8353</v>
      </c>
      <c r="K181" s="2">
        <v>17835.3</v>
      </c>
    </row>
    <row r="182" spans="1:11" hidden="1" outlineLevel="2" x14ac:dyDescent="0.3">
      <c r="A182" t="s">
        <v>36</v>
      </c>
      <c r="B182" t="s">
        <v>142</v>
      </c>
      <c r="C182" t="s">
        <v>38</v>
      </c>
      <c r="D182" s="4">
        <v>42739</v>
      </c>
      <c r="E182" t="s">
        <v>39</v>
      </c>
      <c r="F182">
        <v>-60</v>
      </c>
      <c r="G182">
        <v>0.5</v>
      </c>
      <c r="H182">
        <v>0</v>
      </c>
      <c r="I182">
        <v>0</v>
      </c>
      <c r="J182">
        <v>12.56</v>
      </c>
      <c r="K182" s="2">
        <v>-753.6</v>
      </c>
    </row>
    <row r="183" spans="1:11" hidden="1" outlineLevel="2" x14ac:dyDescent="0.3">
      <c r="A183" t="s">
        <v>36</v>
      </c>
      <c r="B183" t="s">
        <v>142</v>
      </c>
      <c r="C183" t="s">
        <v>38</v>
      </c>
      <c r="D183" s="4">
        <v>42739</v>
      </c>
      <c r="E183" t="s">
        <v>46</v>
      </c>
      <c r="F183">
        <v>60</v>
      </c>
      <c r="G183">
        <v>0.5</v>
      </c>
      <c r="H183">
        <v>0</v>
      </c>
      <c r="I183">
        <v>0</v>
      </c>
      <c r="J183">
        <v>12.56</v>
      </c>
      <c r="K183" s="2">
        <v>753.6</v>
      </c>
    </row>
    <row r="184" spans="1:11" hidden="1" outlineLevel="2" x14ac:dyDescent="0.3">
      <c r="A184" t="s">
        <v>36</v>
      </c>
      <c r="B184" t="s">
        <v>157</v>
      </c>
      <c r="C184" t="s">
        <v>38</v>
      </c>
      <c r="D184" s="4">
        <v>42739</v>
      </c>
      <c r="E184" t="s">
        <v>39</v>
      </c>
      <c r="F184">
        <v>-300</v>
      </c>
      <c r="G184">
        <v>0.96450000000000002</v>
      </c>
      <c r="H184">
        <v>0</v>
      </c>
      <c r="I184">
        <v>0</v>
      </c>
      <c r="J184">
        <v>22.867999999999999</v>
      </c>
      <c r="K184" s="2">
        <v>-6860.4</v>
      </c>
    </row>
    <row r="185" spans="1:11" hidden="1" outlineLevel="2" x14ac:dyDescent="0.3">
      <c r="A185" t="s">
        <v>36</v>
      </c>
      <c r="B185" t="s">
        <v>157</v>
      </c>
      <c r="C185" t="s">
        <v>38</v>
      </c>
      <c r="D185" s="4">
        <v>42739</v>
      </c>
      <c r="E185" t="s">
        <v>46</v>
      </c>
      <c r="F185">
        <v>300</v>
      </c>
      <c r="G185">
        <v>0.96450000000000002</v>
      </c>
      <c r="H185">
        <v>0</v>
      </c>
      <c r="I185">
        <v>0</v>
      </c>
      <c r="J185">
        <v>22.867999999999999</v>
      </c>
      <c r="K185" s="2">
        <v>6860.4</v>
      </c>
    </row>
    <row r="186" spans="1:11" hidden="1" outlineLevel="2" x14ac:dyDescent="0.3">
      <c r="A186" t="s">
        <v>36</v>
      </c>
      <c r="B186" t="s">
        <v>37</v>
      </c>
      <c r="C186" t="s">
        <v>38</v>
      </c>
      <c r="D186" s="4">
        <v>42740</v>
      </c>
      <c r="E186" t="s">
        <v>39</v>
      </c>
      <c r="F186">
        <v>-2000</v>
      </c>
      <c r="G186">
        <v>1</v>
      </c>
      <c r="H186">
        <v>0</v>
      </c>
      <c r="I186">
        <v>0</v>
      </c>
      <c r="J186">
        <v>17.220500000000001</v>
      </c>
      <c r="K186" s="2">
        <v>-34440.949999999997</v>
      </c>
    </row>
    <row r="187" spans="1:11" hidden="1" outlineLevel="2" x14ac:dyDescent="0.3">
      <c r="A187" t="s">
        <v>36</v>
      </c>
      <c r="B187" t="s">
        <v>37</v>
      </c>
      <c r="C187" t="s">
        <v>38</v>
      </c>
      <c r="D187" s="4">
        <v>42740</v>
      </c>
      <c r="E187" t="s">
        <v>39</v>
      </c>
      <c r="F187">
        <v>-10000</v>
      </c>
      <c r="G187">
        <v>1</v>
      </c>
      <c r="H187">
        <v>0</v>
      </c>
      <c r="I187">
        <v>0</v>
      </c>
      <c r="J187">
        <v>17.220500000000001</v>
      </c>
      <c r="K187" s="2">
        <v>-172204.76</v>
      </c>
    </row>
    <row r="188" spans="1:11" hidden="1" outlineLevel="2" x14ac:dyDescent="0.3">
      <c r="A188" t="s">
        <v>36</v>
      </c>
      <c r="B188" t="s">
        <v>37</v>
      </c>
      <c r="C188" t="s">
        <v>38</v>
      </c>
      <c r="D188" s="4">
        <v>42740</v>
      </c>
      <c r="E188" t="s">
        <v>45</v>
      </c>
      <c r="F188">
        <v>10000</v>
      </c>
      <c r="G188">
        <v>1</v>
      </c>
      <c r="H188">
        <v>0</v>
      </c>
      <c r="I188">
        <v>0</v>
      </c>
      <c r="J188">
        <v>17.220500000000001</v>
      </c>
      <c r="K188" s="2">
        <v>172204.76</v>
      </c>
    </row>
    <row r="189" spans="1:11" hidden="1" outlineLevel="2" x14ac:dyDescent="0.3">
      <c r="A189" t="s">
        <v>36</v>
      </c>
      <c r="B189" t="s">
        <v>37</v>
      </c>
      <c r="C189" t="s">
        <v>38</v>
      </c>
      <c r="D189" s="4">
        <v>42740</v>
      </c>
      <c r="E189" t="s">
        <v>46</v>
      </c>
      <c r="F189">
        <v>2000</v>
      </c>
      <c r="G189">
        <v>1</v>
      </c>
      <c r="H189">
        <v>0</v>
      </c>
      <c r="I189">
        <v>0</v>
      </c>
      <c r="J189">
        <v>17.220500000000001</v>
      </c>
      <c r="K189" s="2">
        <v>34440.949999999997</v>
      </c>
    </row>
    <row r="190" spans="1:11" hidden="1" outlineLevel="2" x14ac:dyDescent="0.3">
      <c r="A190" t="s">
        <v>36</v>
      </c>
      <c r="B190" t="s">
        <v>72</v>
      </c>
      <c r="C190" t="s">
        <v>38</v>
      </c>
      <c r="D190" s="4">
        <v>42740</v>
      </c>
      <c r="E190" t="s">
        <v>73</v>
      </c>
      <c r="F190">
        <v>40000</v>
      </c>
      <c r="G190">
        <v>1</v>
      </c>
      <c r="H190">
        <v>0</v>
      </c>
      <c r="I190">
        <v>0</v>
      </c>
      <c r="J190">
        <v>19.895800000000001</v>
      </c>
      <c r="K190" s="2">
        <v>795833.33</v>
      </c>
    </row>
    <row r="191" spans="1:11" hidden="1" outlineLevel="2" x14ac:dyDescent="0.3">
      <c r="A191" t="s">
        <v>36</v>
      </c>
      <c r="B191" t="s">
        <v>72</v>
      </c>
      <c r="C191" t="s">
        <v>38</v>
      </c>
      <c r="D191" s="4">
        <v>42740</v>
      </c>
      <c r="E191" t="s">
        <v>75</v>
      </c>
      <c r="F191">
        <v>20000</v>
      </c>
      <c r="G191">
        <v>1</v>
      </c>
      <c r="H191">
        <v>0</v>
      </c>
      <c r="I191">
        <v>0</v>
      </c>
      <c r="J191">
        <v>19.895800000000001</v>
      </c>
      <c r="K191" s="2">
        <v>397916.67</v>
      </c>
    </row>
    <row r="192" spans="1:11" hidden="1" outlineLevel="2" x14ac:dyDescent="0.3">
      <c r="A192" t="s">
        <v>36</v>
      </c>
      <c r="B192" t="s">
        <v>72</v>
      </c>
      <c r="C192" t="s">
        <v>38</v>
      </c>
      <c r="D192" s="4">
        <v>42740</v>
      </c>
      <c r="E192" t="s">
        <v>47</v>
      </c>
      <c r="F192">
        <v>-40000</v>
      </c>
      <c r="G192">
        <v>1</v>
      </c>
      <c r="H192">
        <v>0</v>
      </c>
      <c r="I192">
        <v>0</v>
      </c>
      <c r="J192">
        <v>19.895800000000001</v>
      </c>
      <c r="K192" s="2">
        <v>-795833.33</v>
      </c>
    </row>
    <row r="193" spans="1:11" hidden="1" outlineLevel="2" x14ac:dyDescent="0.3">
      <c r="A193" t="s">
        <v>36</v>
      </c>
      <c r="B193" t="s">
        <v>72</v>
      </c>
      <c r="C193" t="s">
        <v>38</v>
      </c>
      <c r="D193" s="4">
        <v>42740</v>
      </c>
      <c r="E193" t="s">
        <v>47</v>
      </c>
      <c r="F193">
        <v>-20000</v>
      </c>
      <c r="G193">
        <v>1</v>
      </c>
      <c r="H193">
        <v>0</v>
      </c>
      <c r="I193">
        <v>0</v>
      </c>
      <c r="J193">
        <v>19.895800000000001</v>
      </c>
      <c r="K193" s="2">
        <v>-397916.67</v>
      </c>
    </row>
    <row r="194" spans="1:11" hidden="1" outlineLevel="2" x14ac:dyDescent="0.3">
      <c r="A194" t="s">
        <v>36</v>
      </c>
      <c r="B194" t="s">
        <v>77</v>
      </c>
      <c r="C194" t="s">
        <v>38</v>
      </c>
      <c r="D194" s="4">
        <v>42740</v>
      </c>
      <c r="E194" t="s">
        <v>39</v>
      </c>
      <c r="F194">
        <v>-803.75</v>
      </c>
      <c r="G194">
        <v>1</v>
      </c>
      <c r="H194">
        <v>0</v>
      </c>
      <c r="I194">
        <v>0</v>
      </c>
      <c r="J194">
        <v>18.178000000000001</v>
      </c>
      <c r="K194" s="2">
        <v>-14610.57</v>
      </c>
    </row>
    <row r="195" spans="1:11" hidden="1" outlineLevel="2" x14ac:dyDescent="0.3">
      <c r="A195" t="s">
        <v>36</v>
      </c>
      <c r="B195" t="s">
        <v>77</v>
      </c>
      <c r="C195" t="s">
        <v>38</v>
      </c>
      <c r="D195" s="4">
        <v>42740</v>
      </c>
      <c r="E195" t="s">
        <v>78</v>
      </c>
      <c r="F195">
        <v>803.75</v>
      </c>
      <c r="G195">
        <v>1</v>
      </c>
      <c r="H195">
        <v>0</v>
      </c>
      <c r="I195">
        <v>0</v>
      </c>
      <c r="J195">
        <v>18.178000000000001</v>
      </c>
      <c r="K195" s="2">
        <v>14610.57</v>
      </c>
    </row>
    <row r="196" spans="1:11" hidden="1" outlineLevel="2" x14ac:dyDescent="0.3">
      <c r="A196" t="s">
        <v>36</v>
      </c>
      <c r="B196" t="s">
        <v>77</v>
      </c>
      <c r="C196" t="s">
        <v>38</v>
      </c>
      <c r="D196" s="4">
        <v>42740</v>
      </c>
      <c r="E196" t="s">
        <v>75</v>
      </c>
      <c r="F196">
        <v>20094.2</v>
      </c>
      <c r="G196">
        <v>1</v>
      </c>
      <c r="H196">
        <v>0</v>
      </c>
      <c r="I196">
        <v>0</v>
      </c>
      <c r="J196">
        <v>17.216100000000001</v>
      </c>
      <c r="K196" s="2">
        <v>345943.29</v>
      </c>
    </row>
    <row r="197" spans="1:11" hidden="1" outlineLevel="2" x14ac:dyDescent="0.3">
      <c r="A197" t="s">
        <v>36</v>
      </c>
      <c r="B197" t="s">
        <v>77</v>
      </c>
      <c r="C197" t="s">
        <v>38</v>
      </c>
      <c r="D197" s="4">
        <v>42740</v>
      </c>
      <c r="E197" t="s">
        <v>47</v>
      </c>
      <c r="F197">
        <v>-20094.2</v>
      </c>
      <c r="G197">
        <v>1</v>
      </c>
      <c r="H197">
        <v>0</v>
      </c>
      <c r="I197">
        <v>0</v>
      </c>
      <c r="J197">
        <v>17.216100000000001</v>
      </c>
      <c r="K197" s="2">
        <v>-345943.29</v>
      </c>
    </row>
    <row r="198" spans="1:11" hidden="1" outlineLevel="2" x14ac:dyDescent="0.3">
      <c r="A198" t="s">
        <v>36</v>
      </c>
      <c r="B198" t="s">
        <v>82</v>
      </c>
      <c r="C198" t="s">
        <v>38</v>
      </c>
      <c r="D198" s="4">
        <v>42740</v>
      </c>
      <c r="E198" t="s">
        <v>73</v>
      </c>
      <c r="F198">
        <v>40096.61</v>
      </c>
      <c r="G198">
        <v>1</v>
      </c>
      <c r="H198">
        <v>0</v>
      </c>
      <c r="I198">
        <v>0</v>
      </c>
      <c r="J198">
        <v>16.0806</v>
      </c>
      <c r="K198" s="2">
        <v>644777.55000000005</v>
      </c>
    </row>
    <row r="199" spans="1:11" hidden="1" outlineLevel="2" x14ac:dyDescent="0.3">
      <c r="A199" t="s">
        <v>36</v>
      </c>
      <c r="B199" t="s">
        <v>82</v>
      </c>
      <c r="C199" t="s">
        <v>38</v>
      </c>
      <c r="D199" s="4">
        <v>42740</v>
      </c>
      <c r="E199" t="s">
        <v>75</v>
      </c>
      <c r="F199">
        <v>60522.400000000001</v>
      </c>
      <c r="G199">
        <v>1</v>
      </c>
      <c r="H199">
        <v>0</v>
      </c>
      <c r="I199">
        <v>0</v>
      </c>
      <c r="J199">
        <v>16.0806</v>
      </c>
      <c r="K199" s="2">
        <v>973236.51</v>
      </c>
    </row>
    <row r="200" spans="1:11" hidden="1" outlineLevel="2" x14ac:dyDescent="0.3">
      <c r="A200" t="s">
        <v>36</v>
      </c>
      <c r="B200" t="s">
        <v>82</v>
      </c>
      <c r="C200" t="s">
        <v>38</v>
      </c>
      <c r="D200" s="4">
        <v>42740</v>
      </c>
      <c r="E200" t="s">
        <v>47</v>
      </c>
      <c r="F200">
        <v>-40096.61</v>
      </c>
      <c r="G200">
        <v>1</v>
      </c>
      <c r="H200">
        <v>0</v>
      </c>
      <c r="I200">
        <v>0</v>
      </c>
      <c r="J200">
        <v>16.0806</v>
      </c>
      <c r="K200" s="2">
        <v>-644777.55000000005</v>
      </c>
    </row>
    <row r="201" spans="1:11" hidden="1" outlineLevel="2" x14ac:dyDescent="0.3">
      <c r="A201" t="s">
        <v>36</v>
      </c>
      <c r="B201" t="s">
        <v>82</v>
      </c>
      <c r="C201" t="s">
        <v>38</v>
      </c>
      <c r="D201" s="4">
        <v>42740</v>
      </c>
      <c r="E201" t="s">
        <v>47</v>
      </c>
      <c r="F201">
        <v>-60522.400000000001</v>
      </c>
      <c r="G201">
        <v>1</v>
      </c>
      <c r="H201">
        <v>0</v>
      </c>
      <c r="I201">
        <v>0</v>
      </c>
      <c r="J201">
        <v>16.0806</v>
      </c>
      <c r="K201" s="2">
        <v>-973236.51</v>
      </c>
    </row>
    <row r="202" spans="1:11" hidden="1" outlineLevel="2" x14ac:dyDescent="0.3">
      <c r="A202" t="s">
        <v>36</v>
      </c>
      <c r="B202" t="s">
        <v>101</v>
      </c>
      <c r="C202" t="s">
        <v>38</v>
      </c>
      <c r="D202" s="4">
        <v>42740</v>
      </c>
      <c r="E202" t="s">
        <v>39</v>
      </c>
      <c r="F202">
        <v>-3000</v>
      </c>
      <c r="G202">
        <v>1</v>
      </c>
      <c r="H202">
        <v>0</v>
      </c>
      <c r="I202">
        <v>0</v>
      </c>
      <c r="J202">
        <v>18.8429</v>
      </c>
      <c r="K202" s="2">
        <v>-56528.58</v>
      </c>
    </row>
    <row r="203" spans="1:11" hidden="1" outlineLevel="2" x14ac:dyDescent="0.3">
      <c r="A203" t="s">
        <v>36</v>
      </c>
      <c r="B203" t="s">
        <v>101</v>
      </c>
      <c r="C203" t="s">
        <v>38</v>
      </c>
      <c r="D203" s="4">
        <v>42740</v>
      </c>
      <c r="E203" t="s">
        <v>45</v>
      </c>
      <c r="F203">
        <v>3000</v>
      </c>
      <c r="G203">
        <v>1</v>
      </c>
      <c r="H203">
        <v>0</v>
      </c>
      <c r="I203">
        <v>0</v>
      </c>
      <c r="J203">
        <v>18.8429</v>
      </c>
      <c r="K203" s="2">
        <v>56528.58</v>
      </c>
    </row>
    <row r="204" spans="1:11" hidden="1" outlineLevel="2" x14ac:dyDescent="0.3">
      <c r="A204" t="s">
        <v>36</v>
      </c>
      <c r="B204" t="s">
        <v>126</v>
      </c>
      <c r="C204" t="s">
        <v>38</v>
      </c>
      <c r="D204" s="4">
        <v>42740</v>
      </c>
      <c r="E204" t="s">
        <v>39</v>
      </c>
      <c r="F204">
        <v>20000</v>
      </c>
      <c r="G204">
        <v>1</v>
      </c>
      <c r="H204">
        <v>0</v>
      </c>
      <c r="I204">
        <v>0</v>
      </c>
      <c r="J204">
        <v>18.399999999999999</v>
      </c>
      <c r="K204" s="2">
        <v>368000</v>
      </c>
    </row>
    <row r="205" spans="1:11" hidden="1" outlineLevel="2" x14ac:dyDescent="0.3">
      <c r="A205" t="s">
        <v>36</v>
      </c>
      <c r="B205" t="s">
        <v>126</v>
      </c>
      <c r="C205" t="s">
        <v>38</v>
      </c>
      <c r="D205" s="4">
        <v>42740</v>
      </c>
      <c r="E205" t="s">
        <v>39</v>
      </c>
      <c r="F205">
        <v>-10000</v>
      </c>
      <c r="G205">
        <v>1</v>
      </c>
      <c r="H205">
        <v>0</v>
      </c>
      <c r="I205">
        <v>0</v>
      </c>
      <c r="J205">
        <v>18.399999999999999</v>
      </c>
      <c r="K205" s="2">
        <v>-184000</v>
      </c>
    </row>
    <row r="206" spans="1:11" hidden="1" outlineLevel="2" x14ac:dyDescent="0.3">
      <c r="A206" t="s">
        <v>36</v>
      </c>
      <c r="B206" t="s">
        <v>126</v>
      </c>
      <c r="C206" t="s">
        <v>38</v>
      </c>
      <c r="D206" s="4">
        <v>42740</v>
      </c>
      <c r="E206" t="s">
        <v>45</v>
      </c>
      <c r="F206">
        <v>10000</v>
      </c>
      <c r="G206">
        <v>1</v>
      </c>
      <c r="H206">
        <v>0</v>
      </c>
      <c r="I206">
        <v>0</v>
      </c>
      <c r="J206">
        <v>18.399999999999999</v>
      </c>
      <c r="K206" s="2">
        <v>184000</v>
      </c>
    </row>
    <row r="207" spans="1:11" hidden="1" outlineLevel="2" x14ac:dyDescent="0.3">
      <c r="A207" t="s">
        <v>36</v>
      </c>
      <c r="B207" t="s">
        <v>126</v>
      </c>
      <c r="C207" t="s">
        <v>38</v>
      </c>
      <c r="D207" s="4">
        <v>42740</v>
      </c>
      <c r="E207" t="s">
        <v>76</v>
      </c>
      <c r="F207">
        <v>-20000</v>
      </c>
      <c r="G207">
        <v>1</v>
      </c>
      <c r="H207">
        <v>0</v>
      </c>
      <c r="I207">
        <v>0</v>
      </c>
      <c r="J207">
        <v>18.399999999999999</v>
      </c>
      <c r="K207" s="2">
        <v>-368000</v>
      </c>
    </row>
    <row r="208" spans="1:11" hidden="1" outlineLevel="2" x14ac:dyDescent="0.3">
      <c r="A208" t="s">
        <v>36</v>
      </c>
      <c r="B208" t="s">
        <v>136</v>
      </c>
      <c r="C208" t="s">
        <v>38</v>
      </c>
      <c r="D208" s="4">
        <v>42740</v>
      </c>
      <c r="E208" t="s">
        <v>39</v>
      </c>
      <c r="F208">
        <v>-15000</v>
      </c>
      <c r="G208">
        <v>1</v>
      </c>
      <c r="H208">
        <v>0</v>
      </c>
      <c r="I208">
        <v>0</v>
      </c>
      <c r="J208">
        <v>17.864799999999999</v>
      </c>
      <c r="K208" s="2">
        <v>-267972.09000000003</v>
      </c>
    </row>
    <row r="209" spans="1:11" hidden="1" outlineLevel="2" x14ac:dyDescent="0.3">
      <c r="A209" t="s">
        <v>36</v>
      </c>
      <c r="B209" t="s">
        <v>136</v>
      </c>
      <c r="C209" t="s">
        <v>38</v>
      </c>
      <c r="D209" s="4">
        <v>42740</v>
      </c>
      <c r="E209" t="s">
        <v>137</v>
      </c>
      <c r="F209">
        <v>15000</v>
      </c>
      <c r="G209">
        <v>1</v>
      </c>
      <c r="H209">
        <v>0</v>
      </c>
      <c r="I209">
        <v>0</v>
      </c>
      <c r="J209">
        <v>17.864799999999999</v>
      </c>
      <c r="K209" s="2">
        <v>267972.09000000003</v>
      </c>
    </row>
    <row r="210" spans="1:11" hidden="1" outlineLevel="2" x14ac:dyDescent="0.3">
      <c r="A210" t="s">
        <v>36</v>
      </c>
      <c r="B210" t="s">
        <v>164</v>
      </c>
      <c r="C210" t="s">
        <v>38</v>
      </c>
      <c r="D210" s="4">
        <v>42740</v>
      </c>
      <c r="E210" t="s">
        <v>39</v>
      </c>
      <c r="F210">
        <v>-20</v>
      </c>
      <c r="G210">
        <v>32.151000000000003</v>
      </c>
      <c r="H210">
        <v>0</v>
      </c>
      <c r="I210">
        <v>0</v>
      </c>
      <c r="J210">
        <v>531.06629999999996</v>
      </c>
      <c r="K210" s="2">
        <v>-10621.33</v>
      </c>
    </row>
    <row r="211" spans="1:11" hidden="1" outlineLevel="2" x14ac:dyDescent="0.3">
      <c r="A211" t="s">
        <v>36</v>
      </c>
      <c r="B211" t="s">
        <v>164</v>
      </c>
      <c r="C211" t="s">
        <v>38</v>
      </c>
      <c r="D211" s="4">
        <v>42740</v>
      </c>
      <c r="E211" t="s">
        <v>45</v>
      </c>
      <c r="F211">
        <v>20</v>
      </c>
      <c r="G211">
        <v>32.151000000000003</v>
      </c>
      <c r="H211">
        <v>0</v>
      </c>
      <c r="I211">
        <v>0</v>
      </c>
      <c r="J211">
        <v>531.06629999999996</v>
      </c>
      <c r="K211" s="2">
        <v>10621.33</v>
      </c>
    </row>
    <row r="212" spans="1:11" hidden="1" outlineLevel="2" x14ac:dyDescent="0.3">
      <c r="A212" t="s">
        <v>36</v>
      </c>
      <c r="B212" t="s">
        <v>126</v>
      </c>
      <c r="C212" t="s">
        <v>38</v>
      </c>
      <c r="D212" s="4">
        <v>42741</v>
      </c>
      <c r="E212" t="s">
        <v>39</v>
      </c>
      <c r="F212">
        <v>20000</v>
      </c>
      <c r="G212">
        <v>1</v>
      </c>
      <c r="H212">
        <v>0</v>
      </c>
      <c r="I212">
        <v>0</v>
      </c>
      <c r="J212">
        <v>18.399999999999999</v>
      </c>
      <c r="K212" s="2">
        <v>368000</v>
      </c>
    </row>
    <row r="213" spans="1:11" hidden="1" outlineLevel="2" x14ac:dyDescent="0.3">
      <c r="A213" t="s">
        <v>36</v>
      </c>
      <c r="B213" t="s">
        <v>126</v>
      </c>
      <c r="C213" t="s">
        <v>38</v>
      </c>
      <c r="D213" s="4">
        <v>42741</v>
      </c>
      <c r="E213" t="s">
        <v>76</v>
      </c>
      <c r="F213">
        <v>-20000</v>
      </c>
      <c r="G213">
        <v>1</v>
      </c>
      <c r="H213">
        <v>0</v>
      </c>
      <c r="I213">
        <v>0</v>
      </c>
      <c r="J213">
        <v>18.399999999999999</v>
      </c>
      <c r="K213" s="2">
        <v>-368000</v>
      </c>
    </row>
    <row r="214" spans="1:11" hidden="1" outlineLevel="2" x14ac:dyDescent="0.3">
      <c r="A214" t="s">
        <v>36</v>
      </c>
      <c r="B214" t="s">
        <v>154</v>
      </c>
      <c r="C214" t="s">
        <v>38</v>
      </c>
      <c r="D214" s="4">
        <v>42741</v>
      </c>
      <c r="E214" t="s">
        <v>39</v>
      </c>
      <c r="F214">
        <v>-5400</v>
      </c>
      <c r="G214">
        <v>0.96450000000000002</v>
      </c>
      <c r="H214">
        <v>0</v>
      </c>
      <c r="I214">
        <v>0</v>
      </c>
      <c r="J214">
        <v>21.880299999999998</v>
      </c>
      <c r="K214" s="2">
        <v>-118153.76</v>
      </c>
    </row>
    <row r="215" spans="1:11" hidden="1" outlineLevel="2" x14ac:dyDescent="0.3">
      <c r="A215" t="s">
        <v>36</v>
      </c>
      <c r="B215" t="s">
        <v>154</v>
      </c>
      <c r="C215" t="s">
        <v>38</v>
      </c>
      <c r="D215" s="4">
        <v>42741</v>
      </c>
      <c r="E215" t="s">
        <v>39</v>
      </c>
      <c r="F215">
        <v>-5400</v>
      </c>
      <c r="G215">
        <v>0.96450000000000002</v>
      </c>
      <c r="H215">
        <v>0</v>
      </c>
      <c r="I215">
        <v>0</v>
      </c>
      <c r="J215">
        <v>21.880299999999998</v>
      </c>
      <c r="K215" s="2">
        <v>-118153.76</v>
      </c>
    </row>
    <row r="216" spans="1:11" hidden="1" outlineLevel="2" x14ac:dyDescent="0.3">
      <c r="A216" t="s">
        <v>36</v>
      </c>
      <c r="B216" t="s">
        <v>154</v>
      </c>
      <c r="C216" t="s">
        <v>38</v>
      </c>
      <c r="D216" s="4">
        <v>42741</v>
      </c>
      <c r="E216" t="s">
        <v>155</v>
      </c>
      <c r="F216">
        <v>5400</v>
      </c>
      <c r="G216">
        <v>0.96450000000000002</v>
      </c>
      <c r="H216">
        <v>0</v>
      </c>
      <c r="I216">
        <v>0</v>
      </c>
      <c r="J216">
        <v>21.880299999999998</v>
      </c>
      <c r="K216" s="2">
        <v>118153.76</v>
      </c>
    </row>
    <row r="217" spans="1:11" hidden="1" outlineLevel="2" x14ac:dyDescent="0.3">
      <c r="A217" t="s">
        <v>36</v>
      </c>
      <c r="B217" t="s">
        <v>154</v>
      </c>
      <c r="C217" t="s">
        <v>38</v>
      </c>
      <c r="D217" s="4">
        <v>42741</v>
      </c>
      <c r="E217" t="s">
        <v>156</v>
      </c>
      <c r="F217">
        <v>5400</v>
      </c>
      <c r="G217">
        <v>0.96450000000000002</v>
      </c>
      <c r="H217">
        <v>0</v>
      </c>
      <c r="I217">
        <v>0</v>
      </c>
      <c r="J217">
        <v>21.880299999999998</v>
      </c>
      <c r="K217" s="2">
        <v>118153.76</v>
      </c>
    </row>
    <row r="218" spans="1:11" hidden="1" outlineLevel="2" x14ac:dyDescent="0.3">
      <c r="A218" t="s">
        <v>36</v>
      </c>
      <c r="B218" t="s">
        <v>37</v>
      </c>
      <c r="C218" t="s">
        <v>38</v>
      </c>
      <c r="D218" s="4">
        <v>42744</v>
      </c>
      <c r="E218" t="s">
        <v>39</v>
      </c>
      <c r="F218">
        <v>-1000</v>
      </c>
      <c r="G218">
        <v>1</v>
      </c>
      <c r="H218">
        <v>0</v>
      </c>
      <c r="I218">
        <v>0</v>
      </c>
      <c r="J218">
        <v>17.220500000000001</v>
      </c>
      <c r="K218" s="2">
        <v>-17220.48</v>
      </c>
    </row>
    <row r="219" spans="1:11" hidden="1" outlineLevel="2" x14ac:dyDescent="0.3">
      <c r="A219" t="s">
        <v>36</v>
      </c>
      <c r="B219" t="s">
        <v>37</v>
      </c>
      <c r="C219" t="s">
        <v>38</v>
      </c>
      <c r="D219" s="4">
        <v>42744</v>
      </c>
      <c r="E219" t="s">
        <v>42</v>
      </c>
      <c r="F219">
        <v>1000</v>
      </c>
      <c r="G219">
        <v>1</v>
      </c>
      <c r="H219">
        <v>0</v>
      </c>
      <c r="I219">
        <v>0</v>
      </c>
      <c r="J219">
        <v>17.220500000000001</v>
      </c>
      <c r="K219" s="2">
        <v>17220.48</v>
      </c>
    </row>
    <row r="220" spans="1:11" hidden="1" outlineLevel="2" x14ac:dyDescent="0.3">
      <c r="A220" t="s">
        <v>36</v>
      </c>
      <c r="B220" t="s">
        <v>79</v>
      </c>
      <c r="C220" t="s">
        <v>38</v>
      </c>
      <c r="D220" s="4">
        <v>42744</v>
      </c>
      <c r="E220" t="s">
        <v>39</v>
      </c>
      <c r="F220">
        <v>1</v>
      </c>
      <c r="G220">
        <v>1</v>
      </c>
      <c r="H220">
        <v>0</v>
      </c>
      <c r="I220">
        <v>0</v>
      </c>
      <c r="J220">
        <v>201.75</v>
      </c>
      <c r="K220" s="2">
        <v>201.75</v>
      </c>
    </row>
    <row r="221" spans="1:11" hidden="1" outlineLevel="2" x14ac:dyDescent="0.3">
      <c r="A221" t="s">
        <v>36</v>
      </c>
      <c r="B221" t="s">
        <v>79</v>
      </c>
      <c r="C221" t="s">
        <v>38</v>
      </c>
      <c r="D221" s="4">
        <v>42744</v>
      </c>
      <c r="E221" t="s">
        <v>81</v>
      </c>
      <c r="F221">
        <v>-1</v>
      </c>
      <c r="G221">
        <v>1</v>
      </c>
      <c r="H221">
        <v>0</v>
      </c>
      <c r="I221">
        <v>0</v>
      </c>
      <c r="J221">
        <v>201.75</v>
      </c>
      <c r="K221" s="2">
        <v>-201.75</v>
      </c>
    </row>
    <row r="222" spans="1:11" hidden="1" outlineLevel="2" x14ac:dyDescent="0.3">
      <c r="A222" t="s">
        <v>36</v>
      </c>
      <c r="B222" t="s">
        <v>82</v>
      </c>
      <c r="C222" t="s">
        <v>38</v>
      </c>
      <c r="D222" s="4">
        <v>42744</v>
      </c>
      <c r="E222" t="s">
        <v>73</v>
      </c>
      <c r="F222">
        <v>-20000</v>
      </c>
      <c r="G222">
        <v>1</v>
      </c>
      <c r="H222">
        <v>0</v>
      </c>
      <c r="I222">
        <v>0</v>
      </c>
      <c r="J222">
        <v>16.0806</v>
      </c>
      <c r="K222" s="2">
        <v>-321612</v>
      </c>
    </row>
    <row r="223" spans="1:11" hidden="1" outlineLevel="2" x14ac:dyDescent="0.3">
      <c r="A223" t="s">
        <v>36</v>
      </c>
      <c r="B223" t="s">
        <v>82</v>
      </c>
      <c r="C223" t="s">
        <v>38</v>
      </c>
      <c r="D223" s="4">
        <v>42744</v>
      </c>
      <c r="E223" t="s">
        <v>73</v>
      </c>
      <c r="F223">
        <v>-110.13</v>
      </c>
      <c r="G223">
        <v>1</v>
      </c>
      <c r="H223">
        <v>0</v>
      </c>
      <c r="I223">
        <v>0</v>
      </c>
      <c r="J223">
        <v>16.0806</v>
      </c>
      <c r="K223" s="2">
        <v>-1770.96</v>
      </c>
    </row>
    <row r="224" spans="1:11" hidden="1" outlineLevel="2" x14ac:dyDescent="0.3">
      <c r="A224" t="s">
        <v>36</v>
      </c>
      <c r="B224" t="s">
        <v>82</v>
      </c>
      <c r="C224" t="s">
        <v>38</v>
      </c>
      <c r="D224" s="4">
        <v>42744</v>
      </c>
      <c r="E224" t="s">
        <v>74</v>
      </c>
      <c r="F224">
        <v>110.13</v>
      </c>
      <c r="G224">
        <v>1</v>
      </c>
      <c r="H224">
        <v>0</v>
      </c>
      <c r="I224">
        <v>0</v>
      </c>
      <c r="J224">
        <v>16.0806</v>
      </c>
      <c r="K224" s="2">
        <v>1770.96</v>
      </c>
    </row>
    <row r="225" spans="1:11" hidden="1" outlineLevel="2" x14ac:dyDescent="0.3">
      <c r="A225" t="s">
        <v>36</v>
      </c>
      <c r="B225" t="s">
        <v>82</v>
      </c>
      <c r="C225" t="s">
        <v>38</v>
      </c>
      <c r="D225" s="4">
        <v>42744</v>
      </c>
      <c r="E225" t="s">
        <v>51</v>
      </c>
      <c r="F225">
        <v>20000</v>
      </c>
      <c r="G225">
        <v>1</v>
      </c>
      <c r="H225">
        <v>0</v>
      </c>
      <c r="I225">
        <v>0</v>
      </c>
      <c r="J225">
        <v>16.0806</v>
      </c>
      <c r="K225" s="2">
        <v>321612</v>
      </c>
    </row>
    <row r="226" spans="1:11" hidden="1" outlineLevel="2" x14ac:dyDescent="0.3">
      <c r="A226" t="s">
        <v>36</v>
      </c>
      <c r="B226" t="s">
        <v>82</v>
      </c>
      <c r="C226" t="s">
        <v>38</v>
      </c>
      <c r="D226" s="4">
        <v>42744</v>
      </c>
      <c r="E226" t="s">
        <v>84</v>
      </c>
      <c r="F226">
        <v>605474.72</v>
      </c>
      <c r="G226">
        <v>1</v>
      </c>
      <c r="H226">
        <v>0</v>
      </c>
      <c r="I226">
        <v>0</v>
      </c>
      <c r="J226">
        <v>16.480599999999999</v>
      </c>
      <c r="K226" s="2">
        <v>9978580.1699999999</v>
      </c>
    </row>
    <row r="227" spans="1:11" hidden="1" outlineLevel="2" x14ac:dyDescent="0.3">
      <c r="A227" t="s">
        <v>36</v>
      </c>
      <c r="B227" t="s">
        <v>82</v>
      </c>
      <c r="C227" t="s">
        <v>38</v>
      </c>
      <c r="D227" s="4">
        <v>42744</v>
      </c>
      <c r="E227" t="s">
        <v>47</v>
      </c>
      <c r="F227">
        <v>-605474.72</v>
      </c>
      <c r="G227">
        <v>1</v>
      </c>
      <c r="H227">
        <v>0</v>
      </c>
      <c r="I227">
        <v>0</v>
      </c>
      <c r="J227">
        <v>16.480599999999999</v>
      </c>
      <c r="K227" s="2">
        <v>-9978580.1699999999</v>
      </c>
    </row>
    <row r="228" spans="1:11" hidden="1" outlineLevel="2" x14ac:dyDescent="0.3">
      <c r="A228" t="s">
        <v>36</v>
      </c>
      <c r="B228" t="s">
        <v>86</v>
      </c>
      <c r="C228" t="s">
        <v>38</v>
      </c>
      <c r="D228" s="4">
        <v>42744</v>
      </c>
      <c r="E228" t="s">
        <v>84</v>
      </c>
      <c r="F228">
        <v>14581.5</v>
      </c>
      <c r="G228">
        <v>1</v>
      </c>
      <c r="H228">
        <v>0</v>
      </c>
      <c r="I228">
        <v>0</v>
      </c>
      <c r="J228">
        <v>16.065000000000001</v>
      </c>
      <c r="K228" s="2">
        <v>234251.9</v>
      </c>
    </row>
    <row r="229" spans="1:11" hidden="1" outlineLevel="2" x14ac:dyDescent="0.3">
      <c r="A229" t="s">
        <v>36</v>
      </c>
      <c r="B229" t="s">
        <v>86</v>
      </c>
      <c r="C229" t="s">
        <v>38</v>
      </c>
      <c r="D229" s="4">
        <v>42744</v>
      </c>
      <c r="E229" t="s">
        <v>47</v>
      </c>
      <c r="F229">
        <v>-14581.5</v>
      </c>
      <c r="G229">
        <v>1</v>
      </c>
      <c r="H229">
        <v>0</v>
      </c>
      <c r="I229">
        <v>0</v>
      </c>
      <c r="J229">
        <v>16.065000000000001</v>
      </c>
      <c r="K229" s="2">
        <v>-234251.9</v>
      </c>
    </row>
    <row r="230" spans="1:11" hidden="1" outlineLevel="2" x14ac:dyDescent="0.3">
      <c r="A230" t="s">
        <v>36</v>
      </c>
      <c r="B230" t="s">
        <v>126</v>
      </c>
      <c r="C230" t="s">
        <v>38</v>
      </c>
      <c r="D230" s="4">
        <v>42744</v>
      </c>
      <c r="E230" t="s">
        <v>39</v>
      </c>
      <c r="F230">
        <v>-20000</v>
      </c>
      <c r="G230">
        <v>1</v>
      </c>
      <c r="H230">
        <v>0</v>
      </c>
      <c r="I230">
        <v>0</v>
      </c>
      <c r="J230">
        <v>18.399999999999999</v>
      </c>
      <c r="K230" s="2">
        <v>-368000</v>
      </c>
    </row>
    <row r="231" spans="1:11" hidden="1" outlineLevel="2" x14ac:dyDescent="0.3">
      <c r="A231" t="s">
        <v>36</v>
      </c>
      <c r="B231" t="s">
        <v>126</v>
      </c>
      <c r="C231" t="s">
        <v>38</v>
      </c>
      <c r="D231" s="4">
        <v>42744</v>
      </c>
      <c r="E231" t="s">
        <v>42</v>
      </c>
      <c r="F231">
        <v>20000</v>
      </c>
      <c r="G231">
        <v>1</v>
      </c>
      <c r="H231">
        <v>0</v>
      </c>
      <c r="I231">
        <v>0</v>
      </c>
      <c r="J231">
        <v>18.399999999999999</v>
      </c>
      <c r="K231" s="2">
        <v>368000</v>
      </c>
    </row>
    <row r="232" spans="1:11" hidden="1" outlineLevel="2" x14ac:dyDescent="0.3">
      <c r="A232" t="s">
        <v>36</v>
      </c>
      <c r="B232" t="s">
        <v>136</v>
      </c>
      <c r="C232" t="s">
        <v>38</v>
      </c>
      <c r="D232" s="4">
        <v>42744</v>
      </c>
      <c r="E232" t="s">
        <v>39</v>
      </c>
      <c r="F232">
        <v>-30000</v>
      </c>
      <c r="G232">
        <v>1</v>
      </c>
      <c r="H232">
        <v>0</v>
      </c>
      <c r="I232">
        <v>0</v>
      </c>
      <c r="J232">
        <v>17.864799999999999</v>
      </c>
      <c r="K232" s="2">
        <v>-535944.18999999994</v>
      </c>
    </row>
    <row r="233" spans="1:11" hidden="1" outlineLevel="2" x14ac:dyDescent="0.3">
      <c r="A233" t="s">
        <v>36</v>
      </c>
      <c r="B233" t="s">
        <v>136</v>
      </c>
      <c r="C233" t="s">
        <v>38</v>
      </c>
      <c r="D233" s="4">
        <v>42744</v>
      </c>
      <c r="E233" t="s">
        <v>42</v>
      </c>
      <c r="F233">
        <v>30000</v>
      </c>
      <c r="G233">
        <v>1</v>
      </c>
      <c r="H233">
        <v>0</v>
      </c>
      <c r="I233">
        <v>0</v>
      </c>
      <c r="J233">
        <v>17.864799999999999</v>
      </c>
      <c r="K233" s="2">
        <v>535944.18999999994</v>
      </c>
    </row>
    <row r="234" spans="1:11" hidden="1" outlineLevel="2" x14ac:dyDescent="0.3">
      <c r="A234" t="s">
        <v>36</v>
      </c>
      <c r="B234" t="s">
        <v>138</v>
      </c>
      <c r="C234" t="s">
        <v>38</v>
      </c>
      <c r="D234" s="4">
        <v>42744</v>
      </c>
      <c r="E234" t="s">
        <v>39</v>
      </c>
      <c r="F234">
        <v>-30000</v>
      </c>
      <c r="G234">
        <v>1</v>
      </c>
      <c r="H234">
        <v>0</v>
      </c>
      <c r="I234">
        <v>0</v>
      </c>
      <c r="J234">
        <v>19.145199999999999</v>
      </c>
      <c r="K234" s="2">
        <v>-574354.5</v>
      </c>
    </row>
    <row r="235" spans="1:11" hidden="1" outlineLevel="2" x14ac:dyDescent="0.3">
      <c r="A235" t="s">
        <v>36</v>
      </c>
      <c r="B235" t="s">
        <v>138</v>
      </c>
      <c r="C235" t="s">
        <v>38</v>
      </c>
      <c r="D235" s="4">
        <v>42744</v>
      </c>
      <c r="E235" t="s">
        <v>42</v>
      </c>
      <c r="F235">
        <v>30000</v>
      </c>
      <c r="G235">
        <v>1</v>
      </c>
      <c r="H235">
        <v>0</v>
      </c>
      <c r="I235">
        <v>0</v>
      </c>
      <c r="J235">
        <v>19.145199999999999</v>
      </c>
      <c r="K235" s="2">
        <v>574354.5</v>
      </c>
    </row>
    <row r="236" spans="1:11" hidden="1" outlineLevel="2" x14ac:dyDescent="0.3">
      <c r="A236" t="s">
        <v>36</v>
      </c>
      <c r="B236" t="s">
        <v>142</v>
      </c>
      <c r="C236" t="s">
        <v>38</v>
      </c>
      <c r="D236" s="4">
        <v>42744</v>
      </c>
      <c r="E236" t="s">
        <v>39</v>
      </c>
      <c r="F236">
        <v>-300</v>
      </c>
      <c r="G236">
        <v>0.5</v>
      </c>
      <c r="H236">
        <v>0</v>
      </c>
      <c r="I236">
        <v>0</v>
      </c>
      <c r="J236">
        <v>12.56</v>
      </c>
      <c r="K236" s="2">
        <v>-3768</v>
      </c>
    </row>
    <row r="237" spans="1:11" hidden="1" outlineLevel="2" x14ac:dyDescent="0.3">
      <c r="A237" t="s">
        <v>36</v>
      </c>
      <c r="B237" t="s">
        <v>142</v>
      </c>
      <c r="C237" t="s">
        <v>38</v>
      </c>
      <c r="D237" s="4">
        <v>42744</v>
      </c>
      <c r="E237" t="s">
        <v>42</v>
      </c>
      <c r="F237">
        <v>300</v>
      </c>
      <c r="G237">
        <v>0.5</v>
      </c>
      <c r="H237">
        <v>0</v>
      </c>
      <c r="I237">
        <v>0</v>
      </c>
      <c r="J237">
        <v>12.56</v>
      </c>
      <c r="K237" s="2">
        <v>3768</v>
      </c>
    </row>
    <row r="238" spans="1:11" hidden="1" outlineLevel="2" x14ac:dyDescent="0.3">
      <c r="A238" t="s">
        <v>36</v>
      </c>
      <c r="B238" t="s">
        <v>144</v>
      </c>
      <c r="C238" t="s">
        <v>38</v>
      </c>
      <c r="D238" s="4">
        <v>42744</v>
      </c>
      <c r="E238" t="s">
        <v>39</v>
      </c>
      <c r="F238">
        <v>-100</v>
      </c>
      <c r="G238">
        <v>5</v>
      </c>
      <c r="H238">
        <v>0</v>
      </c>
      <c r="I238">
        <v>0</v>
      </c>
      <c r="J238">
        <v>119.6</v>
      </c>
      <c r="K238" s="2">
        <v>-11960</v>
      </c>
    </row>
    <row r="239" spans="1:11" hidden="1" outlineLevel="2" x14ac:dyDescent="0.3">
      <c r="A239" t="s">
        <v>36</v>
      </c>
      <c r="B239" t="s">
        <v>144</v>
      </c>
      <c r="C239" t="s">
        <v>38</v>
      </c>
      <c r="D239" s="4">
        <v>42744</v>
      </c>
      <c r="E239" t="s">
        <v>42</v>
      </c>
      <c r="F239">
        <v>100</v>
      </c>
      <c r="G239">
        <v>5</v>
      </c>
      <c r="H239">
        <v>0</v>
      </c>
      <c r="I239">
        <v>0</v>
      </c>
      <c r="J239">
        <v>119.6</v>
      </c>
      <c r="K239" s="2">
        <v>11960</v>
      </c>
    </row>
    <row r="240" spans="1:11" hidden="1" outlineLevel="2" x14ac:dyDescent="0.3">
      <c r="A240" t="s">
        <v>36</v>
      </c>
      <c r="B240" t="s">
        <v>146</v>
      </c>
      <c r="C240" t="s">
        <v>38</v>
      </c>
      <c r="D240" s="4">
        <v>42744</v>
      </c>
      <c r="E240" t="s">
        <v>39</v>
      </c>
      <c r="F240">
        <v>-200</v>
      </c>
      <c r="G240">
        <v>10</v>
      </c>
      <c r="H240">
        <v>0</v>
      </c>
      <c r="I240">
        <v>0</v>
      </c>
      <c r="J240">
        <v>216.7</v>
      </c>
      <c r="K240" s="2">
        <v>-43340</v>
      </c>
    </row>
    <row r="241" spans="1:11" hidden="1" outlineLevel="2" x14ac:dyDescent="0.3">
      <c r="A241" t="s">
        <v>36</v>
      </c>
      <c r="B241" t="s">
        <v>146</v>
      </c>
      <c r="C241" t="s">
        <v>38</v>
      </c>
      <c r="D241" s="4">
        <v>42744</v>
      </c>
      <c r="E241" t="s">
        <v>42</v>
      </c>
      <c r="F241">
        <v>200</v>
      </c>
      <c r="G241">
        <v>10</v>
      </c>
      <c r="H241">
        <v>0</v>
      </c>
      <c r="I241">
        <v>0</v>
      </c>
      <c r="J241">
        <v>216.7</v>
      </c>
      <c r="K241" s="2">
        <v>43340</v>
      </c>
    </row>
    <row r="242" spans="1:11" hidden="1" outlineLevel="2" x14ac:dyDescent="0.3">
      <c r="A242" t="s">
        <v>36</v>
      </c>
      <c r="B242" t="s">
        <v>59</v>
      </c>
      <c r="C242" t="s">
        <v>38</v>
      </c>
      <c r="D242" s="4">
        <v>42745</v>
      </c>
      <c r="E242" t="s">
        <v>39</v>
      </c>
      <c r="F242">
        <v>-50</v>
      </c>
      <c r="G242">
        <v>10</v>
      </c>
      <c r="H242">
        <v>0</v>
      </c>
      <c r="I242">
        <v>0</v>
      </c>
      <c r="J242">
        <v>157.5146</v>
      </c>
      <c r="K242" s="2">
        <v>-7875.73</v>
      </c>
    </row>
    <row r="243" spans="1:11" hidden="1" outlineLevel="2" x14ac:dyDescent="0.3">
      <c r="A243" t="s">
        <v>36</v>
      </c>
      <c r="B243" t="s">
        <v>59</v>
      </c>
      <c r="C243" t="s">
        <v>38</v>
      </c>
      <c r="D243" s="4">
        <v>42745</v>
      </c>
      <c r="E243" t="s">
        <v>43</v>
      </c>
      <c r="F243">
        <v>50</v>
      </c>
      <c r="G243">
        <v>10</v>
      </c>
      <c r="H243">
        <v>0</v>
      </c>
      <c r="I243">
        <v>0</v>
      </c>
      <c r="J243">
        <v>157.5146</v>
      </c>
      <c r="K243" s="2">
        <v>7875.73</v>
      </c>
    </row>
    <row r="244" spans="1:11" hidden="1" outlineLevel="2" x14ac:dyDescent="0.3">
      <c r="A244" t="s">
        <v>36</v>
      </c>
      <c r="B244" t="s">
        <v>82</v>
      </c>
      <c r="C244" t="s">
        <v>38</v>
      </c>
      <c r="D244" s="4">
        <v>42745</v>
      </c>
      <c r="E244" t="s">
        <v>39</v>
      </c>
      <c r="F244">
        <v>6938.73</v>
      </c>
      <c r="G244">
        <v>1</v>
      </c>
      <c r="H244">
        <v>0</v>
      </c>
      <c r="I244">
        <v>0</v>
      </c>
      <c r="J244">
        <v>16.480599999999999</v>
      </c>
      <c r="K244" s="2">
        <v>114354.36</v>
      </c>
    </row>
    <row r="245" spans="1:11" hidden="1" outlineLevel="2" x14ac:dyDescent="0.3">
      <c r="A245" t="s">
        <v>36</v>
      </c>
      <c r="B245" t="s">
        <v>82</v>
      </c>
      <c r="C245" t="s">
        <v>38</v>
      </c>
      <c r="D245" s="4">
        <v>42745</v>
      </c>
      <c r="E245" t="s">
        <v>39</v>
      </c>
      <c r="F245">
        <v>-6938.73</v>
      </c>
      <c r="G245">
        <v>1</v>
      </c>
      <c r="H245">
        <v>0</v>
      </c>
      <c r="I245">
        <v>0</v>
      </c>
      <c r="J245">
        <v>16.361000000000001</v>
      </c>
      <c r="K245" s="2">
        <v>-113524.67</v>
      </c>
    </row>
    <row r="246" spans="1:11" hidden="1" outlineLevel="2" x14ac:dyDescent="0.3">
      <c r="A246" t="s">
        <v>36</v>
      </c>
      <c r="B246" t="s">
        <v>82</v>
      </c>
      <c r="C246" t="s">
        <v>38</v>
      </c>
      <c r="D246" s="4">
        <v>42745</v>
      </c>
      <c r="E246" t="s">
        <v>83</v>
      </c>
      <c r="F246">
        <v>6938.73</v>
      </c>
      <c r="G246">
        <v>1</v>
      </c>
      <c r="H246">
        <v>0</v>
      </c>
      <c r="I246">
        <v>0</v>
      </c>
      <c r="J246">
        <v>16.361000000000001</v>
      </c>
      <c r="K246" s="2">
        <v>113524.67</v>
      </c>
    </row>
    <row r="247" spans="1:11" hidden="1" outlineLevel="2" x14ac:dyDescent="0.3">
      <c r="A247" t="s">
        <v>36</v>
      </c>
      <c r="B247" t="s">
        <v>82</v>
      </c>
      <c r="C247" t="s">
        <v>38</v>
      </c>
      <c r="D247" s="4">
        <v>42745</v>
      </c>
      <c r="E247" t="s">
        <v>47</v>
      </c>
      <c r="F247">
        <v>-6938.73</v>
      </c>
      <c r="G247">
        <v>1</v>
      </c>
      <c r="H247">
        <v>0</v>
      </c>
      <c r="I247">
        <v>0</v>
      </c>
      <c r="J247">
        <v>16.480599999999999</v>
      </c>
      <c r="K247" s="2">
        <v>-114354.36</v>
      </c>
    </row>
    <row r="248" spans="1:11" hidden="1" outlineLevel="2" x14ac:dyDescent="0.3">
      <c r="A248" t="s">
        <v>36</v>
      </c>
      <c r="B248" t="s">
        <v>95</v>
      </c>
      <c r="C248" t="s">
        <v>38</v>
      </c>
      <c r="D248" s="4">
        <v>42745</v>
      </c>
      <c r="E248" t="s">
        <v>39</v>
      </c>
      <c r="F248">
        <v>10</v>
      </c>
      <c r="G248">
        <v>5</v>
      </c>
      <c r="H248">
        <v>0</v>
      </c>
      <c r="I248">
        <v>0</v>
      </c>
      <c r="J248">
        <v>79.719099999999997</v>
      </c>
      <c r="K248" s="2">
        <v>797.19</v>
      </c>
    </row>
    <row r="249" spans="1:11" hidden="1" outlineLevel="2" x14ac:dyDescent="0.3">
      <c r="A249" t="s">
        <v>36</v>
      </c>
      <c r="B249" t="s">
        <v>95</v>
      </c>
      <c r="C249" t="s">
        <v>38</v>
      </c>
      <c r="D249" s="4">
        <v>42745</v>
      </c>
      <c r="E249" t="s">
        <v>56</v>
      </c>
      <c r="F249">
        <v>-10</v>
      </c>
      <c r="G249">
        <v>5</v>
      </c>
      <c r="H249">
        <v>0</v>
      </c>
      <c r="I249">
        <v>0</v>
      </c>
      <c r="J249">
        <v>79.719099999999997</v>
      </c>
      <c r="K249" s="2">
        <v>-797.19</v>
      </c>
    </row>
    <row r="250" spans="1:11" hidden="1" outlineLevel="2" x14ac:dyDescent="0.3">
      <c r="A250" t="s">
        <v>36</v>
      </c>
      <c r="B250" t="s">
        <v>37</v>
      </c>
      <c r="C250" t="s">
        <v>38</v>
      </c>
      <c r="D250" s="4">
        <v>42746</v>
      </c>
      <c r="E250" t="s">
        <v>41</v>
      </c>
      <c r="F250">
        <v>1000</v>
      </c>
      <c r="G250">
        <v>1</v>
      </c>
      <c r="H250">
        <v>0</v>
      </c>
      <c r="I250">
        <v>0</v>
      </c>
      <c r="J250">
        <v>17.220500000000001</v>
      </c>
      <c r="K250" s="2">
        <v>17220.48</v>
      </c>
    </row>
    <row r="251" spans="1:11" hidden="1" outlineLevel="2" x14ac:dyDescent="0.3">
      <c r="A251" t="s">
        <v>36</v>
      </c>
      <c r="B251" t="s">
        <v>37</v>
      </c>
      <c r="C251" t="s">
        <v>38</v>
      </c>
      <c r="D251" s="4">
        <v>42746</v>
      </c>
      <c r="E251" t="s">
        <v>42</v>
      </c>
      <c r="F251">
        <v>-1000</v>
      </c>
      <c r="G251">
        <v>1</v>
      </c>
      <c r="H251">
        <v>0</v>
      </c>
      <c r="I251">
        <v>0</v>
      </c>
      <c r="J251">
        <v>17.220500000000001</v>
      </c>
      <c r="K251" s="2">
        <v>-17220.48</v>
      </c>
    </row>
    <row r="252" spans="1:11" hidden="1" outlineLevel="2" x14ac:dyDescent="0.3">
      <c r="A252" t="s">
        <v>36</v>
      </c>
      <c r="B252" t="s">
        <v>82</v>
      </c>
      <c r="C252" t="s">
        <v>38</v>
      </c>
      <c r="D252" s="4">
        <v>42746</v>
      </c>
      <c r="E252" t="s">
        <v>73</v>
      </c>
      <c r="F252">
        <v>-10000</v>
      </c>
      <c r="G252">
        <v>1</v>
      </c>
      <c r="H252">
        <v>0</v>
      </c>
      <c r="I252">
        <v>0</v>
      </c>
      <c r="J252">
        <v>16.0806</v>
      </c>
      <c r="K252" s="2">
        <v>-160806</v>
      </c>
    </row>
    <row r="253" spans="1:11" hidden="1" outlineLevel="2" x14ac:dyDescent="0.3">
      <c r="A253" t="s">
        <v>36</v>
      </c>
      <c r="B253" t="s">
        <v>82</v>
      </c>
      <c r="C253" t="s">
        <v>38</v>
      </c>
      <c r="D253" s="4">
        <v>42746</v>
      </c>
      <c r="E253" t="s">
        <v>73</v>
      </c>
      <c r="F253">
        <v>-9986.48</v>
      </c>
      <c r="G253">
        <v>1</v>
      </c>
      <c r="H253">
        <v>0</v>
      </c>
      <c r="I253">
        <v>0</v>
      </c>
      <c r="J253">
        <v>16.0806</v>
      </c>
      <c r="K253" s="2">
        <v>-160588.59</v>
      </c>
    </row>
    <row r="254" spans="1:11" hidden="1" outlineLevel="2" x14ac:dyDescent="0.3">
      <c r="A254" t="s">
        <v>36</v>
      </c>
      <c r="B254" t="s">
        <v>82</v>
      </c>
      <c r="C254" t="s">
        <v>38</v>
      </c>
      <c r="D254" s="4">
        <v>42746</v>
      </c>
      <c r="E254" t="s">
        <v>74</v>
      </c>
      <c r="F254">
        <v>9986.48</v>
      </c>
      <c r="G254">
        <v>1</v>
      </c>
      <c r="H254">
        <v>0</v>
      </c>
      <c r="I254">
        <v>0</v>
      </c>
      <c r="J254">
        <v>16.0806</v>
      </c>
      <c r="K254" s="2">
        <v>160588.59</v>
      </c>
    </row>
    <row r="255" spans="1:11" hidden="1" outlineLevel="2" x14ac:dyDescent="0.3">
      <c r="A255" t="s">
        <v>36</v>
      </c>
      <c r="B255" t="s">
        <v>82</v>
      </c>
      <c r="C255" t="s">
        <v>38</v>
      </c>
      <c r="D255" s="4">
        <v>42746</v>
      </c>
      <c r="E255" t="s">
        <v>51</v>
      </c>
      <c r="F255">
        <v>10000</v>
      </c>
      <c r="G255">
        <v>1</v>
      </c>
      <c r="H255">
        <v>0</v>
      </c>
      <c r="I255">
        <v>0</v>
      </c>
      <c r="J255">
        <v>16.0806</v>
      </c>
      <c r="K255" s="2">
        <v>160806</v>
      </c>
    </row>
    <row r="256" spans="1:11" hidden="1" outlineLevel="2" x14ac:dyDescent="0.3">
      <c r="A256" t="s">
        <v>36</v>
      </c>
      <c r="B256" t="s">
        <v>103</v>
      </c>
      <c r="C256" t="s">
        <v>38</v>
      </c>
      <c r="D256" s="4">
        <v>42746</v>
      </c>
      <c r="E256" t="s">
        <v>39</v>
      </c>
      <c r="F256">
        <v>-15000</v>
      </c>
      <c r="G256">
        <v>5</v>
      </c>
      <c r="H256">
        <v>0</v>
      </c>
      <c r="I256">
        <v>0</v>
      </c>
      <c r="J256">
        <v>94.534300000000002</v>
      </c>
      <c r="K256" s="2">
        <v>-1418014.65</v>
      </c>
    </row>
    <row r="257" spans="1:11" hidden="1" outlineLevel="2" x14ac:dyDescent="0.3">
      <c r="A257" t="s">
        <v>36</v>
      </c>
      <c r="B257" t="s">
        <v>103</v>
      </c>
      <c r="C257" t="s">
        <v>38</v>
      </c>
      <c r="D257" s="4">
        <v>42746</v>
      </c>
      <c r="E257" t="s">
        <v>47</v>
      </c>
      <c r="F257">
        <v>15000</v>
      </c>
      <c r="G257">
        <v>5</v>
      </c>
      <c r="H257">
        <v>0</v>
      </c>
      <c r="I257">
        <v>0</v>
      </c>
      <c r="J257">
        <v>94.534300000000002</v>
      </c>
      <c r="K257" s="2">
        <v>1418014.65</v>
      </c>
    </row>
    <row r="258" spans="1:11" hidden="1" outlineLevel="2" x14ac:dyDescent="0.3">
      <c r="A258" t="s">
        <v>36</v>
      </c>
      <c r="B258" t="s">
        <v>126</v>
      </c>
      <c r="C258" t="s">
        <v>38</v>
      </c>
      <c r="D258" s="4">
        <v>42746</v>
      </c>
      <c r="E258" t="s">
        <v>41</v>
      </c>
      <c r="F258">
        <v>20000</v>
      </c>
      <c r="G258">
        <v>1</v>
      </c>
      <c r="H258">
        <v>0</v>
      </c>
      <c r="I258">
        <v>0</v>
      </c>
      <c r="J258">
        <v>18.399999999999999</v>
      </c>
      <c r="K258" s="2">
        <v>368000</v>
      </c>
    </row>
    <row r="259" spans="1:11" hidden="1" outlineLevel="2" x14ac:dyDescent="0.3">
      <c r="A259" t="s">
        <v>36</v>
      </c>
      <c r="B259" t="s">
        <v>126</v>
      </c>
      <c r="C259" t="s">
        <v>38</v>
      </c>
      <c r="D259" s="4">
        <v>42746</v>
      </c>
      <c r="E259" t="s">
        <v>42</v>
      </c>
      <c r="F259">
        <v>-20000</v>
      </c>
      <c r="G259">
        <v>1</v>
      </c>
      <c r="H259">
        <v>0</v>
      </c>
      <c r="I259">
        <v>0</v>
      </c>
      <c r="J259">
        <v>18.399999999999999</v>
      </c>
      <c r="K259" s="2">
        <v>-368000</v>
      </c>
    </row>
    <row r="260" spans="1:11" hidden="1" outlineLevel="2" x14ac:dyDescent="0.3">
      <c r="A260" t="s">
        <v>36</v>
      </c>
      <c r="B260" t="s">
        <v>132</v>
      </c>
      <c r="C260" t="s">
        <v>38</v>
      </c>
      <c r="D260" s="4">
        <v>42746</v>
      </c>
      <c r="E260" t="s">
        <v>39</v>
      </c>
      <c r="F260">
        <v>60</v>
      </c>
      <c r="G260">
        <v>1</v>
      </c>
      <c r="H260">
        <v>0</v>
      </c>
      <c r="I260">
        <v>0</v>
      </c>
      <c r="J260">
        <v>18.284800000000001</v>
      </c>
      <c r="K260" s="2">
        <v>1097.0899999999999</v>
      </c>
    </row>
    <row r="261" spans="1:11" hidden="1" outlineLevel="2" x14ac:dyDescent="0.3">
      <c r="A261" t="s">
        <v>36</v>
      </c>
      <c r="B261" t="s">
        <v>132</v>
      </c>
      <c r="C261" t="s">
        <v>38</v>
      </c>
      <c r="D261" s="4">
        <v>42746</v>
      </c>
      <c r="E261" t="s">
        <v>56</v>
      </c>
      <c r="F261">
        <v>-60</v>
      </c>
      <c r="G261">
        <v>1</v>
      </c>
      <c r="H261">
        <v>0</v>
      </c>
      <c r="I261">
        <v>0</v>
      </c>
      <c r="J261">
        <v>18.284800000000001</v>
      </c>
      <c r="K261" s="2">
        <v>-1097.0899999999999</v>
      </c>
    </row>
    <row r="262" spans="1:11" hidden="1" outlineLevel="2" x14ac:dyDescent="0.3">
      <c r="A262" t="s">
        <v>36</v>
      </c>
      <c r="B262" t="s">
        <v>136</v>
      </c>
      <c r="C262" t="s">
        <v>38</v>
      </c>
      <c r="D262" s="4">
        <v>42746</v>
      </c>
      <c r="E262" t="s">
        <v>41</v>
      </c>
      <c r="F262">
        <v>30000</v>
      </c>
      <c r="G262">
        <v>1</v>
      </c>
      <c r="H262">
        <v>0</v>
      </c>
      <c r="I262">
        <v>0</v>
      </c>
      <c r="J262">
        <v>17.864799999999999</v>
      </c>
      <c r="K262" s="2">
        <v>535944.18999999994</v>
      </c>
    </row>
    <row r="263" spans="1:11" hidden="1" outlineLevel="2" x14ac:dyDescent="0.3">
      <c r="A263" t="s">
        <v>36</v>
      </c>
      <c r="B263" t="s">
        <v>136</v>
      </c>
      <c r="C263" t="s">
        <v>38</v>
      </c>
      <c r="D263" s="4">
        <v>42746</v>
      </c>
      <c r="E263" t="s">
        <v>42</v>
      </c>
      <c r="F263">
        <v>-30000</v>
      </c>
      <c r="G263">
        <v>1</v>
      </c>
      <c r="H263">
        <v>0</v>
      </c>
      <c r="I263">
        <v>0</v>
      </c>
      <c r="J263">
        <v>17.864799999999999</v>
      </c>
      <c r="K263" s="2">
        <v>-535944.18999999994</v>
      </c>
    </row>
    <row r="264" spans="1:11" hidden="1" outlineLevel="2" x14ac:dyDescent="0.3">
      <c r="A264" t="s">
        <v>36</v>
      </c>
      <c r="B264" t="s">
        <v>138</v>
      </c>
      <c r="C264" t="s">
        <v>38</v>
      </c>
      <c r="D264" s="4">
        <v>42746</v>
      </c>
      <c r="E264" t="s">
        <v>41</v>
      </c>
      <c r="F264">
        <v>30000</v>
      </c>
      <c r="G264">
        <v>1</v>
      </c>
      <c r="H264">
        <v>0</v>
      </c>
      <c r="I264">
        <v>0</v>
      </c>
      <c r="J264">
        <v>19.145199999999999</v>
      </c>
      <c r="K264" s="2">
        <v>574354.5</v>
      </c>
    </row>
    <row r="265" spans="1:11" hidden="1" outlineLevel="2" x14ac:dyDescent="0.3">
      <c r="A265" t="s">
        <v>36</v>
      </c>
      <c r="B265" t="s">
        <v>138</v>
      </c>
      <c r="C265" t="s">
        <v>38</v>
      </c>
      <c r="D265" s="4">
        <v>42746</v>
      </c>
      <c r="E265" t="s">
        <v>42</v>
      </c>
      <c r="F265">
        <v>-30000</v>
      </c>
      <c r="G265">
        <v>1</v>
      </c>
      <c r="H265">
        <v>0</v>
      </c>
      <c r="I265">
        <v>0</v>
      </c>
      <c r="J265">
        <v>19.145199999999999</v>
      </c>
      <c r="K265" s="2">
        <v>-574354.5</v>
      </c>
    </row>
    <row r="266" spans="1:11" hidden="1" outlineLevel="2" x14ac:dyDescent="0.3">
      <c r="A266" t="s">
        <v>36</v>
      </c>
      <c r="B266" t="s">
        <v>142</v>
      </c>
      <c r="C266" t="s">
        <v>38</v>
      </c>
      <c r="D266" s="4">
        <v>42746</v>
      </c>
      <c r="E266" t="s">
        <v>41</v>
      </c>
      <c r="F266">
        <v>300</v>
      </c>
      <c r="G266">
        <v>0.5</v>
      </c>
      <c r="H266">
        <v>0</v>
      </c>
      <c r="I266">
        <v>0</v>
      </c>
      <c r="J266">
        <v>12.56</v>
      </c>
      <c r="K266" s="2">
        <v>3768</v>
      </c>
    </row>
    <row r="267" spans="1:11" hidden="1" outlineLevel="2" x14ac:dyDescent="0.3">
      <c r="A267" t="s">
        <v>36</v>
      </c>
      <c r="B267" t="s">
        <v>142</v>
      </c>
      <c r="C267" t="s">
        <v>38</v>
      </c>
      <c r="D267" s="4">
        <v>42746</v>
      </c>
      <c r="E267" t="s">
        <v>42</v>
      </c>
      <c r="F267">
        <v>-300</v>
      </c>
      <c r="G267">
        <v>0.5</v>
      </c>
      <c r="H267">
        <v>0</v>
      </c>
      <c r="I267">
        <v>0</v>
      </c>
      <c r="J267">
        <v>12.56</v>
      </c>
      <c r="K267" s="2">
        <v>-3768</v>
      </c>
    </row>
    <row r="268" spans="1:11" hidden="1" outlineLevel="2" x14ac:dyDescent="0.3">
      <c r="A268" t="s">
        <v>36</v>
      </c>
      <c r="B268" t="s">
        <v>144</v>
      </c>
      <c r="C268" t="s">
        <v>38</v>
      </c>
      <c r="D268" s="4">
        <v>42746</v>
      </c>
      <c r="E268" t="s">
        <v>41</v>
      </c>
      <c r="F268">
        <v>100</v>
      </c>
      <c r="G268">
        <v>5</v>
      </c>
      <c r="H268">
        <v>0</v>
      </c>
      <c r="I268">
        <v>0</v>
      </c>
      <c r="J268">
        <v>119.6</v>
      </c>
      <c r="K268" s="2">
        <v>11960</v>
      </c>
    </row>
    <row r="269" spans="1:11" hidden="1" outlineLevel="2" x14ac:dyDescent="0.3">
      <c r="A269" t="s">
        <v>36</v>
      </c>
      <c r="B269" t="s">
        <v>144</v>
      </c>
      <c r="C269" t="s">
        <v>38</v>
      </c>
      <c r="D269" s="4">
        <v>42746</v>
      </c>
      <c r="E269" t="s">
        <v>42</v>
      </c>
      <c r="F269">
        <v>-100</v>
      </c>
      <c r="G269">
        <v>5</v>
      </c>
      <c r="H269">
        <v>0</v>
      </c>
      <c r="I269">
        <v>0</v>
      </c>
      <c r="J269">
        <v>119.6</v>
      </c>
      <c r="K269" s="2">
        <v>-11960</v>
      </c>
    </row>
    <row r="270" spans="1:11" hidden="1" outlineLevel="2" x14ac:dyDescent="0.3">
      <c r="A270" t="s">
        <v>36</v>
      </c>
      <c r="B270" t="s">
        <v>146</v>
      </c>
      <c r="C270" t="s">
        <v>38</v>
      </c>
      <c r="D270" s="4">
        <v>42746</v>
      </c>
      <c r="E270" t="s">
        <v>41</v>
      </c>
      <c r="F270">
        <v>200</v>
      </c>
      <c r="G270">
        <v>10</v>
      </c>
      <c r="H270">
        <v>0</v>
      </c>
      <c r="I270">
        <v>0</v>
      </c>
      <c r="J270">
        <v>216.7</v>
      </c>
      <c r="K270" s="2">
        <v>43340</v>
      </c>
    </row>
    <row r="271" spans="1:11" hidden="1" outlineLevel="2" x14ac:dyDescent="0.3">
      <c r="A271" t="s">
        <v>36</v>
      </c>
      <c r="B271" t="s">
        <v>146</v>
      </c>
      <c r="C271" t="s">
        <v>38</v>
      </c>
      <c r="D271" s="4">
        <v>42746</v>
      </c>
      <c r="E271" t="s">
        <v>42</v>
      </c>
      <c r="F271">
        <v>-200</v>
      </c>
      <c r="G271">
        <v>10</v>
      </c>
      <c r="H271">
        <v>0</v>
      </c>
      <c r="I271">
        <v>0</v>
      </c>
      <c r="J271">
        <v>216.7</v>
      </c>
      <c r="K271" s="2">
        <v>-43340</v>
      </c>
    </row>
    <row r="272" spans="1:11" hidden="1" outlineLevel="2" x14ac:dyDescent="0.3">
      <c r="A272" t="s">
        <v>36</v>
      </c>
      <c r="B272" t="s">
        <v>37</v>
      </c>
      <c r="C272" t="s">
        <v>38</v>
      </c>
      <c r="D272" s="4">
        <v>42747</v>
      </c>
      <c r="E272" t="s">
        <v>39</v>
      </c>
      <c r="F272">
        <v>10000</v>
      </c>
      <c r="G272">
        <v>1</v>
      </c>
      <c r="H272">
        <v>0</v>
      </c>
      <c r="I272">
        <v>0</v>
      </c>
      <c r="J272">
        <v>15.69</v>
      </c>
      <c r="K272" s="2">
        <v>156900</v>
      </c>
    </row>
    <row r="273" spans="1:11" hidden="1" outlineLevel="2" x14ac:dyDescent="0.3">
      <c r="A273" t="s">
        <v>36</v>
      </c>
      <c r="B273" t="s">
        <v>37</v>
      </c>
      <c r="C273" t="s">
        <v>38</v>
      </c>
      <c r="D273" s="4">
        <v>42747</v>
      </c>
      <c r="E273" t="s">
        <v>39</v>
      </c>
      <c r="F273">
        <v>-1000</v>
      </c>
      <c r="G273">
        <v>1</v>
      </c>
      <c r="H273">
        <v>0</v>
      </c>
      <c r="I273">
        <v>0</v>
      </c>
      <c r="J273">
        <v>17.1538</v>
      </c>
      <c r="K273" s="2">
        <v>-17153.810000000001</v>
      </c>
    </row>
    <row r="274" spans="1:11" hidden="1" outlineLevel="2" x14ac:dyDescent="0.3">
      <c r="A274" t="s">
        <v>36</v>
      </c>
      <c r="B274" t="s">
        <v>37</v>
      </c>
      <c r="C274" t="s">
        <v>38</v>
      </c>
      <c r="D274" s="4">
        <v>42747</v>
      </c>
      <c r="E274" t="s">
        <v>44</v>
      </c>
      <c r="F274">
        <v>1000</v>
      </c>
      <c r="G274">
        <v>1</v>
      </c>
      <c r="H274">
        <v>0</v>
      </c>
      <c r="I274">
        <v>0</v>
      </c>
      <c r="J274">
        <v>17.1538</v>
      </c>
      <c r="K274" s="2">
        <v>17153.810000000001</v>
      </c>
    </row>
    <row r="275" spans="1:11" hidden="1" outlineLevel="2" x14ac:dyDescent="0.3">
      <c r="A275" t="s">
        <v>36</v>
      </c>
      <c r="B275" t="s">
        <v>37</v>
      </c>
      <c r="C275" t="s">
        <v>38</v>
      </c>
      <c r="D275" s="4">
        <v>42747</v>
      </c>
      <c r="E275" t="s">
        <v>47</v>
      </c>
      <c r="F275">
        <v>-10000</v>
      </c>
      <c r="G275">
        <v>1</v>
      </c>
      <c r="H275">
        <v>0</v>
      </c>
      <c r="I275">
        <v>0</v>
      </c>
      <c r="J275">
        <v>15.69</v>
      </c>
      <c r="K275" s="2">
        <v>-156900</v>
      </c>
    </row>
    <row r="276" spans="1:11" hidden="1" outlineLevel="2" x14ac:dyDescent="0.3">
      <c r="A276" t="s">
        <v>36</v>
      </c>
      <c r="B276" t="s">
        <v>64</v>
      </c>
      <c r="C276" t="s">
        <v>38</v>
      </c>
      <c r="D276" s="4">
        <v>42747</v>
      </c>
      <c r="E276" t="s">
        <v>39</v>
      </c>
      <c r="F276">
        <v>-10</v>
      </c>
      <c r="G276">
        <v>100</v>
      </c>
      <c r="H276">
        <v>0</v>
      </c>
      <c r="I276">
        <v>0</v>
      </c>
      <c r="J276">
        <v>1740.7492</v>
      </c>
      <c r="K276" s="2">
        <v>-17407.490000000002</v>
      </c>
    </row>
    <row r="277" spans="1:11" hidden="1" outlineLevel="2" x14ac:dyDescent="0.3">
      <c r="A277" t="s">
        <v>36</v>
      </c>
      <c r="B277" t="s">
        <v>64</v>
      </c>
      <c r="C277" t="s">
        <v>38</v>
      </c>
      <c r="D277" s="4">
        <v>42747</v>
      </c>
      <c r="E277" t="s">
        <v>44</v>
      </c>
      <c r="F277">
        <v>10</v>
      </c>
      <c r="G277">
        <v>100</v>
      </c>
      <c r="H277">
        <v>0</v>
      </c>
      <c r="I277">
        <v>0</v>
      </c>
      <c r="J277">
        <v>1740.7492</v>
      </c>
      <c r="K277" s="2">
        <v>17407.490000000002</v>
      </c>
    </row>
    <row r="278" spans="1:11" hidden="1" outlineLevel="2" x14ac:dyDescent="0.3">
      <c r="A278" t="s">
        <v>36</v>
      </c>
      <c r="B278" t="s">
        <v>82</v>
      </c>
      <c r="C278" t="s">
        <v>38</v>
      </c>
      <c r="D278" s="4">
        <v>42747</v>
      </c>
      <c r="E278" t="s">
        <v>73</v>
      </c>
      <c r="F278">
        <v>20070.86</v>
      </c>
      <c r="G278">
        <v>1</v>
      </c>
      <c r="H278">
        <v>0</v>
      </c>
      <c r="I278">
        <v>0</v>
      </c>
      <c r="J278">
        <v>16.480599999999999</v>
      </c>
      <c r="K278" s="2">
        <v>330779.59999999998</v>
      </c>
    </row>
    <row r="279" spans="1:11" hidden="1" outlineLevel="2" x14ac:dyDescent="0.3">
      <c r="A279" t="s">
        <v>36</v>
      </c>
      <c r="B279" t="s">
        <v>82</v>
      </c>
      <c r="C279" t="s">
        <v>38</v>
      </c>
      <c r="D279" s="4">
        <v>42747</v>
      </c>
      <c r="E279" t="s">
        <v>47</v>
      </c>
      <c r="F279">
        <v>-20070.86</v>
      </c>
      <c r="G279">
        <v>1</v>
      </c>
      <c r="H279">
        <v>0</v>
      </c>
      <c r="I279">
        <v>0</v>
      </c>
      <c r="J279">
        <v>16.480599999999999</v>
      </c>
      <c r="K279" s="2">
        <v>-330779.59999999998</v>
      </c>
    </row>
    <row r="280" spans="1:11" hidden="1" outlineLevel="2" x14ac:dyDescent="0.3">
      <c r="A280" t="s">
        <v>36</v>
      </c>
      <c r="B280" t="s">
        <v>101</v>
      </c>
      <c r="C280" t="s">
        <v>38</v>
      </c>
      <c r="D280" s="4">
        <v>42747</v>
      </c>
      <c r="E280" t="s">
        <v>39</v>
      </c>
      <c r="F280">
        <v>-1500</v>
      </c>
      <c r="G280">
        <v>1</v>
      </c>
      <c r="H280">
        <v>0</v>
      </c>
      <c r="I280">
        <v>0</v>
      </c>
      <c r="J280">
        <v>18.8429</v>
      </c>
      <c r="K280" s="2">
        <v>-28264.29</v>
      </c>
    </row>
    <row r="281" spans="1:11" hidden="1" outlineLevel="2" x14ac:dyDescent="0.3">
      <c r="A281" t="s">
        <v>36</v>
      </c>
      <c r="B281" t="s">
        <v>101</v>
      </c>
      <c r="C281" t="s">
        <v>38</v>
      </c>
      <c r="D281" s="4">
        <v>42747</v>
      </c>
      <c r="E281" t="s">
        <v>44</v>
      </c>
      <c r="F281">
        <v>1500</v>
      </c>
      <c r="G281">
        <v>1</v>
      </c>
      <c r="H281">
        <v>0</v>
      </c>
      <c r="I281">
        <v>0</v>
      </c>
      <c r="J281">
        <v>18.8429</v>
      </c>
      <c r="K281" s="2">
        <v>28264.29</v>
      </c>
    </row>
    <row r="282" spans="1:11" hidden="1" outlineLevel="2" x14ac:dyDescent="0.3">
      <c r="A282" t="s">
        <v>36</v>
      </c>
      <c r="B282" t="s">
        <v>109</v>
      </c>
      <c r="C282" t="s">
        <v>38</v>
      </c>
      <c r="D282" s="4">
        <v>42747</v>
      </c>
      <c r="E282" t="s">
        <v>39</v>
      </c>
      <c r="F282">
        <v>-15000</v>
      </c>
      <c r="G282">
        <v>1</v>
      </c>
      <c r="H282">
        <v>0</v>
      </c>
      <c r="I282">
        <v>0</v>
      </c>
      <c r="J282">
        <v>18.664999999999999</v>
      </c>
      <c r="K282" s="2">
        <v>-279975</v>
      </c>
    </row>
    <row r="283" spans="1:11" hidden="1" outlineLevel="2" x14ac:dyDescent="0.3">
      <c r="A283" t="s">
        <v>36</v>
      </c>
      <c r="B283" t="s">
        <v>109</v>
      </c>
      <c r="C283" t="s">
        <v>38</v>
      </c>
      <c r="D283" s="4">
        <v>42747</v>
      </c>
      <c r="E283" t="s">
        <v>39</v>
      </c>
      <c r="F283">
        <v>-20000</v>
      </c>
      <c r="G283">
        <v>1</v>
      </c>
      <c r="H283">
        <v>0</v>
      </c>
      <c r="I283">
        <v>0</v>
      </c>
      <c r="J283">
        <v>18.664999999999999</v>
      </c>
      <c r="K283" s="2">
        <v>-373300</v>
      </c>
    </row>
    <row r="284" spans="1:11" hidden="1" outlineLevel="2" x14ac:dyDescent="0.3">
      <c r="A284" t="s">
        <v>36</v>
      </c>
      <c r="B284" t="s">
        <v>109</v>
      </c>
      <c r="C284" t="s">
        <v>38</v>
      </c>
      <c r="D284" s="4">
        <v>42747</v>
      </c>
      <c r="E284" t="s">
        <v>39</v>
      </c>
      <c r="F284">
        <v>-20000</v>
      </c>
      <c r="G284">
        <v>1</v>
      </c>
      <c r="H284">
        <v>0</v>
      </c>
      <c r="I284">
        <v>0</v>
      </c>
      <c r="J284">
        <v>18.664999999999999</v>
      </c>
      <c r="K284" s="2">
        <v>-373300</v>
      </c>
    </row>
    <row r="285" spans="1:11" hidden="1" outlineLevel="2" x14ac:dyDescent="0.3">
      <c r="A285" t="s">
        <v>36</v>
      </c>
      <c r="B285" t="s">
        <v>109</v>
      </c>
      <c r="C285" t="s">
        <v>38</v>
      </c>
      <c r="D285" s="4">
        <v>42747</v>
      </c>
      <c r="E285" t="s">
        <v>39</v>
      </c>
      <c r="F285">
        <v>-7000</v>
      </c>
      <c r="G285">
        <v>1</v>
      </c>
      <c r="H285">
        <v>0</v>
      </c>
      <c r="I285">
        <v>0</v>
      </c>
      <c r="J285">
        <v>18.664999999999999</v>
      </c>
      <c r="K285" s="2">
        <v>-130655</v>
      </c>
    </row>
    <row r="286" spans="1:11" hidden="1" outlineLevel="2" x14ac:dyDescent="0.3">
      <c r="A286" t="s">
        <v>36</v>
      </c>
      <c r="B286" t="s">
        <v>109</v>
      </c>
      <c r="C286" t="s">
        <v>38</v>
      </c>
      <c r="D286" s="4">
        <v>42747</v>
      </c>
      <c r="E286" t="s">
        <v>58</v>
      </c>
      <c r="F286">
        <v>20000</v>
      </c>
      <c r="G286">
        <v>1</v>
      </c>
      <c r="H286">
        <v>0</v>
      </c>
      <c r="I286">
        <v>0</v>
      </c>
      <c r="J286">
        <v>18.664999999999999</v>
      </c>
      <c r="K286" s="2">
        <v>373300</v>
      </c>
    </row>
    <row r="287" spans="1:11" hidden="1" outlineLevel="2" x14ac:dyDescent="0.3">
      <c r="A287" t="s">
        <v>36</v>
      </c>
      <c r="B287" t="s">
        <v>109</v>
      </c>
      <c r="C287" t="s">
        <v>38</v>
      </c>
      <c r="D287" s="4">
        <v>42747</v>
      </c>
      <c r="E287" t="s">
        <v>110</v>
      </c>
      <c r="F287">
        <v>15000</v>
      </c>
      <c r="G287">
        <v>1</v>
      </c>
      <c r="H287">
        <v>0</v>
      </c>
      <c r="I287">
        <v>0</v>
      </c>
      <c r="J287">
        <v>18.664999999999999</v>
      </c>
      <c r="K287" s="2">
        <v>279975</v>
      </c>
    </row>
    <row r="288" spans="1:11" hidden="1" outlineLevel="2" x14ac:dyDescent="0.3">
      <c r="A288" t="s">
        <v>36</v>
      </c>
      <c r="B288" t="s">
        <v>109</v>
      </c>
      <c r="C288" t="s">
        <v>38</v>
      </c>
      <c r="D288" s="4">
        <v>42747</v>
      </c>
      <c r="E288" t="s">
        <v>44</v>
      </c>
      <c r="F288">
        <v>7000</v>
      </c>
      <c r="G288">
        <v>1</v>
      </c>
      <c r="H288">
        <v>0</v>
      </c>
      <c r="I288">
        <v>0</v>
      </c>
      <c r="J288">
        <v>18.664999999999999</v>
      </c>
      <c r="K288" s="2">
        <v>130655</v>
      </c>
    </row>
    <row r="289" spans="1:11" hidden="1" outlineLevel="2" x14ac:dyDescent="0.3">
      <c r="A289" t="s">
        <v>36</v>
      </c>
      <c r="B289" t="s">
        <v>109</v>
      </c>
      <c r="C289" t="s">
        <v>38</v>
      </c>
      <c r="D289" s="4">
        <v>42747</v>
      </c>
      <c r="E289" t="s">
        <v>45</v>
      </c>
      <c r="F289">
        <v>20000</v>
      </c>
      <c r="G289">
        <v>1</v>
      </c>
      <c r="H289">
        <v>0</v>
      </c>
      <c r="I289">
        <v>0</v>
      </c>
      <c r="J289">
        <v>18.664999999999999</v>
      </c>
      <c r="K289" s="2">
        <v>373300</v>
      </c>
    </row>
    <row r="290" spans="1:11" hidden="1" outlineLevel="2" x14ac:dyDescent="0.3">
      <c r="A290" t="s">
        <v>36</v>
      </c>
      <c r="B290" t="s">
        <v>125</v>
      </c>
      <c r="C290" t="s">
        <v>38</v>
      </c>
      <c r="D290" s="4">
        <v>42747</v>
      </c>
      <c r="E290" t="s">
        <v>39</v>
      </c>
      <c r="F290">
        <v>-500</v>
      </c>
      <c r="G290">
        <v>1</v>
      </c>
      <c r="H290">
        <v>0</v>
      </c>
      <c r="I290">
        <v>0</v>
      </c>
      <c r="J290">
        <v>19.293299999999999</v>
      </c>
      <c r="K290" s="2">
        <v>-9646.66</v>
      </c>
    </row>
    <row r="291" spans="1:11" hidden="1" outlineLevel="2" x14ac:dyDescent="0.3">
      <c r="A291" t="s">
        <v>36</v>
      </c>
      <c r="B291" t="s">
        <v>125</v>
      </c>
      <c r="C291" t="s">
        <v>38</v>
      </c>
      <c r="D291" s="4">
        <v>42747</v>
      </c>
      <c r="E291" t="s">
        <v>44</v>
      </c>
      <c r="F291">
        <v>500</v>
      </c>
      <c r="G291">
        <v>1</v>
      </c>
      <c r="H291">
        <v>0</v>
      </c>
      <c r="I291">
        <v>0</v>
      </c>
      <c r="J291">
        <v>19.293299999999999</v>
      </c>
      <c r="K291" s="2">
        <v>9646.66</v>
      </c>
    </row>
    <row r="292" spans="1:11" hidden="1" outlineLevel="2" x14ac:dyDescent="0.3">
      <c r="A292" t="s">
        <v>36</v>
      </c>
      <c r="B292" t="s">
        <v>126</v>
      </c>
      <c r="C292" t="s">
        <v>38</v>
      </c>
      <c r="D292" s="4">
        <v>42747</v>
      </c>
      <c r="E292" t="s">
        <v>39</v>
      </c>
      <c r="F292">
        <v>20000</v>
      </c>
      <c r="G292">
        <v>1</v>
      </c>
      <c r="H292">
        <v>0</v>
      </c>
      <c r="I292">
        <v>0</v>
      </c>
      <c r="J292">
        <v>18.399999999999999</v>
      </c>
      <c r="K292" s="2">
        <v>368000</v>
      </c>
    </row>
    <row r="293" spans="1:11" hidden="1" outlineLevel="2" x14ac:dyDescent="0.3">
      <c r="A293" t="s">
        <v>36</v>
      </c>
      <c r="B293" t="s">
        <v>126</v>
      </c>
      <c r="C293" t="s">
        <v>38</v>
      </c>
      <c r="D293" s="4">
        <v>42747</v>
      </c>
      <c r="E293" t="s">
        <v>39</v>
      </c>
      <c r="F293">
        <v>-1500</v>
      </c>
      <c r="G293">
        <v>1</v>
      </c>
      <c r="H293">
        <v>0</v>
      </c>
      <c r="I293">
        <v>0</v>
      </c>
      <c r="J293">
        <v>18.399999999999999</v>
      </c>
      <c r="K293" s="2">
        <v>-27600</v>
      </c>
    </row>
    <row r="294" spans="1:11" hidden="1" outlineLevel="2" x14ac:dyDescent="0.3">
      <c r="A294" t="s">
        <v>36</v>
      </c>
      <c r="B294" t="s">
        <v>126</v>
      </c>
      <c r="C294" t="s">
        <v>38</v>
      </c>
      <c r="D294" s="4">
        <v>42747</v>
      </c>
      <c r="E294" t="s">
        <v>39</v>
      </c>
      <c r="F294">
        <v>-3000</v>
      </c>
      <c r="G294">
        <v>1</v>
      </c>
      <c r="H294">
        <v>0</v>
      </c>
      <c r="I294">
        <v>0</v>
      </c>
      <c r="J294">
        <v>18.399999999999999</v>
      </c>
      <c r="K294" s="2">
        <v>-55200</v>
      </c>
    </row>
    <row r="295" spans="1:11" hidden="1" outlineLevel="2" x14ac:dyDescent="0.3">
      <c r="A295" t="s">
        <v>36</v>
      </c>
      <c r="B295" t="s">
        <v>126</v>
      </c>
      <c r="C295" t="s">
        <v>38</v>
      </c>
      <c r="D295" s="4">
        <v>42747</v>
      </c>
      <c r="E295" t="s">
        <v>110</v>
      </c>
      <c r="F295">
        <v>1500</v>
      </c>
      <c r="G295">
        <v>1</v>
      </c>
      <c r="H295">
        <v>0</v>
      </c>
      <c r="I295">
        <v>0</v>
      </c>
      <c r="J295">
        <v>18.399999999999999</v>
      </c>
      <c r="K295" s="2">
        <v>27600</v>
      </c>
    </row>
    <row r="296" spans="1:11" hidden="1" outlineLevel="2" x14ac:dyDescent="0.3">
      <c r="A296" t="s">
        <v>36</v>
      </c>
      <c r="B296" t="s">
        <v>126</v>
      </c>
      <c r="C296" t="s">
        <v>38</v>
      </c>
      <c r="D296" s="4">
        <v>42747</v>
      </c>
      <c r="E296" t="s">
        <v>44</v>
      </c>
      <c r="F296">
        <v>3000</v>
      </c>
      <c r="G296">
        <v>1</v>
      </c>
      <c r="H296">
        <v>0</v>
      </c>
      <c r="I296">
        <v>0</v>
      </c>
      <c r="J296">
        <v>18.399999999999999</v>
      </c>
      <c r="K296" s="2">
        <v>55200</v>
      </c>
    </row>
    <row r="297" spans="1:11" hidden="1" outlineLevel="2" x14ac:dyDescent="0.3">
      <c r="A297" t="s">
        <v>36</v>
      </c>
      <c r="B297" t="s">
        <v>126</v>
      </c>
      <c r="C297" t="s">
        <v>38</v>
      </c>
      <c r="D297" s="4">
        <v>42747</v>
      </c>
      <c r="E297" t="s">
        <v>76</v>
      </c>
      <c r="F297">
        <v>-20000</v>
      </c>
      <c r="G297">
        <v>1</v>
      </c>
      <c r="H297">
        <v>0</v>
      </c>
      <c r="I297">
        <v>0</v>
      </c>
      <c r="J297">
        <v>18.399999999999999</v>
      </c>
      <c r="K297" s="2">
        <v>-368000</v>
      </c>
    </row>
    <row r="298" spans="1:11" hidden="1" outlineLevel="2" x14ac:dyDescent="0.3">
      <c r="A298" t="s">
        <v>36</v>
      </c>
      <c r="B298" t="s">
        <v>128</v>
      </c>
      <c r="C298" t="s">
        <v>38</v>
      </c>
      <c r="D298" s="4">
        <v>42747</v>
      </c>
      <c r="E298" t="s">
        <v>39</v>
      </c>
      <c r="F298">
        <v>-50</v>
      </c>
      <c r="G298">
        <v>100</v>
      </c>
      <c r="H298">
        <v>0</v>
      </c>
      <c r="I298">
        <v>0</v>
      </c>
      <c r="J298">
        <v>1820.5327</v>
      </c>
      <c r="K298" s="2">
        <v>-91026.64</v>
      </c>
    </row>
    <row r="299" spans="1:11" hidden="1" outlineLevel="2" x14ac:dyDescent="0.3">
      <c r="A299" t="s">
        <v>36</v>
      </c>
      <c r="B299" t="s">
        <v>128</v>
      </c>
      <c r="C299" t="s">
        <v>38</v>
      </c>
      <c r="D299" s="4">
        <v>42747</v>
      </c>
      <c r="E299" t="s">
        <v>45</v>
      </c>
      <c r="F299">
        <v>50</v>
      </c>
      <c r="G299">
        <v>100</v>
      </c>
      <c r="H299">
        <v>0</v>
      </c>
      <c r="I299">
        <v>0</v>
      </c>
      <c r="J299">
        <v>1820.5327</v>
      </c>
      <c r="K299" s="2">
        <v>91026.64</v>
      </c>
    </row>
    <row r="300" spans="1:11" hidden="1" outlineLevel="2" x14ac:dyDescent="0.3">
      <c r="A300" t="s">
        <v>36</v>
      </c>
      <c r="B300" t="s">
        <v>132</v>
      </c>
      <c r="C300" t="s">
        <v>38</v>
      </c>
      <c r="D300" s="4">
        <v>42747</v>
      </c>
      <c r="E300" t="s">
        <v>39</v>
      </c>
      <c r="F300">
        <v>-60</v>
      </c>
      <c r="G300">
        <v>1</v>
      </c>
      <c r="H300">
        <v>0</v>
      </c>
      <c r="I300">
        <v>0</v>
      </c>
      <c r="J300">
        <v>18.284800000000001</v>
      </c>
      <c r="K300" s="2">
        <v>-1097.0899999999999</v>
      </c>
    </row>
    <row r="301" spans="1:11" hidden="1" outlineLevel="2" x14ac:dyDescent="0.3">
      <c r="A301" t="s">
        <v>36</v>
      </c>
      <c r="B301" t="s">
        <v>132</v>
      </c>
      <c r="C301" t="s">
        <v>38</v>
      </c>
      <c r="D301" s="4">
        <v>42747</v>
      </c>
      <c r="E301" t="s">
        <v>110</v>
      </c>
      <c r="F301">
        <v>60</v>
      </c>
      <c r="G301">
        <v>1</v>
      </c>
      <c r="H301">
        <v>0</v>
      </c>
      <c r="I301">
        <v>0</v>
      </c>
      <c r="J301">
        <v>18.284800000000001</v>
      </c>
      <c r="K301" s="2">
        <v>1097.0899999999999</v>
      </c>
    </row>
    <row r="302" spans="1:11" hidden="1" outlineLevel="2" x14ac:dyDescent="0.3">
      <c r="A302" t="s">
        <v>36</v>
      </c>
      <c r="B302" t="s">
        <v>136</v>
      </c>
      <c r="C302" t="s">
        <v>38</v>
      </c>
      <c r="D302" s="4">
        <v>42747</v>
      </c>
      <c r="E302" t="s">
        <v>39</v>
      </c>
      <c r="F302">
        <v>-250</v>
      </c>
      <c r="G302">
        <v>1</v>
      </c>
      <c r="H302">
        <v>0</v>
      </c>
      <c r="I302">
        <v>0</v>
      </c>
      <c r="J302">
        <v>17.864799999999999</v>
      </c>
      <c r="K302" s="2">
        <v>-4466.2</v>
      </c>
    </row>
    <row r="303" spans="1:11" hidden="1" outlineLevel="2" x14ac:dyDescent="0.3">
      <c r="A303" t="s">
        <v>36</v>
      </c>
      <c r="B303" t="s">
        <v>136</v>
      </c>
      <c r="C303" t="s">
        <v>38</v>
      </c>
      <c r="D303" s="4">
        <v>42747</v>
      </c>
      <c r="E303" t="s">
        <v>110</v>
      </c>
      <c r="F303">
        <v>250</v>
      </c>
      <c r="G303">
        <v>1</v>
      </c>
      <c r="H303">
        <v>0</v>
      </c>
      <c r="I303">
        <v>0</v>
      </c>
      <c r="J303">
        <v>17.864799999999999</v>
      </c>
      <c r="K303" s="2">
        <v>4466.2</v>
      </c>
    </row>
    <row r="304" spans="1:11" hidden="1" outlineLevel="2" x14ac:dyDescent="0.3">
      <c r="A304" t="s">
        <v>36</v>
      </c>
      <c r="B304" t="s">
        <v>138</v>
      </c>
      <c r="C304" t="s">
        <v>38</v>
      </c>
      <c r="D304" s="4">
        <v>42747</v>
      </c>
      <c r="E304" t="s">
        <v>39</v>
      </c>
      <c r="F304">
        <v>-100</v>
      </c>
      <c r="G304">
        <v>1</v>
      </c>
      <c r="H304">
        <v>0</v>
      </c>
      <c r="I304">
        <v>0</v>
      </c>
      <c r="J304">
        <v>19.145099999999999</v>
      </c>
      <c r="K304" s="2">
        <v>-1914.51</v>
      </c>
    </row>
    <row r="305" spans="1:11" hidden="1" outlineLevel="2" x14ac:dyDescent="0.3">
      <c r="A305" t="s">
        <v>36</v>
      </c>
      <c r="B305" t="s">
        <v>138</v>
      </c>
      <c r="C305" t="s">
        <v>38</v>
      </c>
      <c r="D305" s="4">
        <v>42747</v>
      </c>
      <c r="E305" t="s">
        <v>44</v>
      </c>
      <c r="F305">
        <v>100</v>
      </c>
      <c r="G305">
        <v>1</v>
      </c>
      <c r="H305">
        <v>0</v>
      </c>
      <c r="I305">
        <v>0</v>
      </c>
      <c r="J305">
        <v>19.145099999999999</v>
      </c>
      <c r="K305" s="2">
        <v>1914.51</v>
      </c>
    </row>
    <row r="306" spans="1:11" hidden="1" outlineLevel="2" x14ac:dyDescent="0.3">
      <c r="A306" t="s">
        <v>36</v>
      </c>
      <c r="B306" t="s">
        <v>140</v>
      </c>
      <c r="C306" t="s">
        <v>38</v>
      </c>
      <c r="D306" s="4">
        <v>42747</v>
      </c>
      <c r="E306" t="s">
        <v>39</v>
      </c>
      <c r="F306">
        <v>-200</v>
      </c>
      <c r="G306">
        <v>1</v>
      </c>
      <c r="H306">
        <v>0</v>
      </c>
      <c r="I306">
        <v>0</v>
      </c>
      <c r="J306">
        <v>18.1096</v>
      </c>
      <c r="K306" s="2">
        <v>-3621.92</v>
      </c>
    </row>
    <row r="307" spans="1:11" hidden="1" outlineLevel="2" x14ac:dyDescent="0.3">
      <c r="A307" t="s">
        <v>36</v>
      </c>
      <c r="B307" t="s">
        <v>140</v>
      </c>
      <c r="C307" t="s">
        <v>38</v>
      </c>
      <c r="D307" s="4">
        <v>42747</v>
      </c>
      <c r="E307" t="s">
        <v>44</v>
      </c>
      <c r="F307">
        <v>200</v>
      </c>
      <c r="G307">
        <v>1</v>
      </c>
      <c r="H307">
        <v>0</v>
      </c>
      <c r="I307">
        <v>0</v>
      </c>
      <c r="J307">
        <v>18.1096</v>
      </c>
      <c r="K307" s="2">
        <v>3621.92</v>
      </c>
    </row>
    <row r="308" spans="1:11" hidden="1" outlineLevel="2" x14ac:dyDescent="0.3">
      <c r="A308" t="s">
        <v>36</v>
      </c>
      <c r="B308" t="s">
        <v>154</v>
      </c>
      <c r="C308" t="s">
        <v>38</v>
      </c>
      <c r="D308" s="4">
        <v>42747</v>
      </c>
      <c r="E308" t="s">
        <v>39</v>
      </c>
      <c r="F308">
        <v>-900</v>
      </c>
      <c r="G308">
        <v>0.96450000000000002</v>
      </c>
      <c r="H308">
        <v>0</v>
      </c>
      <c r="I308">
        <v>0</v>
      </c>
      <c r="J308">
        <v>21.89</v>
      </c>
      <c r="K308" s="2">
        <v>-19700.97</v>
      </c>
    </row>
    <row r="309" spans="1:11" hidden="1" outlineLevel="2" x14ac:dyDescent="0.3">
      <c r="A309" t="s">
        <v>36</v>
      </c>
      <c r="B309" t="s">
        <v>154</v>
      </c>
      <c r="C309" t="s">
        <v>38</v>
      </c>
      <c r="D309" s="4">
        <v>42747</v>
      </c>
      <c r="E309" t="s">
        <v>110</v>
      </c>
      <c r="F309">
        <v>900</v>
      </c>
      <c r="G309">
        <v>0.96450000000000002</v>
      </c>
      <c r="H309">
        <v>0</v>
      </c>
      <c r="I309">
        <v>0</v>
      </c>
      <c r="J309">
        <v>21.89</v>
      </c>
      <c r="K309" s="2">
        <v>19700.97</v>
      </c>
    </row>
    <row r="310" spans="1:11" hidden="1" outlineLevel="2" x14ac:dyDescent="0.3">
      <c r="A310" t="s">
        <v>36</v>
      </c>
      <c r="B310" t="s">
        <v>159</v>
      </c>
      <c r="C310" t="s">
        <v>38</v>
      </c>
      <c r="D310" s="4">
        <v>42747</v>
      </c>
      <c r="E310" t="s">
        <v>39</v>
      </c>
      <c r="F310">
        <v>-100</v>
      </c>
      <c r="G310">
        <v>1</v>
      </c>
      <c r="H310">
        <v>0</v>
      </c>
      <c r="I310">
        <v>0</v>
      </c>
      <c r="J310">
        <v>19.8081</v>
      </c>
      <c r="K310" s="2">
        <v>-1980.81</v>
      </c>
    </row>
    <row r="311" spans="1:11" hidden="1" outlineLevel="2" x14ac:dyDescent="0.3">
      <c r="A311" t="s">
        <v>36</v>
      </c>
      <c r="B311" t="s">
        <v>159</v>
      </c>
      <c r="C311" t="s">
        <v>38</v>
      </c>
      <c r="D311" s="4">
        <v>42747</v>
      </c>
      <c r="E311" t="s">
        <v>44</v>
      </c>
      <c r="F311">
        <v>100</v>
      </c>
      <c r="G311">
        <v>1</v>
      </c>
      <c r="H311">
        <v>0</v>
      </c>
      <c r="I311">
        <v>0</v>
      </c>
      <c r="J311">
        <v>19.8081</v>
      </c>
      <c r="K311" s="2">
        <v>1980.81</v>
      </c>
    </row>
    <row r="312" spans="1:11" hidden="1" outlineLevel="2" x14ac:dyDescent="0.3">
      <c r="A312" t="s">
        <v>36</v>
      </c>
      <c r="B312" t="s">
        <v>160</v>
      </c>
      <c r="C312" t="s">
        <v>38</v>
      </c>
      <c r="D312" s="4">
        <v>42747</v>
      </c>
      <c r="E312" t="s">
        <v>39</v>
      </c>
      <c r="F312">
        <v>-500</v>
      </c>
      <c r="G312">
        <v>1</v>
      </c>
      <c r="H312">
        <v>0</v>
      </c>
      <c r="I312">
        <v>0</v>
      </c>
      <c r="J312">
        <v>18.010000000000002</v>
      </c>
      <c r="K312" s="2">
        <v>-9005</v>
      </c>
    </row>
    <row r="313" spans="1:11" hidden="1" outlineLevel="2" x14ac:dyDescent="0.3">
      <c r="A313" t="s">
        <v>36</v>
      </c>
      <c r="B313" t="s">
        <v>160</v>
      </c>
      <c r="C313" t="s">
        <v>38</v>
      </c>
      <c r="D313" s="4">
        <v>42747</v>
      </c>
      <c r="E313" t="s">
        <v>39</v>
      </c>
      <c r="F313">
        <v>-200</v>
      </c>
      <c r="G313">
        <v>1</v>
      </c>
      <c r="H313">
        <v>0</v>
      </c>
      <c r="I313">
        <v>0</v>
      </c>
      <c r="J313">
        <v>18.010000000000002</v>
      </c>
      <c r="K313" s="2">
        <v>-3602</v>
      </c>
    </row>
    <row r="314" spans="1:11" hidden="1" outlineLevel="2" x14ac:dyDescent="0.3">
      <c r="A314" t="s">
        <v>36</v>
      </c>
      <c r="B314" t="s">
        <v>160</v>
      </c>
      <c r="C314" t="s">
        <v>38</v>
      </c>
      <c r="D314" s="4">
        <v>42747</v>
      </c>
      <c r="E314" t="s">
        <v>110</v>
      </c>
      <c r="F314">
        <v>500</v>
      </c>
      <c r="G314">
        <v>1</v>
      </c>
      <c r="H314">
        <v>0</v>
      </c>
      <c r="I314">
        <v>0</v>
      </c>
      <c r="J314">
        <v>18.010000000000002</v>
      </c>
      <c r="K314" s="2">
        <v>9005</v>
      </c>
    </row>
    <row r="315" spans="1:11" hidden="1" outlineLevel="2" x14ac:dyDescent="0.3">
      <c r="A315" t="s">
        <v>36</v>
      </c>
      <c r="B315" t="s">
        <v>160</v>
      </c>
      <c r="C315" t="s">
        <v>38</v>
      </c>
      <c r="D315" s="4">
        <v>42747</v>
      </c>
      <c r="E315" t="s">
        <v>44</v>
      </c>
      <c r="F315">
        <v>200</v>
      </c>
      <c r="G315">
        <v>1</v>
      </c>
      <c r="H315">
        <v>0</v>
      </c>
      <c r="I315">
        <v>0</v>
      </c>
      <c r="J315">
        <v>18.010000000000002</v>
      </c>
      <c r="K315" s="2">
        <v>3602</v>
      </c>
    </row>
    <row r="316" spans="1:11" hidden="1" outlineLevel="2" x14ac:dyDescent="0.3">
      <c r="A316" t="s">
        <v>36</v>
      </c>
      <c r="B316" t="s">
        <v>162</v>
      </c>
      <c r="C316" t="s">
        <v>38</v>
      </c>
      <c r="D316" s="4">
        <v>42747</v>
      </c>
      <c r="E316" t="s">
        <v>39</v>
      </c>
      <c r="F316">
        <v>-16</v>
      </c>
      <c r="G316">
        <v>32.151000000000003</v>
      </c>
      <c r="H316">
        <v>0</v>
      </c>
      <c r="I316">
        <v>0</v>
      </c>
      <c r="J316">
        <v>496.73059999999998</v>
      </c>
      <c r="K316" s="2">
        <v>-7947.69</v>
      </c>
    </row>
    <row r="317" spans="1:11" hidden="1" outlineLevel="2" x14ac:dyDescent="0.3">
      <c r="A317" t="s">
        <v>36</v>
      </c>
      <c r="B317" t="s">
        <v>162</v>
      </c>
      <c r="C317" t="s">
        <v>38</v>
      </c>
      <c r="D317" s="4">
        <v>42747</v>
      </c>
      <c r="E317" t="s">
        <v>45</v>
      </c>
      <c r="F317">
        <v>16</v>
      </c>
      <c r="G317">
        <v>32.151000000000003</v>
      </c>
      <c r="H317">
        <v>0</v>
      </c>
      <c r="I317">
        <v>0</v>
      </c>
      <c r="J317">
        <v>496.73059999999998</v>
      </c>
      <c r="K317" s="2">
        <v>7947.69</v>
      </c>
    </row>
    <row r="318" spans="1:11" hidden="1" outlineLevel="2" x14ac:dyDescent="0.3">
      <c r="A318" t="s">
        <v>36</v>
      </c>
      <c r="B318" t="s">
        <v>109</v>
      </c>
      <c r="C318" t="s">
        <v>38</v>
      </c>
      <c r="D318" s="4">
        <v>42748</v>
      </c>
      <c r="E318" t="s">
        <v>39</v>
      </c>
      <c r="F318">
        <v>-25000</v>
      </c>
      <c r="G318">
        <v>1</v>
      </c>
      <c r="H318">
        <v>0</v>
      </c>
      <c r="I318">
        <v>0</v>
      </c>
      <c r="J318">
        <v>18.664999999999999</v>
      </c>
      <c r="K318" s="2">
        <v>-466625</v>
      </c>
    </row>
    <row r="319" spans="1:11" hidden="1" outlineLevel="2" x14ac:dyDescent="0.3">
      <c r="A319" t="s">
        <v>36</v>
      </c>
      <c r="B319" t="s">
        <v>109</v>
      </c>
      <c r="C319" t="s">
        <v>38</v>
      </c>
      <c r="D319" s="4">
        <v>42748</v>
      </c>
      <c r="E319" t="s">
        <v>56</v>
      </c>
      <c r="F319">
        <v>25000</v>
      </c>
      <c r="G319">
        <v>1</v>
      </c>
      <c r="H319">
        <v>0</v>
      </c>
      <c r="I319">
        <v>0</v>
      </c>
      <c r="J319">
        <v>18.664999999999999</v>
      </c>
      <c r="K319" s="2">
        <v>466625</v>
      </c>
    </row>
    <row r="320" spans="1:11" hidden="1" outlineLevel="2" x14ac:dyDescent="0.3">
      <c r="A320" t="s">
        <v>36</v>
      </c>
      <c r="B320" t="s">
        <v>136</v>
      </c>
      <c r="C320" t="s">
        <v>38</v>
      </c>
      <c r="D320" s="4">
        <v>42748</v>
      </c>
      <c r="E320" t="s">
        <v>39</v>
      </c>
      <c r="F320">
        <v>-500</v>
      </c>
      <c r="G320">
        <v>1</v>
      </c>
      <c r="H320">
        <v>0</v>
      </c>
      <c r="I320">
        <v>0</v>
      </c>
      <c r="J320">
        <v>17.864799999999999</v>
      </c>
      <c r="K320" s="2">
        <v>-8932.4</v>
      </c>
    </row>
    <row r="321" spans="1:11" hidden="1" outlineLevel="2" x14ac:dyDescent="0.3">
      <c r="A321" t="s">
        <v>36</v>
      </c>
      <c r="B321" t="s">
        <v>136</v>
      </c>
      <c r="C321" t="s">
        <v>38</v>
      </c>
      <c r="D321" s="4">
        <v>42748</v>
      </c>
      <c r="E321" t="s">
        <v>44</v>
      </c>
      <c r="F321">
        <v>500</v>
      </c>
      <c r="G321">
        <v>1</v>
      </c>
      <c r="H321">
        <v>0</v>
      </c>
      <c r="I321">
        <v>0</v>
      </c>
      <c r="J321">
        <v>17.864799999999999</v>
      </c>
      <c r="K321" s="2">
        <v>8932.4</v>
      </c>
    </row>
    <row r="322" spans="1:11" hidden="1" outlineLevel="2" x14ac:dyDescent="0.3">
      <c r="A322" t="s">
        <v>36</v>
      </c>
      <c r="B322" t="s">
        <v>160</v>
      </c>
      <c r="C322" t="s">
        <v>38</v>
      </c>
      <c r="D322" s="4">
        <v>42748</v>
      </c>
      <c r="E322" t="s">
        <v>39</v>
      </c>
      <c r="F322">
        <v>-1000</v>
      </c>
      <c r="G322">
        <v>1</v>
      </c>
      <c r="H322">
        <v>0</v>
      </c>
      <c r="I322">
        <v>0</v>
      </c>
      <c r="J322">
        <v>18.010000000000002</v>
      </c>
      <c r="K322" s="2">
        <v>-18010</v>
      </c>
    </row>
    <row r="323" spans="1:11" hidden="1" outlineLevel="2" x14ac:dyDescent="0.3">
      <c r="A323" t="s">
        <v>36</v>
      </c>
      <c r="B323" t="s">
        <v>160</v>
      </c>
      <c r="C323" t="s">
        <v>38</v>
      </c>
      <c r="D323" s="4">
        <v>42748</v>
      </c>
      <c r="E323" t="s">
        <v>56</v>
      </c>
      <c r="F323">
        <v>1000</v>
      </c>
      <c r="G323">
        <v>1</v>
      </c>
      <c r="H323">
        <v>0</v>
      </c>
      <c r="I323">
        <v>0</v>
      </c>
      <c r="J323">
        <v>18.010000000000002</v>
      </c>
      <c r="K323" s="2">
        <v>18010</v>
      </c>
    </row>
    <row r="324" spans="1:11" hidden="1" outlineLevel="2" x14ac:dyDescent="0.3">
      <c r="A324" t="s">
        <v>36</v>
      </c>
      <c r="B324" t="s">
        <v>82</v>
      </c>
      <c r="C324" t="s">
        <v>38</v>
      </c>
      <c r="D324" s="4">
        <v>42751</v>
      </c>
      <c r="E324" t="s">
        <v>73</v>
      </c>
      <c r="F324">
        <v>-20000</v>
      </c>
      <c r="G324">
        <v>1</v>
      </c>
      <c r="H324">
        <v>0</v>
      </c>
      <c r="I324">
        <v>0</v>
      </c>
      <c r="J324">
        <v>16.480599999999999</v>
      </c>
      <c r="K324" s="2">
        <v>-329611.78999999998</v>
      </c>
    </row>
    <row r="325" spans="1:11" hidden="1" outlineLevel="2" x14ac:dyDescent="0.3">
      <c r="A325" t="s">
        <v>36</v>
      </c>
      <c r="B325" t="s">
        <v>82</v>
      </c>
      <c r="C325" t="s">
        <v>38</v>
      </c>
      <c r="D325" s="4">
        <v>42751</v>
      </c>
      <c r="E325" t="s">
        <v>73</v>
      </c>
      <c r="F325">
        <v>-70.86</v>
      </c>
      <c r="G325">
        <v>1</v>
      </c>
      <c r="H325">
        <v>0</v>
      </c>
      <c r="I325">
        <v>0</v>
      </c>
      <c r="J325">
        <v>16.480499999999999</v>
      </c>
      <c r="K325" s="2">
        <v>-1167.81</v>
      </c>
    </row>
    <row r="326" spans="1:11" hidden="1" outlineLevel="2" x14ac:dyDescent="0.3">
      <c r="A326" t="s">
        <v>36</v>
      </c>
      <c r="B326" t="s">
        <v>82</v>
      </c>
      <c r="C326" t="s">
        <v>38</v>
      </c>
      <c r="D326" s="4">
        <v>42751</v>
      </c>
      <c r="E326" t="s">
        <v>74</v>
      </c>
      <c r="F326">
        <v>70.86</v>
      </c>
      <c r="G326">
        <v>1</v>
      </c>
      <c r="H326">
        <v>0</v>
      </c>
      <c r="I326">
        <v>0</v>
      </c>
      <c r="J326">
        <v>16.480499999999999</v>
      </c>
      <c r="K326" s="2">
        <v>1167.81</v>
      </c>
    </row>
    <row r="327" spans="1:11" hidden="1" outlineLevel="2" x14ac:dyDescent="0.3">
      <c r="A327" t="s">
        <v>36</v>
      </c>
      <c r="B327" t="s">
        <v>82</v>
      </c>
      <c r="C327" t="s">
        <v>38</v>
      </c>
      <c r="D327" s="4">
        <v>42751</v>
      </c>
      <c r="E327" t="s">
        <v>51</v>
      </c>
      <c r="F327">
        <v>20000</v>
      </c>
      <c r="G327">
        <v>1</v>
      </c>
      <c r="H327">
        <v>0</v>
      </c>
      <c r="I327">
        <v>0</v>
      </c>
      <c r="J327">
        <v>16.480599999999999</v>
      </c>
      <c r="K327" s="2">
        <v>329611.78999999998</v>
      </c>
    </row>
    <row r="328" spans="1:11" hidden="1" outlineLevel="2" x14ac:dyDescent="0.3">
      <c r="A328" t="s">
        <v>36</v>
      </c>
      <c r="B328" t="s">
        <v>109</v>
      </c>
      <c r="C328" t="s">
        <v>38</v>
      </c>
      <c r="D328" s="4">
        <v>42751</v>
      </c>
      <c r="E328" t="s">
        <v>39</v>
      </c>
      <c r="F328">
        <v>-2000</v>
      </c>
      <c r="G328">
        <v>1</v>
      </c>
      <c r="H328">
        <v>0</v>
      </c>
      <c r="I328">
        <v>0</v>
      </c>
      <c r="J328">
        <v>18.664999999999999</v>
      </c>
      <c r="K328" s="2">
        <v>-37330</v>
      </c>
    </row>
    <row r="329" spans="1:11" hidden="1" outlineLevel="2" x14ac:dyDescent="0.3">
      <c r="A329" t="s">
        <v>36</v>
      </c>
      <c r="B329" t="s">
        <v>109</v>
      </c>
      <c r="C329" t="s">
        <v>38</v>
      </c>
      <c r="D329" s="4">
        <v>42751</v>
      </c>
      <c r="E329" t="s">
        <v>111</v>
      </c>
      <c r="F329">
        <v>2000</v>
      </c>
      <c r="G329">
        <v>1</v>
      </c>
      <c r="H329">
        <v>0</v>
      </c>
      <c r="I329">
        <v>0</v>
      </c>
      <c r="J329">
        <v>18.664999999999999</v>
      </c>
      <c r="K329" s="2">
        <v>37330</v>
      </c>
    </row>
    <row r="330" spans="1:11" hidden="1" outlineLevel="2" x14ac:dyDescent="0.3">
      <c r="A330" t="s">
        <v>36</v>
      </c>
      <c r="B330" t="s">
        <v>131</v>
      </c>
      <c r="C330" t="s">
        <v>38</v>
      </c>
      <c r="D330" s="4">
        <v>42751</v>
      </c>
      <c r="E330" t="s">
        <v>39</v>
      </c>
      <c r="F330">
        <v>60</v>
      </c>
      <c r="G330">
        <v>1</v>
      </c>
      <c r="H330">
        <v>0</v>
      </c>
      <c r="I330">
        <v>0</v>
      </c>
      <c r="J330">
        <v>18.284800000000001</v>
      </c>
      <c r="K330" s="2">
        <v>1097.0899999999999</v>
      </c>
    </row>
    <row r="331" spans="1:11" hidden="1" outlineLevel="2" x14ac:dyDescent="0.3">
      <c r="A331" t="s">
        <v>36</v>
      </c>
      <c r="B331" t="s">
        <v>131</v>
      </c>
      <c r="C331" t="s">
        <v>38</v>
      </c>
      <c r="D331" s="4">
        <v>42751</v>
      </c>
      <c r="E331" t="s">
        <v>56</v>
      </c>
      <c r="F331">
        <v>-60</v>
      </c>
      <c r="G331">
        <v>1</v>
      </c>
      <c r="H331">
        <v>0</v>
      </c>
      <c r="I331">
        <v>0</v>
      </c>
      <c r="J331">
        <v>18.284800000000001</v>
      </c>
      <c r="K331" s="2">
        <v>-1097.0899999999999</v>
      </c>
    </row>
    <row r="332" spans="1:11" hidden="1" outlineLevel="2" x14ac:dyDescent="0.3">
      <c r="A332" t="s">
        <v>36</v>
      </c>
      <c r="B332" t="s">
        <v>57</v>
      </c>
      <c r="C332" t="s">
        <v>38</v>
      </c>
      <c r="D332" s="4">
        <v>42752</v>
      </c>
      <c r="E332" t="s">
        <v>58</v>
      </c>
      <c r="F332">
        <v>30000</v>
      </c>
      <c r="G332">
        <v>1</v>
      </c>
      <c r="H332">
        <v>0</v>
      </c>
      <c r="I332">
        <v>0</v>
      </c>
      <c r="J332">
        <v>16.480599999999999</v>
      </c>
      <c r="K332" s="2">
        <v>494418</v>
      </c>
    </row>
    <row r="333" spans="1:11" hidden="1" outlineLevel="2" x14ac:dyDescent="0.3">
      <c r="A333" t="s">
        <v>36</v>
      </c>
      <c r="B333" t="s">
        <v>57</v>
      </c>
      <c r="C333" t="s">
        <v>38</v>
      </c>
      <c r="D333" s="4">
        <v>42752</v>
      </c>
      <c r="E333" t="s">
        <v>51</v>
      </c>
      <c r="F333">
        <v>-30000</v>
      </c>
      <c r="G333">
        <v>1</v>
      </c>
      <c r="H333">
        <v>0</v>
      </c>
      <c r="I333">
        <v>0</v>
      </c>
      <c r="J333">
        <v>16.480599999999999</v>
      </c>
      <c r="K333" s="2">
        <v>-494418</v>
      </c>
    </row>
    <row r="334" spans="1:11" hidden="1" outlineLevel="2" x14ac:dyDescent="0.3">
      <c r="A334" t="s">
        <v>36</v>
      </c>
      <c r="B334" t="s">
        <v>82</v>
      </c>
      <c r="C334" t="s">
        <v>38</v>
      </c>
      <c r="D334" s="4">
        <v>42752</v>
      </c>
      <c r="E334" t="s">
        <v>39</v>
      </c>
      <c r="F334">
        <v>6928.77</v>
      </c>
      <c r="G334">
        <v>1</v>
      </c>
      <c r="H334">
        <v>0</v>
      </c>
      <c r="I334">
        <v>0</v>
      </c>
      <c r="J334">
        <v>16.480599999999999</v>
      </c>
      <c r="K334" s="2">
        <v>114190.21</v>
      </c>
    </row>
    <row r="335" spans="1:11" hidden="1" outlineLevel="2" x14ac:dyDescent="0.3">
      <c r="A335" t="s">
        <v>36</v>
      </c>
      <c r="B335" t="s">
        <v>82</v>
      </c>
      <c r="C335" t="s">
        <v>38</v>
      </c>
      <c r="D335" s="4">
        <v>42752</v>
      </c>
      <c r="E335" t="s">
        <v>39</v>
      </c>
      <c r="F335">
        <v>-6928.77</v>
      </c>
      <c r="G335">
        <v>1</v>
      </c>
      <c r="H335">
        <v>0</v>
      </c>
      <c r="I335">
        <v>0</v>
      </c>
      <c r="J335">
        <v>16.444800000000001</v>
      </c>
      <c r="K335" s="2">
        <v>-113942.29</v>
      </c>
    </row>
    <row r="336" spans="1:11" hidden="1" outlineLevel="2" x14ac:dyDescent="0.3">
      <c r="A336" t="s">
        <v>36</v>
      </c>
      <c r="B336" t="s">
        <v>82</v>
      </c>
      <c r="C336" t="s">
        <v>38</v>
      </c>
      <c r="D336" s="4">
        <v>42752</v>
      </c>
      <c r="E336" t="s">
        <v>83</v>
      </c>
      <c r="F336">
        <v>6928.77</v>
      </c>
      <c r="G336">
        <v>1</v>
      </c>
      <c r="H336">
        <v>0</v>
      </c>
      <c r="I336">
        <v>0</v>
      </c>
      <c r="J336">
        <v>16.444800000000001</v>
      </c>
      <c r="K336" s="2">
        <v>113942.29</v>
      </c>
    </row>
    <row r="337" spans="1:11" hidden="1" outlineLevel="2" x14ac:dyDescent="0.3">
      <c r="A337" t="s">
        <v>36</v>
      </c>
      <c r="B337" t="s">
        <v>82</v>
      </c>
      <c r="C337" t="s">
        <v>38</v>
      </c>
      <c r="D337" s="4">
        <v>42752</v>
      </c>
      <c r="E337" t="s">
        <v>47</v>
      </c>
      <c r="F337">
        <v>-6928.77</v>
      </c>
      <c r="G337">
        <v>1</v>
      </c>
      <c r="H337">
        <v>0</v>
      </c>
      <c r="I337">
        <v>0</v>
      </c>
      <c r="J337">
        <v>16.480599999999999</v>
      </c>
      <c r="K337" s="2">
        <v>-114190.21</v>
      </c>
    </row>
    <row r="338" spans="1:11" hidden="1" outlineLevel="2" x14ac:dyDescent="0.3">
      <c r="A338" t="s">
        <v>36</v>
      </c>
      <c r="B338" t="s">
        <v>109</v>
      </c>
      <c r="C338" t="s">
        <v>38</v>
      </c>
      <c r="D338" s="4">
        <v>42752</v>
      </c>
      <c r="E338" t="s">
        <v>39</v>
      </c>
      <c r="F338">
        <v>-1000</v>
      </c>
      <c r="G338">
        <v>1</v>
      </c>
      <c r="H338">
        <v>0</v>
      </c>
      <c r="I338">
        <v>0</v>
      </c>
      <c r="J338">
        <v>18.664999999999999</v>
      </c>
      <c r="K338" s="2">
        <v>-18665</v>
      </c>
    </row>
    <row r="339" spans="1:11" hidden="1" outlineLevel="2" x14ac:dyDescent="0.3">
      <c r="A339" t="s">
        <v>36</v>
      </c>
      <c r="B339" t="s">
        <v>109</v>
      </c>
      <c r="C339" t="s">
        <v>38</v>
      </c>
      <c r="D339" s="4">
        <v>42752</v>
      </c>
      <c r="E339" t="s">
        <v>112</v>
      </c>
      <c r="F339">
        <v>1000</v>
      </c>
      <c r="G339">
        <v>1</v>
      </c>
      <c r="H339">
        <v>0</v>
      </c>
      <c r="I339">
        <v>0</v>
      </c>
      <c r="J339">
        <v>18.664999999999999</v>
      </c>
      <c r="K339" s="2">
        <v>18665</v>
      </c>
    </row>
    <row r="340" spans="1:11" hidden="1" outlineLevel="2" x14ac:dyDescent="0.3">
      <c r="A340" t="s">
        <v>36</v>
      </c>
      <c r="B340" t="s">
        <v>37</v>
      </c>
      <c r="C340" t="s">
        <v>38</v>
      </c>
      <c r="D340" s="4">
        <v>42753</v>
      </c>
      <c r="E340" t="s">
        <v>39</v>
      </c>
      <c r="F340">
        <v>-2000</v>
      </c>
      <c r="G340">
        <v>1</v>
      </c>
      <c r="H340">
        <v>0</v>
      </c>
      <c r="I340">
        <v>0</v>
      </c>
      <c r="J340">
        <v>17.153700000000001</v>
      </c>
      <c r="K340" s="2">
        <v>-34307.360000000001</v>
      </c>
    </row>
    <row r="341" spans="1:11" hidden="1" outlineLevel="2" x14ac:dyDescent="0.3">
      <c r="A341" t="s">
        <v>36</v>
      </c>
      <c r="B341" t="s">
        <v>37</v>
      </c>
      <c r="C341" t="s">
        <v>38</v>
      </c>
      <c r="D341" s="4">
        <v>42753</v>
      </c>
      <c r="E341" t="s">
        <v>39</v>
      </c>
      <c r="F341">
        <v>-2500</v>
      </c>
      <c r="G341">
        <v>1</v>
      </c>
      <c r="H341">
        <v>0</v>
      </c>
      <c r="I341">
        <v>0</v>
      </c>
      <c r="J341">
        <v>17.153700000000001</v>
      </c>
      <c r="K341" s="2">
        <v>-42884.2</v>
      </c>
    </row>
    <row r="342" spans="1:11" hidden="1" outlineLevel="2" x14ac:dyDescent="0.3">
      <c r="A342" t="s">
        <v>36</v>
      </c>
      <c r="B342" t="s">
        <v>37</v>
      </c>
      <c r="C342" t="s">
        <v>38</v>
      </c>
      <c r="D342" s="4">
        <v>42753</v>
      </c>
      <c r="E342" t="s">
        <v>43</v>
      </c>
      <c r="F342">
        <v>2500</v>
      </c>
      <c r="G342">
        <v>1</v>
      </c>
      <c r="H342">
        <v>0</v>
      </c>
      <c r="I342">
        <v>0</v>
      </c>
      <c r="J342">
        <v>17.153700000000001</v>
      </c>
      <c r="K342" s="2">
        <v>42884.2</v>
      </c>
    </row>
    <row r="343" spans="1:11" hidden="1" outlineLevel="2" x14ac:dyDescent="0.3">
      <c r="A343" t="s">
        <v>36</v>
      </c>
      <c r="B343" t="s">
        <v>37</v>
      </c>
      <c r="C343" t="s">
        <v>38</v>
      </c>
      <c r="D343" s="4">
        <v>42753</v>
      </c>
      <c r="E343" t="s">
        <v>46</v>
      </c>
      <c r="F343">
        <v>2000</v>
      </c>
      <c r="G343">
        <v>1</v>
      </c>
      <c r="H343">
        <v>0</v>
      </c>
      <c r="I343">
        <v>0</v>
      </c>
      <c r="J343">
        <v>17.153700000000001</v>
      </c>
      <c r="K343" s="2">
        <v>34307.360000000001</v>
      </c>
    </row>
    <row r="344" spans="1:11" hidden="1" outlineLevel="2" x14ac:dyDescent="0.3">
      <c r="A344" t="s">
        <v>36</v>
      </c>
      <c r="B344" t="s">
        <v>53</v>
      </c>
      <c r="C344" t="s">
        <v>38</v>
      </c>
      <c r="D344" s="4">
        <v>42753</v>
      </c>
      <c r="E344" t="s">
        <v>39</v>
      </c>
      <c r="F344">
        <v>-1500</v>
      </c>
      <c r="G344">
        <v>1</v>
      </c>
      <c r="H344">
        <v>0</v>
      </c>
      <c r="I344">
        <v>0</v>
      </c>
      <c r="J344">
        <v>15.285</v>
      </c>
      <c r="K344" s="2">
        <v>-22927.439999999999</v>
      </c>
    </row>
    <row r="345" spans="1:11" hidden="1" outlineLevel="2" x14ac:dyDescent="0.3">
      <c r="A345" t="s">
        <v>36</v>
      </c>
      <c r="B345" t="s">
        <v>53</v>
      </c>
      <c r="C345" t="s">
        <v>38</v>
      </c>
      <c r="D345" s="4">
        <v>42753</v>
      </c>
      <c r="E345" t="s">
        <v>46</v>
      </c>
      <c r="F345">
        <v>1500</v>
      </c>
      <c r="G345">
        <v>1</v>
      </c>
      <c r="H345">
        <v>0</v>
      </c>
      <c r="I345">
        <v>0</v>
      </c>
      <c r="J345">
        <v>15.285</v>
      </c>
      <c r="K345" s="2">
        <v>22927.439999999999</v>
      </c>
    </row>
    <row r="346" spans="1:11" hidden="1" outlineLevel="2" x14ac:dyDescent="0.3">
      <c r="A346" t="s">
        <v>36</v>
      </c>
      <c r="B346" t="s">
        <v>60</v>
      </c>
      <c r="C346" t="s">
        <v>38</v>
      </c>
      <c r="D346" s="4">
        <v>42753</v>
      </c>
      <c r="E346" t="s">
        <v>39</v>
      </c>
      <c r="F346">
        <v>-240</v>
      </c>
      <c r="G346">
        <v>10</v>
      </c>
      <c r="H346">
        <v>0</v>
      </c>
      <c r="I346">
        <v>0</v>
      </c>
      <c r="J346">
        <v>185.4853</v>
      </c>
      <c r="K346" s="2">
        <v>-44516.480000000003</v>
      </c>
    </row>
    <row r="347" spans="1:11" hidden="1" outlineLevel="2" x14ac:dyDescent="0.3">
      <c r="A347" t="s">
        <v>36</v>
      </c>
      <c r="B347" t="s">
        <v>60</v>
      </c>
      <c r="C347" t="s">
        <v>38</v>
      </c>
      <c r="D347" s="4">
        <v>42753</v>
      </c>
      <c r="E347" t="s">
        <v>46</v>
      </c>
      <c r="F347">
        <v>240</v>
      </c>
      <c r="G347">
        <v>10</v>
      </c>
      <c r="H347">
        <v>0</v>
      </c>
      <c r="I347">
        <v>0</v>
      </c>
      <c r="J347">
        <v>185.4853</v>
      </c>
      <c r="K347" s="2">
        <v>44516.480000000003</v>
      </c>
    </row>
    <row r="348" spans="1:11" hidden="1" outlineLevel="2" x14ac:dyDescent="0.3">
      <c r="A348" t="s">
        <v>36</v>
      </c>
      <c r="B348" t="s">
        <v>62</v>
      </c>
      <c r="C348" t="s">
        <v>38</v>
      </c>
      <c r="D348" s="4">
        <v>42753</v>
      </c>
      <c r="E348" t="s">
        <v>39</v>
      </c>
      <c r="F348">
        <v>-100</v>
      </c>
      <c r="G348">
        <v>10</v>
      </c>
      <c r="H348">
        <v>0</v>
      </c>
      <c r="I348">
        <v>0</v>
      </c>
      <c r="J348">
        <v>168.66589999999999</v>
      </c>
      <c r="K348" s="2">
        <v>-16866.59</v>
      </c>
    </row>
    <row r="349" spans="1:11" hidden="1" outlineLevel="2" x14ac:dyDescent="0.3">
      <c r="A349" t="s">
        <v>36</v>
      </c>
      <c r="B349" t="s">
        <v>62</v>
      </c>
      <c r="C349" t="s">
        <v>38</v>
      </c>
      <c r="D349" s="4">
        <v>42753</v>
      </c>
      <c r="E349" t="s">
        <v>46</v>
      </c>
      <c r="F349">
        <v>100</v>
      </c>
      <c r="G349">
        <v>10</v>
      </c>
      <c r="H349">
        <v>0</v>
      </c>
      <c r="I349">
        <v>0</v>
      </c>
      <c r="J349">
        <v>168.66589999999999</v>
      </c>
      <c r="K349" s="2">
        <v>16866.59</v>
      </c>
    </row>
    <row r="350" spans="1:11" hidden="1" outlineLevel="2" x14ac:dyDescent="0.3">
      <c r="A350" t="s">
        <v>36</v>
      </c>
      <c r="B350" t="s">
        <v>82</v>
      </c>
      <c r="C350" t="s">
        <v>38</v>
      </c>
      <c r="D350" s="4">
        <v>42753</v>
      </c>
      <c r="E350" t="s">
        <v>39</v>
      </c>
      <c r="F350">
        <v>-976.06</v>
      </c>
      <c r="G350">
        <v>1</v>
      </c>
      <c r="H350">
        <v>0</v>
      </c>
      <c r="I350">
        <v>0</v>
      </c>
      <c r="J350">
        <v>16.444800000000001</v>
      </c>
      <c r="K350" s="2">
        <v>-16051.12</v>
      </c>
    </row>
    <row r="351" spans="1:11" hidden="1" outlineLevel="2" x14ac:dyDescent="0.3">
      <c r="A351" t="s">
        <v>36</v>
      </c>
      <c r="B351" t="s">
        <v>82</v>
      </c>
      <c r="C351" t="s">
        <v>38</v>
      </c>
      <c r="D351" s="4">
        <v>42753</v>
      </c>
      <c r="E351" t="s">
        <v>46</v>
      </c>
      <c r="F351">
        <v>976.06</v>
      </c>
      <c r="G351">
        <v>1</v>
      </c>
      <c r="H351">
        <v>0</v>
      </c>
      <c r="I351">
        <v>0</v>
      </c>
      <c r="J351">
        <v>16.444800000000001</v>
      </c>
      <c r="K351" s="2">
        <v>16051.12</v>
      </c>
    </row>
    <row r="352" spans="1:11" hidden="1" outlineLevel="2" x14ac:dyDescent="0.3">
      <c r="A352" t="s">
        <v>36</v>
      </c>
      <c r="B352" t="s">
        <v>82</v>
      </c>
      <c r="C352" t="s">
        <v>38</v>
      </c>
      <c r="D352" s="4">
        <v>42753</v>
      </c>
      <c r="E352" t="s">
        <v>84</v>
      </c>
      <c r="F352">
        <v>6109.25</v>
      </c>
      <c r="G352">
        <v>1</v>
      </c>
      <c r="H352">
        <v>0</v>
      </c>
      <c r="I352">
        <v>0</v>
      </c>
      <c r="J352">
        <v>16.480599999999999</v>
      </c>
      <c r="K352" s="2">
        <v>100684.04</v>
      </c>
    </row>
    <row r="353" spans="1:11" hidden="1" outlineLevel="2" x14ac:dyDescent="0.3">
      <c r="A353" t="s">
        <v>36</v>
      </c>
      <c r="B353" t="s">
        <v>82</v>
      </c>
      <c r="C353" t="s">
        <v>38</v>
      </c>
      <c r="D353" s="4">
        <v>42753</v>
      </c>
      <c r="E353" t="s">
        <v>47</v>
      </c>
      <c r="F353">
        <v>-6109.25</v>
      </c>
      <c r="G353">
        <v>1</v>
      </c>
      <c r="H353">
        <v>0</v>
      </c>
      <c r="I353">
        <v>0</v>
      </c>
      <c r="J353">
        <v>16.480599999999999</v>
      </c>
      <c r="K353" s="2">
        <v>-100684.04</v>
      </c>
    </row>
    <row r="354" spans="1:11" hidden="1" outlineLevel="2" x14ac:dyDescent="0.3">
      <c r="A354" t="s">
        <v>36</v>
      </c>
      <c r="B354" t="s">
        <v>86</v>
      </c>
      <c r="C354" t="s">
        <v>38</v>
      </c>
      <c r="D354" s="4">
        <v>42753</v>
      </c>
      <c r="E354" t="s">
        <v>84</v>
      </c>
      <c r="F354">
        <v>600122.69999999995</v>
      </c>
      <c r="G354">
        <v>1</v>
      </c>
      <c r="H354">
        <v>0</v>
      </c>
      <c r="I354">
        <v>0</v>
      </c>
      <c r="J354">
        <v>16.899999999999999</v>
      </c>
      <c r="K354" s="2">
        <v>10142073.630000001</v>
      </c>
    </row>
    <row r="355" spans="1:11" hidden="1" outlineLevel="2" x14ac:dyDescent="0.3">
      <c r="A355" t="s">
        <v>36</v>
      </c>
      <c r="B355" t="s">
        <v>86</v>
      </c>
      <c r="C355" t="s">
        <v>38</v>
      </c>
      <c r="D355" s="4">
        <v>42753</v>
      </c>
      <c r="E355" t="s">
        <v>47</v>
      </c>
      <c r="F355">
        <v>-600122.69999999995</v>
      </c>
      <c r="G355">
        <v>1</v>
      </c>
      <c r="H355">
        <v>0</v>
      </c>
      <c r="I355">
        <v>0</v>
      </c>
      <c r="J355">
        <v>16.899999999999999</v>
      </c>
      <c r="K355" s="2">
        <v>-10142073.630000001</v>
      </c>
    </row>
    <row r="356" spans="1:11" hidden="1" outlineLevel="2" x14ac:dyDescent="0.3">
      <c r="A356" t="s">
        <v>36</v>
      </c>
      <c r="B356" t="s">
        <v>101</v>
      </c>
      <c r="C356" t="s">
        <v>38</v>
      </c>
      <c r="D356" s="4">
        <v>42753</v>
      </c>
      <c r="E356" t="s">
        <v>39</v>
      </c>
      <c r="F356">
        <v>-5000</v>
      </c>
      <c r="G356">
        <v>1</v>
      </c>
      <c r="H356">
        <v>0</v>
      </c>
      <c r="I356">
        <v>0</v>
      </c>
      <c r="J356">
        <v>18.8429</v>
      </c>
      <c r="K356" s="2">
        <v>-94214.3</v>
      </c>
    </row>
    <row r="357" spans="1:11" hidden="1" outlineLevel="2" x14ac:dyDescent="0.3">
      <c r="A357" t="s">
        <v>36</v>
      </c>
      <c r="B357" t="s">
        <v>101</v>
      </c>
      <c r="C357" t="s">
        <v>38</v>
      </c>
      <c r="D357" s="4">
        <v>42753</v>
      </c>
      <c r="E357" t="s">
        <v>102</v>
      </c>
      <c r="F357">
        <v>5000</v>
      </c>
      <c r="G357">
        <v>1</v>
      </c>
      <c r="H357">
        <v>0</v>
      </c>
      <c r="I357">
        <v>0</v>
      </c>
      <c r="J357">
        <v>18.8429</v>
      </c>
      <c r="K357" s="2">
        <v>94214.3</v>
      </c>
    </row>
    <row r="358" spans="1:11" hidden="1" outlineLevel="2" x14ac:dyDescent="0.3">
      <c r="A358" t="s">
        <v>36</v>
      </c>
      <c r="B358" t="s">
        <v>109</v>
      </c>
      <c r="C358" t="s">
        <v>38</v>
      </c>
      <c r="D358" s="4">
        <v>42753</v>
      </c>
      <c r="E358" t="s">
        <v>39</v>
      </c>
      <c r="F358">
        <v>-500</v>
      </c>
      <c r="G358">
        <v>1</v>
      </c>
      <c r="H358">
        <v>0</v>
      </c>
      <c r="I358">
        <v>0</v>
      </c>
      <c r="J358">
        <v>18.664999999999999</v>
      </c>
      <c r="K358" s="2">
        <v>-9332.5</v>
      </c>
    </row>
    <row r="359" spans="1:11" hidden="1" outlineLevel="2" x14ac:dyDescent="0.3">
      <c r="A359" t="s">
        <v>36</v>
      </c>
      <c r="B359" t="s">
        <v>109</v>
      </c>
      <c r="C359" t="s">
        <v>38</v>
      </c>
      <c r="D359" s="4">
        <v>42753</v>
      </c>
      <c r="E359" t="s">
        <v>39</v>
      </c>
      <c r="F359">
        <v>-5000</v>
      </c>
      <c r="G359">
        <v>1</v>
      </c>
      <c r="H359">
        <v>0</v>
      </c>
      <c r="I359">
        <v>0</v>
      </c>
      <c r="J359">
        <v>18.664999999999999</v>
      </c>
      <c r="K359" s="2">
        <v>-93325</v>
      </c>
    </row>
    <row r="360" spans="1:11" hidden="1" outlineLevel="2" x14ac:dyDescent="0.3">
      <c r="A360" t="s">
        <v>36</v>
      </c>
      <c r="B360" t="s">
        <v>109</v>
      </c>
      <c r="C360" t="s">
        <v>38</v>
      </c>
      <c r="D360" s="4">
        <v>42753</v>
      </c>
      <c r="E360" t="s">
        <v>112</v>
      </c>
      <c r="F360">
        <v>5000</v>
      </c>
      <c r="G360">
        <v>1</v>
      </c>
      <c r="H360">
        <v>0</v>
      </c>
      <c r="I360">
        <v>0</v>
      </c>
      <c r="J360">
        <v>18.664999999999999</v>
      </c>
      <c r="K360" s="2">
        <v>93325</v>
      </c>
    </row>
    <row r="361" spans="1:11" hidden="1" outlineLevel="2" x14ac:dyDescent="0.3">
      <c r="A361" t="s">
        <v>36</v>
      </c>
      <c r="B361" t="s">
        <v>109</v>
      </c>
      <c r="C361" t="s">
        <v>38</v>
      </c>
      <c r="D361" s="4">
        <v>42753</v>
      </c>
      <c r="E361" t="s">
        <v>46</v>
      </c>
      <c r="F361">
        <v>500</v>
      </c>
      <c r="G361">
        <v>1</v>
      </c>
      <c r="H361">
        <v>0</v>
      </c>
      <c r="I361">
        <v>0</v>
      </c>
      <c r="J361">
        <v>18.664999999999999</v>
      </c>
      <c r="K361" s="2">
        <v>9332.5</v>
      </c>
    </row>
    <row r="362" spans="1:11" hidden="1" outlineLevel="2" x14ac:dyDescent="0.3">
      <c r="A362" t="s">
        <v>36</v>
      </c>
      <c r="B362" t="s">
        <v>126</v>
      </c>
      <c r="C362" t="s">
        <v>38</v>
      </c>
      <c r="D362" s="4">
        <v>42753</v>
      </c>
      <c r="E362" t="s">
        <v>39</v>
      </c>
      <c r="F362">
        <v>-6500</v>
      </c>
      <c r="G362">
        <v>1</v>
      </c>
      <c r="H362">
        <v>0</v>
      </c>
      <c r="I362">
        <v>0</v>
      </c>
      <c r="J362">
        <v>18.399999999999999</v>
      </c>
      <c r="K362" s="2">
        <v>-119600</v>
      </c>
    </row>
    <row r="363" spans="1:11" hidden="1" outlineLevel="2" x14ac:dyDescent="0.3">
      <c r="A363" t="s">
        <v>36</v>
      </c>
      <c r="B363" t="s">
        <v>126</v>
      </c>
      <c r="C363" t="s">
        <v>38</v>
      </c>
      <c r="D363" s="4">
        <v>42753</v>
      </c>
      <c r="E363" t="s">
        <v>46</v>
      </c>
      <c r="F363">
        <v>6500</v>
      </c>
      <c r="G363">
        <v>1</v>
      </c>
      <c r="H363">
        <v>0</v>
      </c>
      <c r="I363">
        <v>0</v>
      </c>
      <c r="J363">
        <v>18.399999999999999</v>
      </c>
      <c r="K363" s="2">
        <v>119600</v>
      </c>
    </row>
    <row r="364" spans="1:11" hidden="1" outlineLevel="2" x14ac:dyDescent="0.3">
      <c r="A364" t="s">
        <v>36</v>
      </c>
      <c r="B364" t="s">
        <v>128</v>
      </c>
      <c r="C364" t="s">
        <v>38</v>
      </c>
      <c r="D364" s="4">
        <v>42753</v>
      </c>
      <c r="E364" t="s">
        <v>39</v>
      </c>
      <c r="F364">
        <v>-60</v>
      </c>
      <c r="G364">
        <v>100</v>
      </c>
      <c r="H364">
        <v>0</v>
      </c>
      <c r="I364">
        <v>0</v>
      </c>
      <c r="J364">
        <v>1776.7941000000001</v>
      </c>
      <c r="K364" s="2">
        <v>-106607.65</v>
      </c>
    </row>
    <row r="365" spans="1:11" hidden="1" outlineLevel="2" x14ac:dyDescent="0.3">
      <c r="A365" t="s">
        <v>36</v>
      </c>
      <c r="B365" t="s">
        <v>128</v>
      </c>
      <c r="C365" t="s">
        <v>38</v>
      </c>
      <c r="D365" s="4">
        <v>42753</v>
      </c>
      <c r="E365" t="s">
        <v>46</v>
      </c>
      <c r="F365">
        <v>60</v>
      </c>
      <c r="G365">
        <v>100</v>
      </c>
      <c r="H365">
        <v>0</v>
      </c>
      <c r="I365">
        <v>0</v>
      </c>
      <c r="J365">
        <v>1776.7941000000001</v>
      </c>
      <c r="K365" s="2">
        <v>106607.65</v>
      </c>
    </row>
    <row r="366" spans="1:11" hidden="1" outlineLevel="2" x14ac:dyDescent="0.3">
      <c r="A366" t="s">
        <v>36</v>
      </c>
      <c r="B366" t="s">
        <v>132</v>
      </c>
      <c r="C366" t="s">
        <v>38</v>
      </c>
      <c r="D366" s="4">
        <v>42753</v>
      </c>
      <c r="E366" t="s">
        <v>39</v>
      </c>
      <c r="F366">
        <v>-60</v>
      </c>
      <c r="G366">
        <v>1</v>
      </c>
      <c r="H366">
        <v>0</v>
      </c>
      <c r="I366">
        <v>0</v>
      </c>
      <c r="J366">
        <v>19.724</v>
      </c>
      <c r="K366" s="2">
        <v>-1183.44</v>
      </c>
    </row>
    <row r="367" spans="1:11" hidden="1" outlineLevel="2" x14ac:dyDescent="0.3">
      <c r="A367" t="s">
        <v>36</v>
      </c>
      <c r="B367" t="s">
        <v>132</v>
      </c>
      <c r="C367" t="s">
        <v>38</v>
      </c>
      <c r="D367" s="4">
        <v>42753</v>
      </c>
      <c r="E367" t="s">
        <v>46</v>
      </c>
      <c r="F367">
        <v>60</v>
      </c>
      <c r="G367">
        <v>1</v>
      </c>
      <c r="H367">
        <v>0</v>
      </c>
      <c r="I367">
        <v>0</v>
      </c>
      <c r="J367">
        <v>19.724</v>
      </c>
      <c r="K367" s="2">
        <v>1183.44</v>
      </c>
    </row>
    <row r="368" spans="1:11" hidden="1" outlineLevel="2" x14ac:dyDescent="0.3">
      <c r="A368" t="s">
        <v>36</v>
      </c>
      <c r="B368" t="s">
        <v>133</v>
      </c>
      <c r="C368" t="s">
        <v>38</v>
      </c>
      <c r="D368" s="4">
        <v>42753</v>
      </c>
      <c r="E368" t="s">
        <v>39</v>
      </c>
      <c r="F368">
        <v>-60</v>
      </c>
      <c r="G368">
        <v>1</v>
      </c>
      <c r="H368">
        <v>0</v>
      </c>
      <c r="I368">
        <v>0</v>
      </c>
      <c r="J368">
        <v>19.664999999999999</v>
      </c>
      <c r="K368" s="2">
        <v>-1179.9000000000001</v>
      </c>
    </row>
    <row r="369" spans="1:11" hidden="1" outlineLevel="2" x14ac:dyDescent="0.3">
      <c r="A369" t="s">
        <v>36</v>
      </c>
      <c r="B369" t="s">
        <v>133</v>
      </c>
      <c r="C369" t="s">
        <v>38</v>
      </c>
      <c r="D369" s="4">
        <v>42753</v>
      </c>
      <c r="E369" t="s">
        <v>46</v>
      </c>
      <c r="F369">
        <v>60</v>
      </c>
      <c r="G369">
        <v>1</v>
      </c>
      <c r="H369">
        <v>0</v>
      </c>
      <c r="I369">
        <v>0</v>
      </c>
      <c r="J369">
        <v>19.664999999999999</v>
      </c>
      <c r="K369" s="2">
        <v>1179.9000000000001</v>
      </c>
    </row>
    <row r="370" spans="1:11" hidden="1" outlineLevel="2" x14ac:dyDescent="0.3">
      <c r="A370" t="s">
        <v>36</v>
      </c>
      <c r="B370" t="s">
        <v>138</v>
      </c>
      <c r="C370" t="s">
        <v>38</v>
      </c>
      <c r="D370" s="4">
        <v>42753</v>
      </c>
      <c r="E370" t="s">
        <v>39</v>
      </c>
      <c r="F370">
        <v>3909</v>
      </c>
      <c r="G370">
        <v>1</v>
      </c>
      <c r="H370">
        <v>0</v>
      </c>
      <c r="I370">
        <v>0</v>
      </c>
      <c r="J370">
        <v>19.0779</v>
      </c>
      <c r="K370" s="2">
        <v>74575.61</v>
      </c>
    </row>
    <row r="371" spans="1:11" hidden="1" outlineLevel="2" x14ac:dyDescent="0.3">
      <c r="A371" t="s">
        <v>36</v>
      </c>
      <c r="B371" t="s">
        <v>138</v>
      </c>
      <c r="C371" t="s">
        <v>38</v>
      </c>
      <c r="D371" s="4">
        <v>42753</v>
      </c>
      <c r="E371" t="s">
        <v>56</v>
      </c>
      <c r="F371">
        <v>-3909</v>
      </c>
      <c r="G371">
        <v>1</v>
      </c>
      <c r="H371">
        <v>0</v>
      </c>
      <c r="I371">
        <v>0</v>
      </c>
      <c r="J371">
        <v>19.0779</v>
      </c>
      <c r="K371" s="2">
        <v>-74575.61</v>
      </c>
    </row>
    <row r="372" spans="1:11" hidden="1" outlineLevel="2" x14ac:dyDescent="0.3">
      <c r="A372" t="s">
        <v>36</v>
      </c>
      <c r="B372" t="s">
        <v>150</v>
      </c>
      <c r="C372" t="s">
        <v>38</v>
      </c>
      <c r="D372" s="4">
        <v>42753</v>
      </c>
      <c r="E372" t="s">
        <v>39</v>
      </c>
      <c r="F372">
        <v>-2500</v>
      </c>
      <c r="G372">
        <v>1</v>
      </c>
      <c r="H372">
        <v>0</v>
      </c>
      <c r="I372">
        <v>0</v>
      </c>
      <c r="J372">
        <v>18.164999999999999</v>
      </c>
      <c r="K372" s="2">
        <v>-45412.5</v>
      </c>
    </row>
    <row r="373" spans="1:11" hidden="1" outlineLevel="2" x14ac:dyDescent="0.3">
      <c r="A373" t="s">
        <v>36</v>
      </c>
      <c r="B373" t="s">
        <v>150</v>
      </c>
      <c r="C373" t="s">
        <v>38</v>
      </c>
      <c r="D373" s="4">
        <v>42753</v>
      </c>
      <c r="E373" t="s">
        <v>39</v>
      </c>
      <c r="F373">
        <v>-500</v>
      </c>
      <c r="G373">
        <v>1</v>
      </c>
      <c r="H373">
        <v>0</v>
      </c>
      <c r="I373">
        <v>0</v>
      </c>
      <c r="J373">
        <v>18.164999999999999</v>
      </c>
      <c r="K373" s="2">
        <v>-9082.5</v>
      </c>
    </row>
    <row r="374" spans="1:11" hidden="1" outlineLevel="2" x14ac:dyDescent="0.3">
      <c r="A374" t="s">
        <v>36</v>
      </c>
      <c r="B374" t="s">
        <v>150</v>
      </c>
      <c r="C374" t="s">
        <v>38</v>
      </c>
      <c r="D374" s="4">
        <v>42753</v>
      </c>
      <c r="E374" t="s">
        <v>46</v>
      </c>
      <c r="F374">
        <v>500</v>
      </c>
      <c r="G374">
        <v>1</v>
      </c>
      <c r="H374">
        <v>0</v>
      </c>
      <c r="I374">
        <v>0</v>
      </c>
      <c r="J374">
        <v>18.164999999999999</v>
      </c>
      <c r="K374" s="2">
        <v>9082.5</v>
      </c>
    </row>
    <row r="375" spans="1:11" hidden="1" outlineLevel="2" x14ac:dyDescent="0.3">
      <c r="A375" t="s">
        <v>36</v>
      </c>
      <c r="B375" t="s">
        <v>150</v>
      </c>
      <c r="C375" t="s">
        <v>38</v>
      </c>
      <c r="D375" s="4">
        <v>42753</v>
      </c>
      <c r="E375" t="s">
        <v>56</v>
      </c>
      <c r="F375">
        <v>2500</v>
      </c>
      <c r="G375">
        <v>1</v>
      </c>
      <c r="H375">
        <v>0</v>
      </c>
      <c r="I375">
        <v>0</v>
      </c>
      <c r="J375">
        <v>18.164999999999999</v>
      </c>
      <c r="K375" s="2">
        <v>45412.5</v>
      </c>
    </row>
    <row r="376" spans="1:11" hidden="1" outlineLevel="2" x14ac:dyDescent="0.3">
      <c r="A376" t="s">
        <v>36</v>
      </c>
      <c r="B376" t="s">
        <v>79</v>
      </c>
      <c r="C376" t="s">
        <v>38</v>
      </c>
      <c r="D376" s="4">
        <v>42754</v>
      </c>
      <c r="E376" t="s">
        <v>39</v>
      </c>
      <c r="F376">
        <v>1</v>
      </c>
      <c r="G376">
        <v>1</v>
      </c>
      <c r="H376">
        <v>0</v>
      </c>
      <c r="I376">
        <v>0</v>
      </c>
      <c r="J376">
        <v>17.61</v>
      </c>
      <c r="K376" s="2">
        <v>17.61</v>
      </c>
    </row>
    <row r="377" spans="1:11" hidden="1" outlineLevel="2" x14ac:dyDescent="0.3">
      <c r="A377" t="s">
        <v>36</v>
      </c>
      <c r="B377" t="s">
        <v>79</v>
      </c>
      <c r="C377" t="s">
        <v>38</v>
      </c>
      <c r="D377" s="4">
        <v>42754</v>
      </c>
      <c r="E377" t="s">
        <v>80</v>
      </c>
      <c r="F377">
        <v>-1</v>
      </c>
      <c r="G377">
        <v>1</v>
      </c>
      <c r="H377">
        <v>0</v>
      </c>
      <c r="I377">
        <v>0</v>
      </c>
      <c r="J377">
        <v>17.61</v>
      </c>
      <c r="K377" s="2">
        <v>-17.61</v>
      </c>
    </row>
    <row r="378" spans="1:11" hidden="1" outlineLevel="2" x14ac:dyDescent="0.3">
      <c r="A378" t="s">
        <v>36</v>
      </c>
      <c r="B378" t="s">
        <v>82</v>
      </c>
      <c r="C378" t="s">
        <v>38</v>
      </c>
      <c r="D378" s="4">
        <v>42754</v>
      </c>
      <c r="E378" t="s">
        <v>39</v>
      </c>
      <c r="F378">
        <v>976.06</v>
      </c>
      <c r="G378">
        <v>1</v>
      </c>
      <c r="H378">
        <v>0</v>
      </c>
      <c r="I378">
        <v>0</v>
      </c>
      <c r="J378">
        <v>16.444800000000001</v>
      </c>
      <c r="K378" s="2">
        <v>16051.12</v>
      </c>
    </row>
    <row r="379" spans="1:11" hidden="1" outlineLevel="2" x14ac:dyDescent="0.3">
      <c r="A379" t="s">
        <v>36</v>
      </c>
      <c r="B379" t="s">
        <v>82</v>
      </c>
      <c r="C379" t="s">
        <v>38</v>
      </c>
      <c r="D379" s="4">
        <v>42754</v>
      </c>
      <c r="E379" t="s">
        <v>46</v>
      </c>
      <c r="F379">
        <v>-976.06</v>
      </c>
      <c r="G379">
        <v>1</v>
      </c>
      <c r="H379">
        <v>0</v>
      </c>
      <c r="I379">
        <v>0</v>
      </c>
      <c r="J379">
        <v>16.444800000000001</v>
      </c>
      <c r="K379" s="2">
        <v>-16051.12</v>
      </c>
    </row>
    <row r="380" spans="1:11" hidden="1" outlineLevel="2" x14ac:dyDescent="0.3">
      <c r="A380" t="s">
        <v>36</v>
      </c>
      <c r="B380" t="s">
        <v>133</v>
      </c>
      <c r="C380" t="s">
        <v>38</v>
      </c>
      <c r="D380" s="4">
        <v>42754</v>
      </c>
      <c r="E380" t="s">
        <v>39</v>
      </c>
      <c r="F380">
        <v>-300</v>
      </c>
      <c r="G380">
        <v>1</v>
      </c>
      <c r="H380">
        <v>0</v>
      </c>
      <c r="I380">
        <v>0</v>
      </c>
      <c r="J380">
        <v>19.664999999999999</v>
      </c>
      <c r="K380" s="2">
        <v>-5899.5</v>
      </c>
    </row>
    <row r="381" spans="1:11" hidden="1" outlineLevel="2" x14ac:dyDescent="0.3">
      <c r="A381" t="s">
        <v>36</v>
      </c>
      <c r="B381" t="s">
        <v>133</v>
      </c>
      <c r="C381" t="s">
        <v>38</v>
      </c>
      <c r="D381" s="4">
        <v>42754</v>
      </c>
      <c r="E381" t="s">
        <v>44</v>
      </c>
      <c r="F381">
        <v>300</v>
      </c>
      <c r="G381">
        <v>1</v>
      </c>
      <c r="H381">
        <v>0</v>
      </c>
      <c r="I381">
        <v>0</v>
      </c>
      <c r="J381">
        <v>19.664999999999999</v>
      </c>
      <c r="K381" s="2">
        <v>5899.5</v>
      </c>
    </row>
    <row r="382" spans="1:11" hidden="1" outlineLevel="2" x14ac:dyDescent="0.3">
      <c r="A382" t="s">
        <v>36</v>
      </c>
      <c r="B382" t="s">
        <v>82</v>
      </c>
      <c r="C382" t="s">
        <v>38</v>
      </c>
      <c r="D382" s="4">
        <v>42755</v>
      </c>
      <c r="E382" t="s">
        <v>39</v>
      </c>
      <c r="F382">
        <v>1007.86</v>
      </c>
      <c r="G382">
        <v>1</v>
      </c>
      <c r="H382">
        <v>0</v>
      </c>
      <c r="I382">
        <v>0</v>
      </c>
      <c r="J382">
        <v>16.480599999999999</v>
      </c>
      <c r="K382" s="2">
        <v>16610.13</v>
      </c>
    </row>
    <row r="383" spans="1:11" hidden="1" outlineLevel="2" x14ac:dyDescent="0.3">
      <c r="A383" t="s">
        <v>36</v>
      </c>
      <c r="B383" t="s">
        <v>82</v>
      </c>
      <c r="C383" t="s">
        <v>38</v>
      </c>
      <c r="D383" s="4">
        <v>42755</v>
      </c>
      <c r="E383" t="s">
        <v>47</v>
      </c>
      <c r="F383">
        <v>-1007.86</v>
      </c>
      <c r="G383">
        <v>1</v>
      </c>
      <c r="H383">
        <v>0</v>
      </c>
      <c r="I383">
        <v>0</v>
      </c>
      <c r="J383">
        <v>16.480599999999999</v>
      </c>
      <c r="K383" s="2">
        <v>-16610.13</v>
      </c>
    </row>
    <row r="384" spans="1:11" hidden="1" outlineLevel="2" x14ac:dyDescent="0.3">
      <c r="A384" t="s">
        <v>36</v>
      </c>
      <c r="B384" t="s">
        <v>94</v>
      </c>
      <c r="C384" t="s">
        <v>38</v>
      </c>
      <c r="D384" s="4">
        <v>42755</v>
      </c>
      <c r="E384" t="s">
        <v>39</v>
      </c>
      <c r="F384">
        <v>-21</v>
      </c>
      <c r="G384">
        <v>5</v>
      </c>
      <c r="H384">
        <v>0</v>
      </c>
      <c r="I384">
        <v>0</v>
      </c>
      <c r="J384">
        <v>82.4</v>
      </c>
      <c r="K384" s="2">
        <v>-1730.4</v>
      </c>
    </row>
    <row r="385" spans="1:11" hidden="1" outlineLevel="2" x14ac:dyDescent="0.3">
      <c r="A385" t="s">
        <v>36</v>
      </c>
      <c r="B385" t="s">
        <v>94</v>
      </c>
      <c r="C385" t="s">
        <v>38</v>
      </c>
      <c r="D385" s="4">
        <v>42755</v>
      </c>
      <c r="E385" t="s">
        <v>56</v>
      </c>
      <c r="F385">
        <v>21</v>
      </c>
      <c r="G385">
        <v>5</v>
      </c>
      <c r="H385">
        <v>0</v>
      </c>
      <c r="I385">
        <v>0</v>
      </c>
      <c r="J385">
        <v>82.4</v>
      </c>
      <c r="K385" s="2">
        <v>1730.4</v>
      </c>
    </row>
    <row r="386" spans="1:11" hidden="1" outlineLevel="2" x14ac:dyDescent="0.3">
      <c r="A386" t="s">
        <v>36</v>
      </c>
      <c r="B386" t="s">
        <v>95</v>
      </c>
      <c r="C386" t="s">
        <v>38</v>
      </c>
      <c r="D386" s="4">
        <v>42755</v>
      </c>
      <c r="E386" t="s">
        <v>39</v>
      </c>
      <c r="F386">
        <v>800</v>
      </c>
      <c r="G386">
        <v>5</v>
      </c>
      <c r="H386">
        <v>0</v>
      </c>
      <c r="I386">
        <v>0</v>
      </c>
      <c r="J386">
        <v>85.35</v>
      </c>
      <c r="K386" s="2">
        <v>68280</v>
      </c>
    </row>
    <row r="387" spans="1:11" hidden="1" outlineLevel="2" x14ac:dyDescent="0.3">
      <c r="A387" t="s">
        <v>36</v>
      </c>
      <c r="B387" t="s">
        <v>95</v>
      </c>
      <c r="C387" t="s">
        <v>38</v>
      </c>
      <c r="D387" s="4">
        <v>42755</v>
      </c>
      <c r="E387" t="s">
        <v>47</v>
      </c>
      <c r="F387">
        <v>-800</v>
      </c>
      <c r="G387">
        <v>5</v>
      </c>
      <c r="H387">
        <v>0</v>
      </c>
      <c r="I387">
        <v>0</v>
      </c>
      <c r="J387">
        <v>85.35</v>
      </c>
      <c r="K387" s="2">
        <v>-68280</v>
      </c>
    </row>
    <row r="388" spans="1:11" hidden="1" outlineLevel="2" x14ac:dyDescent="0.3">
      <c r="A388" t="s">
        <v>36</v>
      </c>
      <c r="B388" t="s">
        <v>109</v>
      </c>
      <c r="C388" t="s">
        <v>38</v>
      </c>
      <c r="D388" s="4">
        <v>42755</v>
      </c>
      <c r="E388" t="s">
        <v>39</v>
      </c>
      <c r="F388">
        <v>-1000</v>
      </c>
      <c r="G388">
        <v>1</v>
      </c>
      <c r="H388">
        <v>0</v>
      </c>
      <c r="I388">
        <v>0</v>
      </c>
      <c r="J388">
        <v>18.664999999999999</v>
      </c>
      <c r="K388" s="2">
        <v>-18665</v>
      </c>
    </row>
    <row r="389" spans="1:11" hidden="1" outlineLevel="2" x14ac:dyDescent="0.3">
      <c r="A389" t="s">
        <v>36</v>
      </c>
      <c r="B389" t="s">
        <v>109</v>
      </c>
      <c r="C389" t="s">
        <v>38</v>
      </c>
      <c r="D389" s="4">
        <v>42755</v>
      </c>
      <c r="E389" t="s">
        <v>39</v>
      </c>
      <c r="F389">
        <v>-10000</v>
      </c>
      <c r="G389">
        <v>1</v>
      </c>
      <c r="H389">
        <v>0</v>
      </c>
      <c r="I389">
        <v>0</v>
      </c>
      <c r="J389">
        <v>18.664999999999999</v>
      </c>
      <c r="K389" s="2">
        <v>-186650</v>
      </c>
    </row>
    <row r="390" spans="1:11" hidden="1" outlineLevel="2" x14ac:dyDescent="0.3">
      <c r="A390" t="s">
        <v>36</v>
      </c>
      <c r="B390" t="s">
        <v>109</v>
      </c>
      <c r="C390" t="s">
        <v>38</v>
      </c>
      <c r="D390" s="4">
        <v>42755</v>
      </c>
      <c r="E390" t="s">
        <v>42</v>
      </c>
      <c r="F390">
        <v>10000</v>
      </c>
      <c r="G390">
        <v>1</v>
      </c>
      <c r="H390">
        <v>0</v>
      </c>
      <c r="I390">
        <v>0</v>
      </c>
      <c r="J390">
        <v>18.664999999999999</v>
      </c>
      <c r="K390" s="2">
        <v>186650</v>
      </c>
    </row>
    <row r="391" spans="1:11" hidden="1" outlineLevel="2" x14ac:dyDescent="0.3">
      <c r="A391" t="s">
        <v>36</v>
      </c>
      <c r="B391" t="s">
        <v>109</v>
      </c>
      <c r="C391" t="s">
        <v>38</v>
      </c>
      <c r="D391" s="4">
        <v>42755</v>
      </c>
      <c r="E391" t="s">
        <v>43</v>
      </c>
      <c r="F391">
        <v>1000</v>
      </c>
      <c r="G391">
        <v>1</v>
      </c>
      <c r="H391">
        <v>0</v>
      </c>
      <c r="I391">
        <v>0</v>
      </c>
      <c r="J391">
        <v>18.664999999999999</v>
      </c>
      <c r="K391" s="2">
        <v>18665</v>
      </c>
    </row>
    <row r="392" spans="1:11" hidden="1" outlineLevel="2" x14ac:dyDescent="0.3">
      <c r="A392" t="s">
        <v>36</v>
      </c>
      <c r="B392" t="s">
        <v>126</v>
      </c>
      <c r="C392" t="s">
        <v>38</v>
      </c>
      <c r="D392" s="4">
        <v>42755</v>
      </c>
      <c r="E392" t="s">
        <v>39</v>
      </c>
      <c r="F392">
        <v>-14000</v>
      </c>
      <c r="G392">
        <v>1</v>
      </c>
      <c r="H392">
        <v>0</v>
      </c>
      <c r="I392">
        <v>0</v>
      </c>
      <c r="J392">
        <v>18.399999999999999</v>
      </c>
      <c r="K392" s="2">
        <v>-257600</v>
      </c>
    </row>
    <row r="393" spans="1:11" hidden="1" outlineLevel="2" x14ac:dyDescent="0.3">
      <c r="A393" t="s">
        <v>36</v>
      </c>
      <c r="B393" t="s">
        <v>126</v>
      </c>
      <c r="C393" t="s">
        <v>38</v>
      </c>
      <c r="D393" s="4">
        <v>42755</v>
      </c>
      <c r="E393" t="s">
        <v>42</v>
      </c>
      <c r="F393">
        <v>14000</v>
      </c>
      <c r="G393">
        <v>1</v>
      </c>
      <c r="H393">
        <v>0</v>
      </c>
      <c r="I393">
        <v>0</v>
      </c>
      <c r="J393">
        <v>18.399999999999999</v>
      </c>
      <c r="K393" s="2">
        <v>257600</v>
      </c>
    </row>
    <row r="394" spans="1:11" hidden="1" outlineLevel="2" x14ac:dyDescent="0.3">
      <c r="A394" t="s">
        <v>36</v>
      </c>
      <c r="B394" t="s">
        <v>136</v>
      </c>
      <c r="C394" t="s">
        <v>38</v>
      </c>
      <c r="D394" s="4">
        <v>42755</v>
      </c>
      <c r="E394" t="s">
        <v>39</v>
      </c>
      <c r="F394">
        <v>-20000</v>
      </c>
      <c r="G394">
        <v>1</v>
      </c>
      <c r="H394">
        <v>0</v>
      </c>
      <c r="I394">
        <v>0</v>
      </c>
      <c r="J394">
        <v>17.9788</v>
      </c>
      <c r="K394" s="2">
        <v>-359575.74</v>
      </c>
    </row>
    <row r="395" spans="1:11" hidden="1" outlineLevel="2" x14ac:dyDescent="0.3">
      <c r="A395" t="s">
        <v>36</v>
      </c>
      <c r="B395" t="s">
        <v>136</v>
      </c>
      <c r="C395" t="s">
        <v>38</v>
      </c>
      <c r="D395" s="4">
        <v>42755</v>
      </c>
      <c r="E395" t="s">
        <v>42</v>
      </c>
      <c r="F395">
        <v>20000</v>
      </c>
      <c r="G395">
        <v>1</v>
      </c>
      <c r="H395">
        <v>0</v>
      </c>
      <c r="I395">
        <v>0</v>
      </c>
      <c r="J395">
        <v>17.9788</v>
      </c>
      <c r="K395" s="2">
        <v>359575.74</v>
      </c>
    </row>
    <row r="396" spans="1:11" hidden="1" outlineLevel="2" x14ac:dyDescent="0.3">
      <c r="A396" t="s">
        <v>36</v>
      </c>
      <c r="B396" t="s">
        <v>138</v>
      </c>
      <c r="C396" t="s">
        <v>38</v>
      </c>
      <c r="D396" s="4">
        <v>42755</v>
      </c>
      <c r="E396" t="s">
        <v>39</v>
      </c>
      <c r="F396">
        <v>-15000</v>
      </c>
      <c r="G396">
        <v>1</v>
      </c>
      <c r="H396">
        <v>0</v>
      </c>
      <c r="I396">
        <v>0</v>
      </c>
      <c r="J396">
        <v>19.1082</v>
      </c>
      <c r="K396" s="2">
        <v>-286622.88</v>
      </c>
    </row>
    <row r="397" spans="1:11" hidden="1" outlineLevel="2" x14ac:dyDescent="0.3">
      <c r="A397" t="s">
        <v>36</v>
      </c>
      <c r="B397" t="s">
        <v>138</v>
      </c>
      <c r="C397" t="s">
        <v>38</v>
      </c>
      <c r="D397" s="4">
        <v>42755</v>
      </c>
      <c r="E397" t="s">
        <v>42</v>
      </c>
      <c r="F397">
        <v>15000</v>
      </c>
      <c r="G397">
        <v>1</v>
      </c>
      <c r="H397">
        <v>0</v>
      </c>
      <c r="I397">
        <v>0</v>
      </c>
      <c r="J397">
        <v>19.1082</v>
      </c>
      <c r="K397" s="2">
        <v>286622.88</v>
      </c>
    </row>
    <row r="398" spans="1:11" hidden="1" outlineLevel="2" x14ac:dyDescent="0.3">
      <c r="A398" t="s">
        <v>36</v>
      </c>
      <c r="B398" t="s">
        <v>150</v>
      </c>
      <c r="C398" t="s">
        <v>38</v>
      </c>
      <c r="D398" s="4">
        <v>42755</v>
      </c>
      <c r="E398" t="s">
        <v>39</v>
      </c>
      <c r="F398">
        <v>-20000</v>
      </c>
      <c r="G398">
        <v>1</v>
      </c>
      <c r="H398">
        <v>0</v>
      </c>
      <c r="I398">
        <v>0</v>
      </c>
      <c r="J398">
        <v>18.164999999999999</v>
      </c>
      <c r="K398" s="2">
        <v>-363300</v>
      </c>
    </row>
    <row r="399" spans="1:11" hidden="1" outlineLevel="2" x14ac:dyDescent="0.3">
      <c r="A399" t="s">
        <v>36</v>
      </c>
      <c r="B399" t="s">
        <v>150</v>
      </c>
      <c r="C399" t="s">
        <v>38</v>
      </c>
      <c r="D399" s="4">
        <v>42755</v>
      </c>
      <c r="E399" t="s">
        <v>42</v>
      </c>
      <c r="F399">
        <v>20000</v>
      </c>
      <c r="G399">
        <v>1</v>
      </c>
      <c r="H399">
        <v>0</v>
      </c>
      <c r="I399">
        <v>0</v>
      </c>
      <c r="J399">
        <v>18.164999999999999</v>
      </c>
      <c r="K399" s="2">
        <v>363300</v>
      </c>
    </row>
    <row r="400" spans="1:11" hidden="1" outlineLevel="2" x14ac:dyDescent="0.3">
      <c r="A400" t="s">
        <v>36</v>
      </c>
      <c r="B400" t="s">
        <v>37</v>
      </c>
      <c r="C400" t="s">
        <v>38</v>
      </c>
      <c r="D400" s="4">
        <v>42758</v>
      </c>
      <c r="E400" t="s">
        <v>39</v>
      </c>
      <c r="F400">
        <v>-5000</v>
      </c>
      <c r="G400">
        <v>1</v>
      </c>
      <c r="H400">
        <v>0</v>
      </c>
      <c r="I400">
        <v>0</v>
      </c>
      <c r="J400">
        <v>17.153700000000001</v>
      </c>
      <c r="K400" s="2">
        <v>-85768.41</v>
      </c>
    </row>
    <row r="401" spans="1:11" hidden="1" outlineLevel="2" x14ac:dyDescent="0.3">
      <c r="A401" t="s">
        <v>36</v>
      </c>
      <c r="B401" t="s">
        <v>37</v>
      </c>
      <c r="C401" t="s">
        <v>38</v>
      </c>
      <c r="D401" s="4">
        <v>42758</v>
      </c>
      <c r="E401" t="s">
        <v>43</v>
      </c>
      <c r="F401">
        <v>5000</v>
      </c>
      <c r="G401">
        <v>1</v>
      </c>
      <c r="H401">
        <v>0</v>
      </c>
      <c r="I401">
        <v>0</v>
      </c>
      <c r="J401">
        <v>17.153700000000001</v>
      </c>
      <c r="K401" s="2">
        <v>85768.41</v>
      </c>
    </row>
    <row r="402" spans="1:11" hidden="1" outlineLevel="2" x14ac:dyDescent="0.3">
      <c r="A402" t="s">
        <v>36</v>
      </c>
      <c r="B402" t="s">
        <v>48</v>
      </c>
      <c r="C402" t="s">
        <v>38</v>
      </c>
      <c r="D402" s="4">
        <v>42758</v>
      </c>
      <c r="E402" t="s">
        <v>49</v>
      </c>
      <c r="F402">
        <v>20000</v>
      </c>
      <c r="G402">
        <v>0.1</v>
      </c>
      <c r="H402">
        <v>0</v>
      </c>
      <c r="I402">
        <v>0</v>
      </c>
      <c r="J402">
        <v>2.2646000000000002</v>
      </c>
      <c r="K402" s="2">
        <v>45292.6</v>
      </c>
    </row>
    <row r="403" spans="1:11" hidden="1" outlineLevel="2" x14ac:dyDescent="0.3">
      <c r="A403" t="s">
        <v>36</v>
      </c>
      <c r="B403" t="s">
        <v>48</v>
      </c>
      <c r="C403" t="s">
        <v>38</v>
      </c>
      <c r="D403" s="4">
        <v>42758</v>
      </c>
      <c r="E403" t="s">
        <v>51</v>
      </c>
      <c r="F403">
        <v>-20000</v>
      </c>
      <c r="G403">
        <v>0.1</v>
      </c>
      <c r="H403">
        <v>0</v>
      </c>
      <c r="I403">
        <v>0</v>
      </c>
      <c r="J403">
        <v>2.2646000000000002</v>
      </c>
      <c r="K403" s="2">
        <v>-45292.6</v>
      </c>
    </row>
    <row r="404" spans="1:11" hidden="1" outlineLevel="2" x14ac:dyDescent="0.3">
      <c r="A404" t="s">
        <v>36</v>
      </c>
      <c r="B404" t="s">
        <v>72</v>
      </c>
      <c r="C404" t="s">
        <v>38</v>
      </c>
      <c r="D404" s="4">
        <v>42758</v>
      </c>
      <c r="E404" t="s">
        <v>74</v>
      </c>
      <c r="F404">
        <v>-2000</v>
      </c>
      <c r="G404">
        <v>1</v>
      </c>
      <c r="H404">
        <v>0</v>
      </c>
      <c r="I404">
        <v>0</v>
      </c>
      <c r="J404">
        <v>19.636099999999999</v>
      </c>
      <c r="K404" s="2">
        <v>-39272.19</v>
      </c>
    </row>
    <row r="405" spans="1:11" hidden="1" outlineLevel="2" x14ac:dyDescent="0.3">
      <c r="A405" t="s">
        <v>36</v>
      </c>
      <c r="B405" t="s">
        <v>72</v>
      </c>
      <c r="C405" t="s">
        <v>38</v>
      </c>
      <c r="D405" s="4">
        <v>42758</v>
      </c>
      <c r="E405" t="s">
        <v>51</v>
      </c>
      <c r="F405">
        <v>2000</v>
      </c>
      <c r="G405">
        <v>1</v>
      </c>
      <c r="H405">
        <v>0</v>
      </c>
      <c r="I405">
        <v>0</v>
      </c>
      <c r="J405">
        <v>19.636099999999999</v>
      </c>
      <c r="K405" s="2">
        <v>39272.19</v>
      </c>
    </row>
    <row r="406" spans="1:11" hidden="1" outlineLevel="2" x14ac:dyDescent="0.3">
      <c r="A406" t="s">
        <v>36</v>
      </c>
      <c r="B406" t="s">
        <v>82</v>
      </c>
      <c r="C406" t="s">
        <v>38</v>
      </c>
      <c r="D406" s="4">
        <v>42758</v>
      </c>
      <c r="E406" t="s">
        <v>74</v>
      </c>
      <c r="F406">
        <v>-10000</v>
      </c>
      <c r="G406">
        <v>1</v>
      </c>
      <c r="H406">
        <v>0</v>
      </c>
      <c r="I406">
        <v>0</v>
      </c>
      <c r="J406">
        <v>16.083400000000001</v>
      </c>
      <c r="K406" s="2">
        <v>-160833.88</v>
      </c>
    </row>
    <row r="407" spans="1:11" hidden="1" outlineLevel="2" x14ac:dyDescent="0.3">
      <c r="A407" t="s">
        <v>36</v>
      </c>
      <c r="B407" t="s">
        <v>82</v>
      </c>
      <c r="C407" t="s">
        <v>38</v>
      </c>
      <c r="D407" s="4">
        <v>42758</v>
      </c>
      <c r="E407" t="s">
        <v>51</v>
      </c>
      <c r="F407">
        <v>10000</v>
      </c>
      <c r="G407">
        <v>1</v>
      </c>
      <c r="H407">
        <v>0</v>
      </c>
      <c r="I407">
        <v>0</v>
      </c>
      <c r="J407">
        <v>16.083400000000001</v>
      </c>
      <c r="K407" s="2">
        <v>160833.88</v>
      </c>
    </row>
    <row r="408" spans="1:11" hidden="1" outlineLevel="2" x14ac:dyDescent="0.3">
      <c r="A408" t="s">
        <v>36</v>
      </c>
      <c r="B408" t="s">
        <v>82</v>
      </c>
      <c r="C408" t="s">
        <v>38</v>
      </c>
      <c r="D408" s="4">
        <v>42758</v>
      </c>
      <c r="E408" t="s">
        <v>84</v>
      </c>
      <c r="F408">
        <v>156542.22</v>
      </c>
      <c r="G408">
        <v>1</v>
      </c>
      <c r="H408">
        <v>0</v>
      </c>
      <c r="I408">
        <v>0</v>
      </c>
      <c r="J408">
        <v>16.7376</v>
      </c>
      <c r="K408" s="2">
        <v>2620135.84</v>
      </c>
    </row>
    <row r="409" spans="1:11" hidden="1" outlineLevel="2" x14ac:dyDescent="0.3">
      <c r="A409" t="s">
        <v>36</v>
      </c>
      <c r="B409" t="s">
        <v>82</v>
      </c>
      <c r="C409" t="s">
        <v>38</v>
      </c>
      <c r="D409" s="4">
        <v>42758</v>
      </c>
      <c r="E409" t="s">
        <v>47</v>
      </c>
      <c r="F409">
        <v>-156542.22</v>
      </c>
      <c r="G409">
        <v>1</v>
      </c>
      <c r="H409">
        <v>0</v>
      </c>
      <c r="I409">
        <v>0</v>
      </c>
      <c r="J409">
        <v>16.7376</v>
      </c>
      <c r="K409" s="2">
        <v>-2620135.84</v>
      </c>
    </row>
    <row r="410" spans="1:11" hidden="1" outlineLevel="2" x14ac:dyDescent="0.3">
      <c r="A410" t="s">
        <v>36</v>
      </c>
      <c r="B410" t="s">
        <v>86</v>
      </c>
      <c r="C410" t="s">
        <v>38</v>
      </c>
      <c r="D410" s="4">
        <v>42758</v>
      </c>
      <c r="E410" t="s">
        <v>84</v>
      </c>
      <c r="F410">
        <v>598273.5</v>
      </c>
      <c r="G410">
        <v>1</v>
      </c>
      <c r="H410">
        <v>0</v>
      </c>
      <c r="I410">
        <v>0</v>
      </c>
      <c r="J410">
        <v>17.015000000000001</v>
      </c>
      <c r="K410" s="2">
        <v>10179623.6</v>
      </c>
    </row>
    <row r="411" spans="1:11" hidden="1" outlineLevel="2" x14ac:dyDescent="0.3">
      <c r="A411" t="s">
        <v>36</v>
      </c>
      <c r="B411" t="s">
        <v>86</v>
      </c>
      <c r="C411" t="s">
        <v>38</v>
      </c>
      <c r="D411" s="4">
        <v>42758</v>
      </c>
      <c r="E411" t="s">
        <v>47</v>
      </c>
      <c r="F411">
        <v>-598273.5</v>
      </c>
      <c r="G411">
        <v>1</v>
      </c>
      <c r="H411">
        <v>0</v>
      </c>
      <c r="I411">
        <v>0</v>
      </c>
      <c r="J411">
        <v>17.015000000000001</v>
      </c>
      <c r="K411" s="2">
        <v>-10179623.6</v>
      </c>
    </row>
    <row r="412" spans="1:11" hidden="1" outlineLevel="2" x14ac:dyDescent="0.3">
      <c r="A412" t="s">
        <v>36</v>
      </c>
      <c r="B412" t="s">
        <v>109</v>
      </c>
      <c r="C412" t="s">
        <v>38</v>
      </c>
      <c r="D412" s="4">
        <v>42758</v>
      </c>
      <c r="E412" t="s">
        <v>39</v>
      </c>
      <c r="F412">
        <v>-5000</v>
      </c>
      <c r="G412">
        <v>1</v>
      </c>
      <c r="H412">
        <v>0</v>
      </c>
      <c r="I412">
        <v>0</v>
      </c>
      <c r="J412">
        <v>18.664999999999999</v>
      </c>
      <c r="K412" s="2">
        <v>-93325</v>
      </c>
    </row>
    <row r="413" spans="1:11" hidden="1" outlineLevel="2" x14ac:dyDescent="0.3">
      <c r="A413" t="s">
        <v>36</v>
      </c>
      <c r="B413" t="s">
        <v>109</v>
      </c>
      <c r="C413" t="s">
        <v>38</v>
      </c>
      <c r="D413" s="4">
        <v>42758</v>
      </c>
      <c r="E413" t="s">
        <v>41</v>
      </c>
      <c r="F413">
        <v>10000</v>
      </c>
      <c r="G413">
        <v>1</v>
      </c>
      <c r="H413">
        <v>0</v>
      </c>
      <c r="I413">
        <v>0</v>
      </c>
      <c r="J413">
        <v>18.664999999999999</v>
      </c>
      <c r="K413" s="2">
        <v>186650</v>
      </c>
    </row>
    <row r="414" spans="1:11" hidden="1" outlineLevel="2" x14ac:dyDescent="0.3">
      <c r="A414" t="s">
        <v>36</v>
      </c>
      <c r="B414" t="s">
        <v>109</v>
      </c>
      <c r="C414" t="s">
        <v>38</v>
      </c>
      <c r="D414" s="4">
        <v>42758</v>
      </c>
      <c r="E414" t="s">
        <v>42</v>
      </c>
      <c r="F414">
        <v>-10000</v>
      </c>
      <c r="G414">
        <v>1</v>
      </c>
      <c r="H414">
        <v>0</v>
      </c>
      <c r="I414">
        <v>0</v>
      </c>
      <c r="J414">
        <v>18.664999999999999</v>
      </c>
      <c r="K414" s="2">
        <v>-186650</v>
      </c>
    </row>
    <row r="415" spans="1:11" hidden="1" outlineLevel="2" x14ac:dyDescent="0.3">
      <c r="A415" t="s">
        <v>36</v>
      </c>
      <c r="B415" t="s">
        <v>109</v>
      </c>
      <c r="C415" t="s">
        <v>38</v>
      </c>
      <c r="D415" s="4">
        <v>42758</v>
      </c>
      <c r="E415" t="s">
        <v>113</v>
      </c>
      <c r="F415">
        <v>5000</v>
      </c>
      <c r="G415">
        <v>1</v>
      </c>
      <c r="H415">
        <v>0</v>
      </c>
      <c r="I415">
        <v>0</v>
      </c>
      <c r="J415">
        <v>18.664999999999999</v>
      </c>
      <c r="K415" s="2">
        <v>93325</v>
      </c>
    </row>
    <row r="416" spans="1:11" hidden="1" outlineLevel="2" x14ac:dyDescent="0.3">
      <c r="A416" t="s">
        <v>36</v>
      </c>
      <c r="B416" t="s">
        <v>126</v>
      </c>
      <c r="C416" t="s">
        <v>38</v>
      </c>
      <c r="D416" s="4">
        <v>42758</v>
      </c>
      <c r="E416" t="s">
        <v>39</v>
      </c>
      <c r="F416">
        <v>60000</v>
      </c>
      <c r="G416">
        <v>1</v>
      </c>
      <c r="H416">
        <v>0</v>
      </c>
      <c r="I416">
        <v>0</v>
      </c>
      <c r="J416">
        <v>18.34</v>
      </c>
      <c r="K416" s="2">
        <v>1100400</v>
      </c>
    </row>
    <row r="417" spans="1:11" hidden="1" outlineLevel="2" x14ac:dyDescent="0.3">
      <c r="A417" t="s">
        <v>36</v>
      </c>
      <c r="B417" t="s">
        <v>126</v>
      </c>
      <c r="C417" t="s">
        <v>38</v>
      </c>
      <c r="D417" s="4">
        <v>42758</v>
      </c>
      <c r="E417" t="s">
        <v>41</v>
      </c>
      <c r="F417">
        <v>14000</v>
      </c>
      <c r="G417">
        <v>1</v>
      </c>
      <c r="H417">
        <v>0</v>
      </c>
      <c r="I417">
        <v>0</v>
      </c>
      <c r="J417">
        <v>18.399999999999999</v>
      </c>
      <c r="K417" s="2">
        <v>257600</v>
      </c>
    </row>
    <row r="418" spans="1:11" hidden="1" outlineLevel="2" x14ac:dyDescent="0.3">
      <c r="A418" t="s">
        <v>36</v>
      </c>
      <c r="B418" t="s">
        <v>126</v>
      </c>
      <c r="C418" t="s">
        <v>38</v>
      </c>
      <c r="D418" s="4">
        <v>42758</v>
      </c>
      <c r="E418" t="s">
        <v>42</v>
      </c>
      <c r="F418">
        <v>-14000</v>
      </c>
      <c r="G418">
        <v>1</v>
      </c>
      <c r="H418">
        <v>0</v>
      </c>
      <c r="I418">
        <v>0</v>
      </c>
      <c r="J418">
        <v>18.399999999999999</v>
      </c>
      <c r="K418" s="2">
        <v>-257600</v>
      </c>
    </row>
    <row r="419" spans="1:11" hidden="1" outlineLevel="2" x14ac:dyDescent="0.3">
      <c r="A419" t="s">
        <v>36</v>
      </c>
      <c r="B419" t="s">
        <v>126</v>
      </c>
      <c r="C419" t="s">
        <v>38</v>
      </c>
      <c r="D419" s="4">
        <v>42758</v>
      </c>
      <c r="E419" t="s">
        <v>76</v>
      </c>
      <c r="F419">
        <v>-60000</v>
      </c>
      <c r="G419">
        <v>1</v>
      </c>
      <c r="H419">
        <v>0</v>
      </c>
      <c r="I419">
        <v>0</v>
      </c>
      <c r="J419">
        <v>18.34</v>
      </c>
      <c r="K419" s="2">
        <v>-1100400</v>
      </c>
    </row>
    <row r="420" spans="1:11" hidden="1" outlineLevel="2" x14ac:dyDescent="0.3">
      <c r="A420" t="s">
        <v>36</v>
      </c>
      <c r="B420" t="s">
        <v>136</v>
      </c>
      <c r="C420" t="s">
        <v>38</v>
      </c>
      <c r="D420" s="4">
        <v>42758</v>
      </c>
      <c r="E420" t="s">
        <v>41</v>
      </c>
      <c r="F420">
        <v>20000</v>
      </c>
      <c r="G420">
        <v>1</v>
      </c>
      <c r="H420">
        <v>0</v>
      </c>
      <c r="I420">
        <v>0</v>
      </c>
      <c r="J420">
        <v>17.9788</v>
      </c>
      <c r="K420" s="2">
        <v>359575.74</v>
      </c>
    </row>
    <row r="421" spans="1:11" hidden="1" outlineLevel="2" x14ac:dyDescent="0.3">
      <c r="A421" t="s">
        <v>36</v>
      </c>
      <c r="B421" t="s">
        <v>136</v>
      </c>
      <c r="C421" t="s">
        <v>38</v>
      </c>
      <c r="D421" s="4">
        <v>42758</v>
      </c>
      <c r="E421" t="s">
        <v>42</v>
      </c>
      <c r="F421">
        <v>-20000</v>
      </c>
      <c r="G421">
        <v>1</v>
      </c>
      <c r="H421">
        <v>0</v>
      </c>
      <c r="I421">
        <v>0</v>
      </c>
      <c r="J421">
        <v>17.9788</v>
      </c>
      <c r="K421" s="2">
        <v>-359575.74</v>
      </c>
    </row>
    <row r="422" spans="1:11" hidden="1" outlineLevel="2" x14ac:dyDescent="0.3">
      <c r="A422" t="s">
        <v>36</v>
      </c>
      <c r="B422" t="s">
        <v>138</v>
      </c>
      <c r="C422" t="s">
        <v>38</v>
      </c>
      <c r="D422" s="4">
        <v>42758</v>
      </c>
      <c r="E422" t="s">
        <v>41</v>
      </c>
      <c r="F422">
        <v>15000</v>
      </c>
      <c r="G422">
        <v>1</v>
      </c>
      <c r="H422">
        <v>0</v>
      </c>
      <c r="I422">
        <v>0</v>
      </c>
      <c r="J422">
        <v>19.1082</v>
      </c>
      <c r="K422" s="2">
        <v>286622.88</v>
      </c>
    </row>
    <row r="423" spans="1:11" hidden="1" outlineLevel="2" x14ac:dyDescent="0.3">
      <c r="A423" t="s">
        <v>36</v>
      </c>
      <c r="B423" t="s">
        <v>138</v>
      </c>
      <c r="C423" t="s">
        <v>38</v>
      </c>
      <c r="D423" s="4">
        <v>42758</v>
      </c>
      <c r="E423" t="s">
        <v>42</v>
      </c>
      <c r="F423">
        <v>-15000</v>
      </c>
      <c r="G423">
        <v>1</v>
      </c>
      <c r="H423">
        <v>0</v>
      </c>
      <c r="I423">
        <v>0</v>
      </c>
      <c r="J423">
        <v>19.1082</v>
      </c>
      <c r="K423" s="2">
        <v>-286622.88</v>
      </c>
    </row>
    <row r="424" spans="1:11" hidden="1" outlineLevel="2" x14ac:dyDescent="0.3">
      <c r="A424" t="s">
        <v>36</v>
      </c>
      <c r="B424" t="s">
        <v>150</v>
      </c>
      <c r="C424" t="s">
        <v>38</v>
      </c>
      <c r="D424" s="4">
        <v>42758</v>
      </c>
      <c r="E424" t="s">
        <v>41</v>
      </c>
      <c r="F424">
        <v>20000</v>
      </c>
      <c r="G424">
        <v>1</v>
      </c>
      <c r="H424">
        <v>0</v>
      </c>
      <c r="I424">
        <v>0</v>
      </c>
      <c r="J424">
        <v>18.164999999999999</v>
      </c>
      <c r="K424" s="2">
        <v>363300</v>
      </c>
    </row>
    <row r="425" spans="1:11" hidden="1" outlineLevel="2" x14ac:dyDescent="0.3">
      <c r="A425" t="s">
        <v>36</v>
      </c>
      <c r="B425" t="s">
        <v>150</v>
      </c>
      <c r="C425" t="s">
        <v>38</v>
      </c>
      <c r="D425" s="4">
        <v>42758</v>
      </c>
      <c r="E425" t="s">
        <v>42</v>
      </c>
      <c r="F425">
        <v>-20000</v>
      </c>
      <c r="G425">
        <v>1</v>
      </c>
      <c r="H425">
        <v>0</v>
      </c>
      <c r="I425">
        <v>0</v>
      </c>
      <c r="J425">
        <v>18.164999999999999</v>
      </c>
      <c r="K425" s="2">
        <v>-363300</v>
      </c>
    </row>
    <row r="426" spans="1:11" hidden="1" outlineLevel="2" x14ac:dyDescent="0.3">
      <c r="A426" t="s">
        <v>36</v>
      </c>
      <c r="B426" t="s">
        <v>136</v>
      </c>
      <c r="C426" t="s">
        <v>38</v>
      </c>
      <c r="D426" s="4">
        <v>42759</v>
      </c>
      <c r="E426" t="s">
        <v>39</v>
      </c>
      <c r="F426">
        <v>-8250</v>
      </c>
      <c r="G426">
        <v>1</v>
      </c>
      <c r="H426">
        <v>0</v>
      </c>
      <c r="I426">
        <v>0</v>
      </c>
      <c r="J426">
        <v>17.9788</v>
      </c>
      <c r="K426" s="2">
        <v>-148324.99</v>
      </c>
    </row>
    <row r="427" spans="1:11" hidden="1" outlineLevel="2" x14ac:dyDescent="0.3">
      <c r="A427" t="s">
        <v>36</v>
      </c>
      <c r="B427" t="s">
        <v>136</v>
      </c>
      <c r="C427" t="s">
        <v>38</v>
      </c>
      <c r="D427" s="4">
        <v>42759</v>
      </c>
      <c r="E427" t="s">
        <v>56</v>
      </c>
      <c r="F427">
        <v>8250</v>
      </c>
      <c r="G427">
        <v>1</v>
      </c>
      <c r="H427">
        <v>0</v>
      </c>
      <c r="I427">
        <v>0</v>
      </c>
      <c r="J427">
        <v>17.9788</v>
      </c>
      <c r="K427" s="2">
        <v>148324.99</v>
      </c>
    </row>
    <row r="428" spans="1:11" hidden="1" outlineLevel="2" x14ac:dyDescent="0.3">
      <c r="A428" t="s">
        <v>36</v>
      </c>
      <c r="B428" t="s">
        <v>140</v>
      </c>
      <c r="C428" t="s">
        <v>38</v>
      </c>
      <c r="D428" s="4">
        <v>42759</v>
      </c>
      <c r="E428" t="s">
        <v>39</v>
      </c>
      <c r="F428">
        <v>-800</v>
      </c>
      <c r="G428">
        <v>1</v>
      </c>
      <c r="H428">
        <v>0</v>
      </c>
      <c r="I428">
        <v>0</v>
      </c>
      <c r="J428">
        <v>18.1096</v>
      </c>
      <c r="K428" s="2">
        <v>-14487.67</v>
      </c>
    </row>
    <row r="429" spans="1:11" hidden="1" outlineLevel="2" x14ac:dyDescent="0.3">
      <c r="A429" t="s">
        <v>36</v>
      </c>
      <c r="B429" t="s">
        <v>140</v>
      </c>
      <c r="C429" t="s">
        <v>38</v>
      </c>
      <c r="D429" s="4">
        <v>42759</v>
      </c>
      <c r="E429" t="s">
        <v>56</v>
      </c>
      <c r="F429">
        <v>800</v>
      </c>
      <c r="G429">
        <v>1</v>
      </c>
      <c r="H429">
        <v>0</v>
      </c>
      <c r="I429">
        <v>0</v>
      </c>
      <c r="J429">
        <v>18.1096</v>
      </c>
      <c r="K429" s="2">
        <v>14487.67</v>
      </c>
    </row>
    <row r="430" spans="1:11" hidden="1" outlineLevel="2" x14ac:dyDescent="0.3">
      <c r="A430" t="s">
        <v>36</v>
      </c>
      <c r="B430" t="s">
        <v>72</v>
      </c>
      <c r="C430" t="s">
        <v>38</v>
      </c>
      <c r="D430" s="4">
        <v>42760</v>
      </c>
      <c r="E430" t="s">
        <v>39</v>
      </c>
      <c r="F430">
        <v>128000</v>
      </c>
      <c r="G430">
        <v>1</v>
      </c>
      <c r="H430">
        <v>0</v>
      </c>
      <c r="I430">
        <v>0</v>
      </c>
      <c r="J430">
        <v>17.105</v>
      </c>
      <c r="K430" s="2">
        <v>2189440</v>
      </c>
    </row>
    <row r="431" spans="1:11" hidden="1" outlineLevel="2" x14ac:dyDescent="0.3">
      <c r="A431" t="s">
        <v>36</v>
      </c>
      <c r="B431" t="s">
        <v>72</v>
      </c>
      <c r="C431" t="s">
        <v>38</v>
      </c>
      <c r="D431" s="4">
        <v>42760</v>
      </c>
      <c r="E431" t="s">
        <v>73</v>
      </c>
      <c r="F431">
        <v>-20000</v>
      </c>
      <c r="G431">
        <v>1</v>
      </c>
      <c r="H431">
        <v>0</v>
      </c>
      <c r="I431">
        <v>0</v>
      </c>
      <c r="J431">
        <v>19.895800000000001</v>
      </c>
      <c r="K431" s="2">
        <v>-397916.67</v>
      </c>
    </row>
    <row r="432" spans="1:11" hidden="1" outlineLevel="2" x14ac:dyDescent="0.3">
      <c r="A432" t="s">
        <v>36</v>
      </c>
      <c r="B432" t="s">
        <v>72</v>
      </c>
      <c r="C432" t="s">
        <v>38</v>
      </c>
      <c r="D432" s="4">
        <v>42760</v>
      </c>
      <c r="E432" t="s">
        <v>74</v>
      </c>
      <c r="F432">
        <v>20000</v>
      </c>
      <c r="G432">
        <v>1</v>
      </c>
      <c r="H432">
        <v>0</v>
      </c>
      <c r="I432">
        <v>0</v>
      </c>
      <c r="J432">
        <v>19.895800000000001</v>
      </c>
      <c r="K432" s="2">
        <v>397916.67</v>
      </c>
    </row>
    <row r="433" spans="1:11" hidden="1" outlineLevel="2" x14ac:dyDescent="0.3">
      <c r="A433" t="s">
        <v>36</v>
      </c>
      <c r="B433" t="s">
        <v>72</v>
      </c>
      <c r="C433" t="s">
        <v>38</v>
      </c>
      <c r="D433" s="4">
        <v>42760</v>
      </c>
      <c r="E433" t="s">
        <v>76</v>
      </c>
      <c r="F433">
        <v>-128000</v>
      </c>
      <c r="G433">
        <v>1</v>
      </c>
      <c r="H433">
        <v>0</v>
      </c>
      <c r="I433">
        <v>0</v>
      </c>
      <c r="J433">
        <v>17.105</v>
      </c>
      <c r="K433" s="2">
        <v>-2189440</v>
      </c>
    </row>
    <row r="434" spans="1:11" hidden="1" outlineLevel="2" x14ac:dyDescent="0.3">
      <c r="A434" t="s">
        <v>36</v>
      </c>
      <c r="B434" t="s">
        <v>79</v>
      </c>
      <c r="C434" t="s">
        <v>38</v>
      </c>
      <c r="D434" s="4">
        <v>42760</v>
      </c>
      <c r="E434" t="s">
        <v>39</v>
      </c>
      <c r="F434">
        <v>-16</v>
      </c>
      <c r="G434">
        <v>1</v>
      </c>
      <c r="H434">
        <v>0</v>
      </c>
      <c r="I434">
        <v>0</v>
      </c>
      <c r="J434">
        <v>16.604800000000001</v>
      </c>
      <c r="K434" s="2">
        <v>-265.68</v>
      </c>
    </row>
    <row r="435" spans="1:11" hidden="1" outlineLevel="2" x14ac:dyDescent="0.3">
      <c r="A435" t="s">
        <v>36</v>
      </c>
      <c r="B435" t="s">
        <v>79</v>
      </c>
      <c r="C435" t="s">
        <v>38</v>
      </c>
      <c r="D435" s="4">
        <v>42760</v>
      </c>
      <c r="E435" t="s">
        <v>56</v>
      </c>
      <c r="F435">
        <v>16</v>
      </c>
      <c r="G435">
        <v>1</v>
      </c>
      <c r="H435">
        <v>0</v>
      </c>
      <c r="I435">
        <v>0</v>
      </c>
      <c r="J435">
        <v>16.604800000000001</v>
      </c>
      <c r="K435" s="2">
        <v>265.68</v>
      </c>
    </row>
    <row r="436" spans="1:11" hidden="1" outlineLevel="2" x14ac:dyDescent="0.3">
      <c r="A436" t="s">
        <v>36</v>
      </c>
      <c r="B436" t="s">
        <v>160</v>
      </c>
      <c r="C436" t="s">
        <v>38</v>
      </c>
      <c r="D436" s="4">
        <v>42760</v>
      </c>
      <c r="E436" t="s">
        <v>56</v>
      </c>
      <c r="F436">
        <v>-20</v>
      </c>
      <c r="G436">
        <v>1</v>
      </c>
      <c r="H436">
        <v>0</v>
      </c>
      <c r="I436">
        <v>0</v>
      </c>
      <c r="J436">
        <v>16.112500000000001</v>
      </c>
      <c r="K436" s="2">
        <v>-322.25</v>
      </c>
    </row>
    <row r="437" spans="1:11" hidden="1" outlineLevel="2" x14ac:dyDescent="0.3">
      <c r="A437" t="s">
        <v>36</v>
      </c>
      <c r="B437" t="s">
        <v>160</v>
      </c>
      <c r="C437" t="s">
        <v>38</v>
      </c>
      <c r="D437" s="4">
        <v>42760</v>
      </c>
      <c r="E437" t="s">
        <v>161</v>
      </c>
      <c r="F437">
        <v>20</v>
      </c>
      <c r="G437">
        <v>1</v>
      </c>
      <c r="H437">
        <v>0</v>
      </c>
      <c r="I437">
        <v>0</v>
      </c>
      <c r="J437">
        <v>16.112500000000001</v>
      </c>
      <c r="K437" s="2">
        <v>322.25</v>
      </c>
    </row>
    <row r="438" spans="1:11" hidden="1" outlineLevel="2" x14ac:dyDescent="0.3">
      <c r="A438" t="s">
        <v>36</v>
      </c>
      <c r="B438" t="s">
        <v>57</v>
      </c>
      <c r="C438" t="s">
        <v>38</v>
      </c>
      <c r="D438" s="4">
        <v>42761</v>
      </c>
      <c r="E438" t="s">
        <v>39</v>
      </c>
      <c r="F438">
        <v>30000</v>
      </c>
      <c r="G438">
        <v>1</v>
      </c>
      <c r="H438">
        <v>0</v>
      </c>
      <c r="I438">
        <v>0</v>
      </c>
      <c r="J438">
        <v>16.880600000000001</v>
      </c>
      <c r="K438" s="2">
        <v>506417.69</v>
      </c>
    </row>
    <row r="439" spans="1:11" hidden="1" outlineLevel="2" x14ac:dyDescent="0.3">
      <c r="A439" t="s">
        <v>36</v>
      </c>
      <c r="B439" t="s">
        <v>57</v>
      </c>
      <c r="C439" t="s">
        <v>38</v>
      </c>
      <c r="D439" s="4">
        <v>42761</v>
      </c>
      <c r="E439" t="s">
        <v>51</v>
      </c>
      <c r="F439">
        <v>-30000</v>
      </c>
      <c r="G439">
        <v>1</v>
      </c>
      <c r="H439">
        <v>0</v>
      </c>
      <c r="I439">
        <v>0</v>
      </c>
      <c r="J439">
        <v>16.880600000000001</v>
      </c>
      <c r="K439" s="2">
        <v>-506417.69</v>
      </c>
    </row>
    <row r="440" spans="1:11" hidden="1" outlineLevel="2" x14ac:dyDescent="0.3">
      <c r="A440" t="s">
        <v>36</v>
      </c>
      <c r="B440" t="s">
        <v>59</v>
      </c>
      <c r="C440" t="s">
        <v>38</v>
      </c>
      <c r="D440" s="4">
        <v>42761</v>
      </c>
      <c r="E440" t="s">
        <v>39</v>
      </c>
      <c r="F440">
        <v>1000</v>
      </c>
      <c r="G440">
        <v>10</v>
      </c>
      <c r="H440">
        <v>0</v>
      </c>
      <c r="I440">
        <v>0</v>
      </c>
      <c r="J440">
        <v>156.9</v>
      </c>
      <c r="K440" s="2">
        <v>156900</v>
      </c>
    </row>
    <row r="441" spans="1:11" hidden="1" outlineLevel="2" x14ac:dyDescent="0.3">
      <c r="A441" t="s">
        <v>36</v>
      </c>
      <c r="B441" t="s">
        <v>59</v>
      </c>
      <c r="C441" t="s">
        <v>38</v>
      </c>
      <c r="D441" s="4">
        <v>42761</v>
      </c>
      <c r="E441" t="s">
        <v>47</v>
      </c>
      <c r="F441">
        <v>-1000</v>
      </c>
      <c r="G441">
        <v>10</v>
      </c>
      <c r="H441">
        <v>0</v>
      </c>
      <c r="I441">
        <v>0</v>
      </c>
      <c r="J441">
        <v>156.9</v>
      </c>
      <c r="K441" s="2">
        <v>-156900</v>
      </c>
    </row>
    <row r="442" spans="1:11" hidden="1" outlineLevel="2" x14ac:dyDescent="0.3">
      <c r="A442" t="s">
        <v>36</v>
      </c>
      <c r="B442" t="s">
        <v>77</v>
      </c>
      <c r="C442" t="s">
        <v>38</v>
      </c>
      <c r="D442" s="4">
        <v>42761</v>
      </c>
      <c r="E442" t="s">
        <v>39</v>
      </c>
      <c r="F442">
        <v>-803.75</v>
      </c>
      <c r="G442">
        <v>1</v>
      </c>
      <c r="H442">
        <v>0</v>
      </c>
      <c r="I442">
        <v>0</v>
      </c>
      <c r="J442">
        <v>18.178000000000001</v>
      </c>
      <c r="K442" s="2">
        <v>-14610.56</v>
      </c>
    </row>
    <row r="443" spans="1:11" hidden="1" outlineLevel="2" x14ac:dyDescent="0.3">
      <c r="A443" t="s">
        <v>36</v>
      </c>
      <c r="B443" t="s">
        <v>77</v>
      </c>
      <c r="C443" t="s">
        <v>38</v>
      </c>
      <c r="D443" s="4">
        <v>42761</v>
      </c>
      <c r="E443" t="s">
        <v>78</v>
      </c>
      <c r="F443">
        <v>803.75</v>
      </c>
      <c r="G443">
        <v>1</v>
      </c>
      <c r="H443">
        <v>0</v>
      </c>
      <c r="I443">
        <v>0</v>
      </c>
      <c r="J443">
        <v>18.178000000000001</v>
      </c>
      <c r="K443" s="2">
        <v>14610.56</v>
      </c>
    </row>
    <row r="444" spans="1:11" hidden="1" outlineLevel="2" x14ac:dyDescent="0.3">
      <c r="A444" t="s">
        <v>36</v>
      </c>
      <c r="B444" t="s">
        <v>79</v>
      </c>
      <c r="C444" t="s">
        <v>38</v>
      </c>
      <c r="D444" s="4">
        <v>42761</v>
      </c>
      <c r="E444" t="s">
        <v>55</v>
      </c>
      <c r="F444">
        <v>1</v>
      </c>
      <c r="G444">
        <v>1</v>
      </c>
      <c r="H444">
        <v>0</v>
      </c>
      <c r="I444">
        <v>0</v>
      </c>
      <c r="J444">
        <v>16.605</v>
      </c>
      <c r="K444" s="2">
        <v>16.61</v>
      </c>
    </row>
    <row r="445" spans="1:11" hidden="1" outlineLevel="2" x14ac:dyDescent="0.3">
      <c r="A445" t="s">
        <v>36</v>
      </c>
      <c r="B445" t="s">
        <v>79</v>
      </c>
      <c r="C445" t="s">
        <v>38</v>
      </c>
      <c r="D445" s="4">
        <v>42761</v>
      </c>
      <c r="E445" t="s">
        <v>56</v>
      </c>
      <c r="F445">
        <v>-1</v>
      </c>
      <c r="G445">
        <v>1</v>
      </c>
      <c r="H445">
        <v>0</v>
      </c>
      <c r="I445">
        <v>0</v>
      </c>
      <c r="J445">
        <v>16.605</v>
      </c>
      <c r="K445" s="2">
        <v>-16.61</v>
      </c>
    </row>
    <row r="446" spans="1:11" hidden="1" outlineLevel="2" x14ac:dyDescent="0.3">
      <c r="A446" t="s">
        <v>36</v>
      </c>
      <c r="B446" t="s">
        <v>86</v>
      </c>
      <c r="C446" t="s">
        <v>38</v>
      </c>
      <c r="D446" s="4">
        <v>42761</v>
      </c>
      <c r="E446" t="s">
        <v>84</v>
      </c>
      <c r="F446">
        <v>171565.7</v>
      </c>
      <c r="G446">
        <v>1</v>
      </c>
      <c r="H446">
        <v>0</v>
      </c>
      <c r="I446">
        <v>0</v>
      </c>
      <c r="J446">
        <v>17.12</v>
      </c>
      <c r="K446" s="2">
        <v>2937204.79</v>
      </c>
    </row>
    <row r="447" spans="1:11" hidden="1" outlineLevel="2" x14ac:dyDescent="0.3">
      <c r="A447" t="s">
        <v>36</v>
      </c>
      <c r="B447" t="s">
        <v>86</v>
      </c>
      <c r="C447" t="s">
        <v>38</v>
      </c>
      <c r="D447" s="4">
        <v>42761</v>
      </c>
      <c r="E447" t="s">
        <v>47</v>
      </c>
      <c r="F447">
        <v>-171565.7</v>
      </c>
      <c r="G447">
        <v>1</v>
      </c>
      <c r="H447">
        <v>0</v>
      </c>
      <c r="I447">
        <v>0</v>
      </c>
      <c r="J447">
        <v>17.12</v>
      </c>
      <c r="K447" s="2">
        <v>-2937204.79</v>
      </c>
    </row>
    <row r="448" spans="1:11" hidden="1" outlineLevel="2" x14ac:dyDescent="0.3">
      <c r="A448" t="s">
        <v>36</v>
      </c>
      <c r="B448" t="s">
        <v>150</v>
      </c>
      <c r="C448" t="s">
        <v>38</v>
      </c>
      <c r="D448" s="4">
        <v>42761</v>
      </c>
      <c r="E448" t="s">
        <v>39</v>
      </c>
      <c r="F448">
        <v>-10000</v>
      </c>
      <c r="G448">
        <v>1</v>
      </c>
      <c r="H448">
        <v>0</v>
      </c>
      <c r="I448">
        <v>0</v>
      </c>
      <c r="J448">
        <v>18.164999999999999</v>
      </c>
      <c r="K448" s="2">
        <v>-181650</v>
      </c>
    </row>
    <row r="449" spans="1:11" hidden="1" outlineLevel="2" x14ac:dyDescent="0.3">
      <c r="A449" t="s">
        <v>36</v>
      </c>
      <c r="B449" t="s">
        <v>150</v>
      </c>
      <c r="C449" t="s">
        <v>38</v>
      </c>
      <c r="D449" s="4">
        <v>42761</v>
      </c>
      <c r="E449" t="s">
        <v>151</v>
      </c>
      <c r="F449">
        <v>10000</v>
      </c>
      <c r="G449">
        <v>1</v>
      </c>
      <c r="H449">
        <v>0</v>
      </c>
      <c r="I449">
        <v>0</v>
      </c>
      <c r="J449">
        <v>18.164999999999999</v>
      </c>
      <c r="K449" s="2">
        <v>181650</v>
      </c>
    </row>
    <row r="450" spans="1:11" hidden="1" outlineLevel="2" x14ac:dyDescent="0.3">
      <c r="A450" t="s">
        <v>36</v>
      </c>
      <c r="B450" t="s">
        <v>105</v>
      </c>
      <c r="C450" t="s">
        <v>38</v>
      </c>
      <c r="D450" s="4">
        <v>42762</v>
      </c>
      <c r="E450" t="s">
        <v>56</v>
      </c>
      <c r="F450">
        <v>-100</v>
      </c>
      <c r="G450">
        <v>5</v>
      </c>
      <c r="H450">
        <v>0</v>
      </c>
      <c r="I450">
        <v>0</v>
      </c>
      <c r="J450">
        <v>91.440299999999993</v>
      </c>
      <c r="K450" s="2">
        <v>-9144.0300000000007</v>
      </c>
    </row>
    <row r="451" spans="1:11" hidden="1" outlineLevel="2" x14ac:dyDescent="0.3">
      <c r="A451" t="s">
        <v>36</v>
      </c>
      <c r="B451" t="s">
        <v>105</v>
      </c>
      <c r="C451" t="s">
        <v>38</v>
      </c>
      <c r="D451" s="4">
        <v>42762</v>
      </c>
      <c r="E451" t="s">
        <v>106</v>
      </c>
      <c r="F451">
        <v>100</v>
      </c>
      <c r="G451">
        <v>5</v>
      </c>
      <c r="H451">
        <v>0</v>
      </c>
      <c r="I451">
        <v>0</v>
      </c>
      <c r="J451">
        <v>91.440299999999993</v>
      </c>
      <c r="K451" s="2">
        <v>9144.0300000000007</v>
      </c>
    </row>
    <row r="452" spans="1:11" hidden="1" outlineLevel="2" x14ac:dyDescent="0.3">
      <c r="A452" t="s">
        <v>36</v>
      </c>
      <c r="B452" t="s">
        <v>52</v>
      </c>
      <c r="C452" t="s">
        <v>38</v>
      </c>
      <c r="D452" s="4">
        <v>42765</v>
      </c>
      <c r="E452" t="s">
        <v>39</v>
      </c>
      <c r="F452">
        <v>-8400</v>
      </c>
      <c r="G452">
        <v>0.25</v>
      </c>
      <c r="H452">
        <v>0</v>
      </c>
      <c r="I452">
        <v>0</v>
      </c>
      <c r="J452">
        <v>5.4962999999999997</v>
      </c>
      <c r="K452" s="2">
        <v>-46168.5</v>
      </c>
    </row>
    <row r="453" spans="1:11" hidden="1" outlineLevel="2" x14ac:dyDescent="0.3">
      <c r="A453" t="s">
        <v>36</v>
      </c>
      <c r="B453" t="s">
        <v>52</v>
      </c>
      <c r="C453" t="s">
        <v>38</v>
      </c>
      <c r="D453" s="4">
        <v>42765</v>
      </c>
      <c r="E453" t="s">
        <v>49</v>
      </c>
      <c r="F453">
        <v>8400</v>
      </c>
      <c r="G453">
        <v>0.25</v>
      </c>
      <c r="H453">
        <v>0</v>
      </c>
      <c r="I453">
        <v>0</v>
      </c>
      <c r="J453">
        <v>5.4962999999999997</v>
      </c>
      <c r="K453" s="2">
        <v>46168.5</v>
      </c>
    </row>
    <row r="454" spans="1:11" hidden="1" outlineLevel="2" x14ac:dyDescent="0.3">
      <c r="A454" t="s">
        <v>36</v>
      </c>
      <c r="B454" t="s">
        <v>54</v>
      </c>
      <c r="C454" t="s">
        <v>38</v>
      </c>
      <c r="D454" s="4">
        <v>42765</v>
      </c>
      <c r="E454" t="s">
        <v>55</v>
      </c>
      <c r="F454">
        <v>1</v>
      </c>
      <c r="G454">
        <v>5</v>
      </c>
      <c r="H454">
        <v>0</v>
      </c>
      <c r="I454">
        <v>0</v>
      </c>
      <c r="J454">
        <v>80.552199999999999</v>
      </c>
      <c r="K454" s="2">
        <v>80.55</v>
      </c>
    </row>
    <row r="455" spans="1:11" hidden="1" outlineLevel="2" x14ac:dyDescent="0.3">
      <c r="A455" t="s">
        <v>36</v>
      </c>
      <c r="B455" t="s">
        <v>54</v>
      </c>
      <c r="C455" t="s">
        <v>38</v>
      </c>
      <c r="D455" s="4">
        <v>42765</v>
      </c>
      <c r="E455" t="s">
        <v>56</v>
      </c>
      <c r="F455">
        <v>-1</v>
      </c>
      <c r="G455">
        <v>5</v>
      </c>
      <c r="H455">
        <v>0</v>
      </c>
      <c r="I455">
        <v>0</v>
      </c>
      <c r="J455">
        <v>80.552199999999999</v>
      </c>
      <c r="K455" s="2">
        <v>-80.55</v>
      </c>
    </row>
    <row r="456" spans="1:11" hidden="1" outlineLevel="2" x14ac:dyDescent="0.3">
      <c r="A456" t="s">
        <v>36</v>
      </c>
      <c r="B456" t="s">
        <v>61</v>
      </c>
      <c r="C456" t="s">
        <v>38</v>
      </c>
      <c r="D456" s="4">
        <v>42765</v>
      </c>
      <c r="E456" t="s">
        <v>55</v>
      </c>
      <c r="F456">
        <v>1</v>
      </c>
      <c r="G456">
        <v>10</v>
      </c>
      <c r="H456">
        <v>0</v>
      </c>
      <c r="I456">
        <v>0</v>
      </c>
      <c r="J456">
        <v>172.90440000000001</v>
      </c>
      <c r="K456" s="2">
        <v>172.9</v>
      </c>
    </row>
    <row r="457" spans="1:11" hidden="1" outlineLevel="2" x14ac:dyDescent="0.3">
      <c r="A457" t="s">
        <v>36</v>
      </c>
      <c r="B457" t="s">
        <v>61</v>
      </c>
      <c r="C457" t="s">
        <v>38</v>
      </c>
      <c r="D457" s="4">
        <v>42765</v>
      </c>
      <c r="E457" t="s">
        <v>56</v>
      </c>
      <c r="F457">
        <v>-1</v>
      </c>
      <c r="G457">
        <v>10</v>
      </c>
      <c r="H457">
        <v>0</v>
      </c>
      <c r="I457">
        <v>0</v>
      </c>
      <c r="J457">
        <v>172.90440000000001</v>
      </c>
      <c r="K457" s="2">
        <v>-172.9</v>
      </c>
    </row>
    <row r="458" spans="1:11" hidden="1" outlineLevel="2" x14ac:dyDescent="0.3">
      <c r="A458" t="s">
        <v>36</v>
      </c>
      <c r="B458" t="s">
        <v>82</v>
      </c>
      <c r="C458" t="s">
        <v>38</v>
      </c>
      <c r="D458" s="4">
        <v>42765</v>
      </c>
      <c r="E458" t="s">
        <v>39</v>
      </c>
      <c r="F458">
        <v>-301834.26</v>
      </c>
      <c r="G458">
        <v>1</v>
      </c>
      <c r="H458">
        <v>0</v>
      </c>
      <c r="I458">
        <v>0</v>
      </c>
      <c r="J458">
        <v>16.456900000000001</v>
      </c>
      <c r="K458" s="2">
        <v>-4967246.88</v>
      </c>
    </row>
    <row r="459" spans="1:11" hidden="1" outlineLevel="2" x14ac:dyDescent="0.3">
      <c r="A459" t="s">
        <v>36</v>
      </c>
      <c r="B459" t="s">
        <v>82</v>
      </c>
      <c r="C459" t="s">
        <v>38</v>
      </c>
      <c r="D459" s="4">
        <v>42765</v>
      </c>
      <c r="E459" t="s">
        <v>39</v>
      </c>
      <c r="F459">
        <v>301834.26</v>
      </c>
      <c r="G459">
        <v>1</v>
      </c>
      <c r="H459">
        <v>0</v>
      </c>
      <c r="I459">
        <v>0</v>
      </c>
      <c r="J459">
        <v>16.456900000000001</v>
      </c>
      <c r="K459" s="2">
        <v>4967246.88</v>
      </c>
    </row>
    <row r="460" spans="1:11" hidden="1" outlineLevel="2" x14ac:dyDescent="0.3">
      <c r="A460" t="s">
        <v>36</v>
      </c>
      <c r="B460" t="s">
        <v>82</v>
      </c>
      <c r="C460" t="s">
        <v>38</v>
      </c>
      <c r="D460" s="4">
        <v>42765</v>
      </c>
      <c r="E460" t="s">
        <v>84</v>
      </c>
      <c r="F460">
        <v>301834.26</v>
      </c>
      <c r="G460">
        <v>1</v>
      </c>
      <c r="H460">
        <v>0</v>
      </c>
      <c r="I460">
        <v>0</v>
      </c>
      <c r="J460">
        <v>16.456900000000001</v>
      </c>
      <c r="K460" s="2">
        <v>4967246.88</v>
      </c>
    </row>
    <row r="461" spans="1:11" hidden="1" outlineLevel="2" x14ac:dyDescent="0.3">
      <c r="A461" t="s">
        <v>36</v>
      </c>
      <c r="B461" t="s">
        <v>82</v>
      </c>
      <c r="C461" t="s">
        <v>38</v>
      </c>
      <c r="D461" s="4">
        <v>42765</v>
      </c>
      <c r="E461" t="s">
        <v>84</v>
      </c>
      <c r="F461">
        <v>-301834.26</v>
      </c>
      <c r="G461">
        <v>1</v>
      </c>
      <c r="H461">
        <v>0</v>
      </c>
      <c r="I461">
        <v>0</v>
      </c>
      <c r="J461">
        <v>16.456900000000001</v>
      </c>
      <c r="K461" s="2">
        <v>-4967246.88</v>
      </c>
    </row>
    <row r="462" spans="1:11" hidden="1" outlineLevel="2" x14ac:dyDescent="0.3">
      <c r="A462" t="s">
        <v>36</v>
      </c>
      <c r="B462" t="s">
        <v>82</v>
      </c>
      <c r="C462" t="s">
        <v>38</v>
      </c>
      <c r="D462" s="4">
        <v>42765</v>
      </c>
      <c r="E462" t="s">
        <v>84</v>
      </c>
      <c r="F462">
        <v>301834.26</v>
      </c>
      <c r="G462">
        <v>1</v>
      </c>
      <c r="H462">
        <v>0</v>
      </c>
      <c r="I462">
        <v>0</v>
      </c>
      <c r="J462">
        <v>16.775500000000001</v>
      </c>
      <c r="K462" s="2">
        <v>5063426.68</v>
      </c>
    </row>
    <row r="463" spans="1:11" hidden="1" outlineLevel="2" x14ac:dyDescent="0.3">
      <c r="A463" t="s">
        <v>36</v>
      </c>
      <c r="B463" t="s">
        <v>82</v>
      </c>
      <c r="C463" t="s">
        <v>38</v>
      </c>
      <c r="D463" s="4">
        <v>42765</v>
      </c>
      <c r="E463" t="s">
        <v>47</v>
      </c>
      <c r="F463">
        <v>-301834.26</v>
      </c>
      <c r="G463">
        <v>1</v>
      </c>
      <c r="H463">
        <v>0</v>
      </c>
      <c r="I463">
        <v>0</v>
      </c>
      <c r="J463">
        <v>16.775500000000001</v>
      </c>
      <c r="K463" s="2">
        <v>-5063426.68</v>
      </c>
    </row>
    <row r="464" spans="1:11" hidden="1" outlineLevel="2" x14ac:dyDescent="0.3">
      <c r="A464" t="s">
        <v>36</v>
      </c>
      <c r="B464" t="s">
        <v>86</v>
      </c>
      <c r="C464" t="s">
        <v>38</v>
      </c>
      <c r="D464" s="4">
        <v>42765</v>
      </c>
      <c r="E464" t="s">
        <v>39</v>
      </c>
      <c r="F464">
        <v>-131110.70000000001</v>
      </c>
      <c r="G464">
        <v>1</v>
      </c>
      <c r="H464">
        <v>0</v>
      </c>
      <c r="I464">
        <v>0</v>
      </c>
      <c r="J464">
        <v>16.529599999999999</v>
      </c>
      <c r="K464" s="2">
        <v>-2167210.36</v>
      </c>
    </row>
    <row r="465" spans="1:11" hidden="1" outlineLevel="2" x14ac:dyDescent="0.3">
      <c r="A465" t="s">
        <v>36</v>
      </c>
      <c r="B465" t="s">
        <v>86</v>
      </c>
      <c r="C465" t="s">
        <v>38</v>
      </c>
      <c r="D465" s="4">
        <v>42765</v>
      </c>
      <c r="E465" t="s">
        <v>39</v>
      </c>
      <c r="F465">
        <v>131110.70000000001</v>
      </c>
      <c r="G465">
        <v>1</v>
      </c>
      <c r="H465">
        <v>0</v>
      </c>
      <c r="I465">
        <v>0</v>
      </c>
      <c r="J465">
        <v>16.529599999999999</v>
      </c>
      <c r="K465" s="2">
        <v>2167210.36</v>
      </c>
    </row>
    <row r="466" spans="1:11" hidden="1" outlineLevel="2" x14ac:dyDescent="0.3">
      <c r="A466" t="s">
        <v>36</v>
      </c>
      <c r="B466" t="s">
        <v>86</v>
      </c>
      <c r="C466" t="s">
        <v>38</v>
      </c>
      <c r="D466" s="4">
        <v>42765</v>
      </c>
      <c r="E466" t="s">
        <v>84</v>
      </c>
      <c r="F466">
        <v>131110.70000000001</v>
      </c>
      <c r="G466">
        <v>1</v>
      </c>
      <c r="H466">
        <v>0</v>
      </c>
      <c r="I466">
        <v>0</v>
      </c>
      <c r="J466">
        <v>16.529599999999999</v>
      </c>
      <c r="K466" s="2">
        <v>2167210.36</v>
      </c>
    </row>
    <row r="467" spans="1:11" hidden="1" outlineLevel="2" x14ac:dyDescent="0.3">
      <c r="A467" t="s">
        <v>36</v>
      </c>
      <c r="B467" t="s">
        <v>86</v>
      </c>
      <c r="C467" t="s">
        <v>38</v>
      </c>
      <c r="D467" s="4">
        <v>42765</v>
      </c>
      <c r="E467" t="s">
        <v>84</v>
      </c>
      <c r="F467">
        <v>-131110.70000000001</v>
      </c>
      <c r="G467">
        <v>1</v>
      </c>
      <c r="H467">
        <v>0</v>
      </c>
      <c r="I467">
        <v>0</v>
      </c>
      <c r="J467">
        <v>16.529599999999999</v>
      </c>
      <c r="K467" s="2">
        <v>-2167210.36</v>
      </c>
    </row>
    <row r="468" spans="1:11" hidden="1" outlineLevel="2" x14ac:dyDescent="0.3">
      <c r="A468" t="s">
        <v>36</v>
      </c>
      <c r="B468" t="s">
        <v>86</v>
      </c>
      <c r="C468" t="s">
        <v>38</v>
      </c>
      <c r="D468" s="4">
        <v>42765</v>
      </c>
      <c r="E468" t="s">
        <v>84</v>
      </c>
      <c r="F468">
        <v>131110.70000000001</v>
      </c>
      <c r="G468">
        <v>1</v>
      </c>
      <c r="H468">
        <v>0</v>
      </c>
      <c r="I468">
        <v>0</v>
      </c>
      <c r="J468">
        <v>17.12</v>
      </c>
      <c r="K468" s="2">
        <v>2244615.1800000002</v>
      </c>
    </row>
    <row r="469" spans="1:11" hidden="1" outlineLevel="2" x14ac:dyDescent="0.3">
      <c r="A469" t="s">
        <v>36</v>
      </c>
      <c r="B469" t="s">
        <v>86</v>
      </c>
      <c r="C469" t="s">
        <v>38</v>
      </c>
      <c r="D469" s="4">
        <v>42765</v>
      </c>
      <c r="E469" t="s">
        <v>47</v>
      </c>
      <c r="F469">
        <v>-131110.70000000001</v>
      </c>
      <c r="G469">
        <v>1</v>
      </c>
      <c r="H469">
        <v>0</v>
      </c>
      <c r="I469">
        <v>0</v>
      </c>
      <c r="J469">
        <v>17.12</v>
      </c>
      <c r="K469" s="2">
        <v>-2244615.1800000002</v>
      </c>
    </row>
    <row r="470" spans="1:11" hidden="1" outlineLevel="2" x14ac:dyDescent="0.3">
      <c r="A470" t="s">
        <v>36</v>
      </c>
      <c r="B470" t="s">
        <v>88</v>
      </c>
      <c r="C470" t="s">
        <v>38</v>
      </c>
      <c r="D470" s="4">
        <v>42765</v>
      </c>
      <c r="E470" t="s">
        <v>55</v>
      </c>
      <c r="F470">
        <v>20</v>
      </c>
      <c r="G470">
        <v>1</v>
      </c>
      <c r="H470">
        <v>0</v>
      </c>
      <c r="I470">
        <v>0</v>
      </c>
      <c r="J470">
        <v>16.6812</v>
      </c>
      <c r="K470" s="2">
        <v>333.62</v>
      </c>
    </row>
    <row r="471" spans="1:11" hidden="1" outlineLevel="2" x14ac:dyDescent="0.3">
      <c r="A471" t="s">
        <v>36</v>
      </c>
      <c r="B471" t="s">
        <v>88</v>
      </c>
      <c r="C471" t="s">
        <v>38</v>
      </c>
      <c r="D471" s="4">
        <v>42765</v>
      </c>
      <c r="E471" t="s">
        <v>56</v>
      </c>
      <c r="F471">
        <v>-20</v>
      </c>
      <c r="G471">
        <v>1</v>
      </c>
      <c r="H471">
        <v>0</v>
      </c>
      <c r="I471">
        <v>0</v>
      </c>
      <c r="J471">
        <v>16.6812</v>
      </c>
      <c r="K471" s="2">
        <v>-333.62</v>
      </c>
    </row>
    <row r="472" spans="1:11" hidden="1" outlineLevel="2" x14ac:dyDescent="0.3">
      <c r="A472" t="s">
        <v>36</v>
      </c>
      <c r="B472" t="s">
        <v>96</v>
      </c>
      <c r="C472" t="s">
        <v>38</v>
      </c>
      <c r="D472" s="4">
        <v>42765</v>
      </c>
      <c r="E472" t="s">
        <v>55</v>
      </c>
      <c r="F472">
        <v>20</v>
      </c>
      <c r="G472">
        <v>1</v>
      </c>
      <c r="H472">
        <v>0</v>
      </c>
      <c r="I472">
        <v>0</v>
      </c>
      <c r="J472">
        <v>15.5006</v>
      </c>
      <c r="K472" s="2">
        <v>310.01</v>
      </c>
    </row>
    <row r="473" spans="1:11" hidden="1" outlineLevel="2" x14ac:dyDescent="0.3">
      <c r="A473" t="s">
        <v>36</v>
      </c>
      <c r="B473" t="s">
        <v>96</v>
      </c>
      <c r="C473" t="s">
        <v>38</v>
      </c>
      <c r="D473" s="4">
        <v>42765</v>
      </c>
      <c r="E473" t="s">
        <v>56</v>
      </c>
      <c r="F473">
        <v>-20</v>
      </c>
      <c r="G473">
        <v>1</v>
      </c>
      <c r="H473">
        <v>0</v>
      </c>
      <c r="I473">
        <v>0</v>
      </c>
      <c r="J473">
        <v>15.5006</v>
      </c>
      <c r="K473" s="2">
        <v>-310.01</v>
      </c>
    </row>
    <row r="474" spans="1:11" hidden="1" outlineLevel="2" x14ac:dyDescent="0.3">
      <c r="A474" t="s">
        <v>36</v>
      </c>
      <c r="B474" t="s">
        <v>97</v>
      </c>
      <c r="C474" t="s">
        <v>38</v>
      </c>
      <c r="D474" s="4">
        <v>42765</v>
      </c>
      <c r="E474" t="s">
        <v>55</v>
      </c>
      <c r="F474">
        <v>1</v>
      </c>
      <c r="G474">
        <v>1</v>
      </c>
      <c r="H474">
        <v>0</v>
      </c>
      <c r="I474">
        <v>0</v>
      </c>
      <c r="J474">
        <v>24</v>
      </c>
      <c r="K474" s="2">
        <v>24</v>
      </c>
    </row>
    <row r="475" spans="1:11" hidden="1" outlineLevel="2" x14ac:dyDescent="0.3">
      <c r="A475" t="s">
        <v>36</v>
      </c>
      <c r="B475" t="s">
        <v>97</v>
      </c>
      <c r="C475" t="s">
        <v>38</v>
      </c>
      <c r="D475" s="4">
        <v>42765</v>
      </c>
      <c r="E475" t="s">
        <v>56</v>
      </c>
      <c r="F475">
        <v>-1</v>
      </c>
      <c r="G475">
        <v>1</v>
      </c>
      <c r="H475">
        <v>0</v>
      </c>
      <c r="I475">
        <v>0</v>
      </c>
      <c r="J475">
        <v>24</v>
      </c>
      <c r="K475" s="2">
        <v>-24</v>
      </c>
    </row>
    <row r="476" spans="1:11" hidden="1" outlineLevel="2" x14ac:dyDescent="0.3">
      <c r="A476" t="s">
        <v>36</v>
      </c>
      <c r="B476" t="s">
        <v>98</v>
      </c>
      <c r="C476" t="s">
        <v>38</v>
      </c>
      <c r="D476" s="4">
        <v>42765</v>
      </c>
      <c r="E476" t="s">
        <v>55</v>
      </c>
      <c r="F476">
        <v>1</v>
      </c>
      <c r="G476">
        <v>5</v>
      </c>
      <c r="H476">
        <v>0</v>
      </c>
      <c r="I476">
        <v>0</v>
      </c>
      <c r="J476">
        <v>87.337299999999999</v>
      </c>
      <c r="K476" s="2">
        <v>87.34</v>
      </c>
    </row>
    <row r="477" spans="1:11" hidden="1" outlineLevel="2" x14ac:dyDescent="0.3">
      <c r="A477" t="s">
        <v>36</v>
      </c>
      <c r="B477" t="s">
        <v>98</v>
      </c>
      <c r="C477" t="s">
        <v>38</v>
      </c>
      <c r="D477" s="4">
        <v>42765</v>
      </c>
      <c r="E477" t="s">
        <v>56</v>
      </c>
      <c r="F477">
        <v>-1</v>
      </c>
      <c r="G477">
        <v>5</v>
      </c>
      <c r="H477">
        <v>0</v>
      </c>
      <c r="I477">
        <v>0</v>
      </c>
      <c r="J477">
        <v>87.337299999999999</v>
      </c>
      <c r="K477" s="2">
        <v>-87.34</v>
      </c>
    </row>
    <row r="478" spans="1:11" hidden="1" outlineLevel="2" x14ac:dyDescent="0.3">
      <c r="A478" t="s">
        <v>36</v>
      </c>
      <c r="B478" t="s">
        <v>99</v>
      </c>
      <c r="C478" t="s">
        <v>38</v>
      </c>
      <c r="D478" s="4">
        <v>42765</v>
      </c>
      <c r="E478" t="s">
        <v>55</v>
      </c>
      <c r="F478">
        <v>1</v>
      </c>
      <c r="G478">
        <v>5</v>
      </c>
      <c r="H478">
        <v>0</v>
      </c>
      <c r="I478">
        <v>0</v>
      </c>
      <c r="J478">
        <v>87.954400000000007</v>
      </c>
      <c r="K478" s="2">
        <v>87.95</v>
      </c>
    </row>
    <row r="479" spans="1:11" hidden="1" outlineLevel="2" x14ac:dyDescent="0.3">
      <c r="A479" t="s">
        <v>36</v>
      </c>
      <c r="B479" t="s">
        <v>99</v>
      </c>
      <c r="C479" t="s">
        <v>38</v>
      </c>
      <c r="D479" s="4">
        <v>42765</v>
      </c>
      <c r="E479" t="s">
        <v>56</v>
      </c>
      <c r="F479">
        <v>-1</v>
      </c>
      <c r="G479">
        <v>5</v>
      </c>
      <c r="H479">
        <v>0</v>
      </c>
      <c r="I479">
        <v>0</v>
      </c>
      <c r="J479">
        <v>87.954400000000007</v>
      </c>
      <c r="K479" s="2">
        <v>-87.95</v>
      </c>
    </row>
    <row r="480" spans="1:11" hidden="1" outlineLevel="2" x14ac:dyDescent="0.3">
      <c r="A480" t="s">
        <v>36</v>
      </c>
      <c r="B480" t="s">
        <v>100</v>
      </c>
      <c r="C480" t="s">
        <v>38</v>
      </c>
      <c r="D480" s="4">
        <v>42765</v>
      </c>
      <c r="E480" t="s">
        <v>55</v>
      </c>
      <c r="F480">
        <v>1</v>
      </c>
      <c r="G480">
        <v>5</v>
      </c>
      <c r="H480">
        <v>0</v>
      </c>
      <c r="I480">
        <v>0</v>
      </c>
      <c r="J480">
        <v>91.048199999999994</v>
      </c>
      <c r="K480" s="2">
        <v>91.05</v>
      </c>
    </row>
    <row r="481" spans="1:11" hidden="1" outlineLevel="2" x14ac:dyDescent="0.3">
      <c r="A481" t="s">
        <v>36</v>
      </c>
      <c r="B481" t="s">
        <v>100</v>
      </c>
      <c r="C481" t="s">
        <v>38</v>
      </c>
      <c r="D481" s="4">
        <v>42765</v>
      </c>
      <c r="E481" t="s">
        <v>56</v>
      </c>
      <c r="F481">
        <v>-1</v>
      </c>
      <c r="G481">
        <v>5</v>
      </c>
      <c r="H481">
        <v>0</v>
      </c>
      <c r="I481">
        <v>0</v>
      </c>
      <c r="J481">
        <v>91.048199999999994</v>
      </c>
      <c r="K481" s="2">
        <v>-91.05</v>
      </c>
    </row>
    <row r="482" spans="1:11" hidden="1" outlineLevel="2" x14ac:dyDescent="0.3">
      <c r="A482" t="s">
        <v>36</v>
      </c>
      <c r="B482" t="s">
        <v>101</v>
      </c>
      <c r="C482" t="s">
        <v>38</v>
      </c>
      <c r="D482" s="4">
        <v>42765</v>
      </c>
      <c r="E482" t="s">
        <v>55</v>
      </c>
      <c r="F482">
        <v>20</v>
      </c>
      <c r="G482">
        <v>1</v>
      </c>
      <c r="H482">
        <v>0</v>
      </c>
      <c r="I482">
        <v>0</v>
      </c>
      <c r="J482">
        <v>19.002300000000002</v>
      </c>
      <c r="K482" s="2">
        <v>380.05</v>
      </c>
    </row>
    <row r="483" spans="1:11" hidden="1" outlineLevel="2" x14ac:dyDescent="0.3">
      <c r="A483" t="s">
        <v>36</v>
      </c>
      <c r="B483" t="s">
        <v>101</v>
      </c>
      <c r="C483" t="s">
        <v>38</v>
      </c>
      <c r="D483" s="4">
        <v>42765</v>
      </c>
      <c r="E483" t="s">
        <v>56</v>
      </c>
      <c r="F483">
        <v>-20</v>
      </c>
      <c r="G483">
        <v>1</v>
      </c>
      <c r="H483">
        <v>0</v>
      </c>
      <c r="I483">
        <v>0</v>
      </c>
      <c r="J483">
        <v>19.002300000000002</v>
      </c>
      <c r="K483" s="2">
        <v>-380.05</v>
      </c>
    </row>
    <row r="484" spans="1:11" hidden="1" outlineLevel="2" x14ac:dyDescent="0.3">
      <c r="A484" t="s">
        <v>36</v>
      </c>
      <c r="B484" t="s">
        <v>103</v>
      </c>
      <c r="C484" t="s">
        <v>38</v>
      </c>
      <c r="D484" s="4">
        <v>42765</v>
      </c>
      <c r="E484" t="s">
        <v>55</v>
      </c>
      <c r="F484">
        <v>1</v>
      </c>
      <c r="G484">
        <v>5</v>
      </c>
      <c r="H484">
        <v>0</v>
      </c>
      <c r="I484">
        <v>0</v>
      </c>
      <c r="J484">
        <v>92.850800000000007</v>
      </c>
      <c r="K484" s="2">
        <v>92.85</v>
      </c>
    </row>
    <row r="485" spans="1:11" hidden="1" outlineLevel="2" x14ac:dyDescent="0.3">
      <c r="A485" t="s">
        <v>36</v>
      </c>
      <c r="B485" t="s">
        <v>103</v>
      </c>
      <c r="C485" t="s">
        <v>38</v>
      </c>
      <c r="D485" s="4">
        <v>42765</v>
      </c>
      <c r="E485" t="s">
        <v>56</v>
      </c>
      <c r="F485">
        <v>-1</v>
      </c>
      <c r="G485">
        <v>5</v>
      </c>
      <c r="H485">
        <v>0</v>
      </c>
      <c r="I485">
        <v>0</v>
      </c>
      <c r="J485">
        <v>92.850800000000007</v>
      </c>
      <c r="K485" s="2">
        <v>-92.85</v>
      </c>
    </row>
    <row r="486" spans="1:11" hidden="1" outlineLevel="2" x14ac:dyDescent="0.3">
      <c r="A486" t="s">
        <v>36</v>
      </c>
      <c r="B486" t="s">
        <v>104</v>
      </c>
      <c r="C486" t="s">
        <v>38</v>
      </c>
      <c r="D486" s="4">
        <v>42765</v>
      </c>
      <c r="E486" t="s">
        <v>55</v>
      </c>
      <c r="F486">
        <v>1</v>
      </c>
      <c r="G486">
        <v>5</v>
      </c>
      <c r="H486">
        <v>0</v>
      </c>
      <c r="I486">
        <v>0</v>
      </c>
      <c r="J486">
        <v>4.7169999999999996</v>
      </c>
      <c r="K486" s="2">
        <v>4.72</v>
      </c>
    </row>
    <row r="487" spans="1:11" hidden="1" outlineLevel="2" x14ac:dyDescent="0.3">
      <c r="A487" t="s">
        <v>36</v>
      </c>
      <c r="B487" t="s">
        <v>104</v>
      </c>
      <c r="C487" t="s">
        <v>38</v>
      </c>
      <c r="D487" s="4">
        <v>42765</v>
      </c>
      <c r="E487" t="s">
        <v>56</v>
      </c>
      <c r="F487">
        <v>-1</v>
      </c>
      <c r="G487">
        <v>5</v>
      </c>
      <c r="H487">
        <v>0</v>
      </c>
      <c r="I487">
        <v>0</v>
      </c>
      <c r="J487">
        <v>4.7169999999999996</v>
      </c>
      <c r="K487" s="2">
        <v>-4.72</v>
      </c>
    </row>
    <row r="488" spans="1:11" hidden="1" outlineLevel="2" x14ac:dyDescent="0.3">
      <c r="A488" t="s">
        <v>36</v>
      </c>
      <c r="B488" t="s">
        <v>105</v>
      </c>
      <c r="C488" t="s">
        <v>38</v>
      </c>
      <c r="D488" s="4">
        <v>42765</v>
      </c>
      <c r="E488" t="s">
        <v>55</v>
      </c>
      <c r="F488">
        <v>1</v>
      </c>
      <c r="G488">
        <v>5</v>
      </c>
      <c r="H488">
        <v>0</v>
      </c>
      <c r="I488">
        <v>0</v>
      </c>
      <c r="J488">
        <v>91.440299999999993</v>
      </c>
      <c r="K488" s="2">
        <v>91.44</v>
      </c>
    </row>
    <row r="489" spans="1:11" hidden="1" outlineLevel="2" x14ac:dyDescent="0.3">
      <c r="A489" t="s">
        <v>36</v>
      </c>
      <c r="B489" t="s">
        <v>105</v>
      </c>
      <c r="C489" t="s">
        <v>38</v>
      </c>
      <c r="D489" s="4">
        <v>42765</v>
      </c>
      <c r="E489" t="s">
        <v>56</v>
      </c>
      <c r="F489">
        <v>-1</v>
      </c>
      <c r="G489">
        <v>5</v>
      </c>
      <c r="H489">
        <v>0</v>
      </c>
      <c r="I489">
        <v>0</v>
      </c>
      <c r="J489">
        <v>91.440299999999993</v>
      </c>
      <c r="K489" s="2">
        <v>-91.44</v>
      </c>
    </row>
    <row r="490" spans="1:11" hidden="1" outlineLevel="2" x14ac:dyDescent="0.3">
      <c r="A490" t="s">
        <v>36</v>
      </c>
      <c r="B490" t="s">
        <v>107</v>
      </c>
      <c r="C490" t="s">
        <v>38</v>
      </c>
      <c r="D490" s="4">
        <v>42765</v>
      </c>
      <c r="E490" t="s">
        <v>55</v>
      </c>
      <c r="F490">
        <v>1</v>
      </c>
      <c r="G490">
        <v>5</v>
      </c>
      <c r="H490">
        <v>0</v>
      </c>
      <c r="I490">
        <v>0</v>
      </c>
      <c r="J490">
        <v>85.080699999999993</v>
      </c>
      <c r="K490" s="2">
        <v>85.08</v>
      </c>
    </row>
    <row r="491" spans="1:11" hidden="1" outlineLevel="2" x14ac:dyDescent="0.3">
      <c r="A491" t="s">
        <v>36</v>
      </c>
      <c r="B491" t="s">
        <v>107</v>
      </c>
      <c r="C491" t="s">
        <v>38</v>
      </c>
      <c r="D491" s="4">
        <v>42765</v>
      </c>
      <c r="E491" t="s">
        <v>56</v>
      </c>
      <c r="F491">
        <v>-1</v>
      </c>
      <c r="G491">
        <v>5</v>
      </c>
      <c r="H491">
        <v>0</v>
      </c>
      <c r="I491">
        <v>0</v>
      </c>
      <c r="J491">
        <v>85.080699999999993</v>
      </c>
      <c r="K491" s="2">
        <v>-85.08</v>
      </c>
    </row>
    <row r="492" spans="1:11" hidden="1" outlineLevel="2" x14ac:dyDescent="0.3">
      <c r="A492" t="s">
        <v>36</v>
      </c>
      <c r="B492" t="s">
        <v>108</v>
      </c>
      <c r="C492" t="s">
        <v>38</v>
      </c>
      <c r="D492" s="4">
        <v>42765</v>
      </c>
      <c r="E492" t="s">
        <v>55</v>
      </c>
      <c r="F492">
        <v>1</v>
      </c>
      <c r="G492">
        <v>5</v>
      </c>
      <c r="H492">
        <v>0</v>
      </c>
      <c r="I492">
        <v>0</v>
      </c>
      <c r="J492">
        <v>103.33750000000001</v>
      </c>
      <c r="K492" s="2">
        <v>103.34</v>
      </c>
    </row>
    <row r="493" spans="1:11" hidden="1" outlineLevel="2" x14ac:dyDescent="0.3">
      <c r="A493" t="s">
        <v>36</v>
      </c>
      <c r="B493" t="s">
        <v>108</v>
      </c>
      <c r="C493" t="s">
        <v>38</v>
      </c>
      <c r="D493" s="4">
        <v>42765</v>
      </c>
      <c r="E493" t="s">
        <v>56</v>
      </c>
      <c r="F493">
        <v>-1</v>
      </c>
      <c r="G493">
        <v>5</v>
      </c>
      <c r="H493">
        <v>0</v>
      </c>
      <c r="I493">
        <v>0</v>
      </c>
      <c r="J493">
        <v>103.33750000000001</v>
      </c>
      <c r="K493" s="2">
        <v>-103.34</v>
      </c>
    </row>
    <row r="494" spans="1:11" hidden="1" outlineLevel="2" x14ac:dyDescent="0.3">
      <c r="A494" t="s">
        <v>36</v>
      </c>
      <c r="B494" t="s">
        <v>109</v>
      </c>
      <c r="C494" t="s">
        <v>38</v>
      </c>
      <c r="D494" s="4">
        <v>42765</v>
      </c>
      <c r="E494" t="s">
        <v>39</v>
      </c>
      <c r="F494">
        <v>-6000</v>
      </c>
      <c r="G494">
        <v>1</v>
      </c>
      <c r="H494">
        <v>0</v>
      </c>
      <c r="I494">
        <v>0</v>
      </c>
      <c r="J494">
        <v>18.914300000000001</v>
      </c>
      <c r="K494" s="2">
        <v>-113485.95</v>
      </c>
    </row>
    <row r="495" spans="1:11" hidden="1" outlineLevel="2" x14ac:dyDescent="0.3">
      <c r="A495" t="s">
        <v>36</v>
      </c>
      <c r="B495" t="s">
        <v>109</v>
      </c>
      <c r="C495" t="s">
        <v>38</v>
      </c>
      <c r="D495" s="4">
        <v>42765</v>
      </c>
      <c r="E495" t="s">
        <v>113</v>
      </c>
      <c r="F495">
        <v>6000</v>
      </c>
      <c r="G495">
        <v>1</v>
      </c>
      <c r="H495">
        <v>0</v>
      </c>
      <c r="I495">
        <v>0</v>
      </c>
      <c r="J495">
        <v>18.914300000000001</v>
      </c>
      <c r="K495" s="2">
        <v>113485.95</v>
      </c>
    </row>
    <row r="496" spans="1:11" hidden="1" outlineLevel="2" x14ac:dyDescent="0.3">
      <c r="A496" t="s">
        <v>36</v>
      </c>
      <c r="B496" t="s">
        <v>121</v>
      </c>
      <c r="C496" t="s">
        <v>38</v>
      </c>
      <c r="D496" s="4">
        <v>42765</v>
      </c>
      <c r="E496" t="s">
        <v>55</v>
      </c>
      <c r="F496">
        <v>25</v>
      </c>
      <c r="G496">
        <v>1</v>
      </c>
      <c r="H496">
        <v>0</v>
      </c>
      <c r="I496">
        <v>0</v>
      </c>
      <c r="J496">
        <v>16.3872</v>
      </c>
      <c r="K496" s="2">
        <v>409.68</v>
      </c>
    </row>
    <row r="497" spans="1:11" hidden="1" outlineLevel="2" x14ac:dyDescent="0.3">
      <c r="A497" t="s">
        <v>36</v>
      </c>
      <c r="B497" t="s">
        <v>121</v>
      </c>
      <c r="C497" t="s">
        <v>38</v>
      </c>
      <c r="D497" s="4">
        <v>42765</v>
      </c>
      <c r="E497" t="s">
        <v>56</v>
      </c>
      <c r="F497">
        <v>-25</v>
      </c>
      <c r="G497">
        <v>1</v>
      </c>
      <c r="H497">
        <v>0</v>
      </c>
      <c r="I497">
        <v>0</v>
      </c>
      <c r="J497">
        <v>16.3872</v>
      </c>
      <c r="K497" s="2">
        <v>-409.68</v>
      </c>
    </row>
    <row r="498" spans="1:11" hidden="1" outlineLevel="2" x14ac:dyDescent="0.3">
      <c r="A498" t="s">
        <v>36</v>
      </c>
      <c r="B498" t="s">
        <v>124</v>
      </c>
      <c r="C498" t="s">
        <v>38</v>
      </c>
      <c r="D498" s="4">
        <v>42765</v>
      </c>
      <c r="E498" t="s">
        <v>55</v>
      </c>
      <c r="F498">
        <v>25</v>
      </c>
      <c r="G498">
        <v>1</v>
      </c>
      <c r="H498">
        <v>0</v>
      </c>
      <c r="I498">
        <v>0</v>
      </c>
      <c r="J498">
        <v>17.3109</v>
      </c>
      <c r="K498" s="2">
        <v>432.77</v>
      </c>
    </row>
    <row r="499" spans="1:11" hidden="1" outlineLevel="2" x14ac:dyDescent="0.3">
      <c r="A499" t="s">
        <v>36</v>
      </c>
      <c r="B499" t="s">
        <v>124</v>
      </c>
      <c r="C499" t="s">
        <v>38</v>
      </c>
      <c r="D499" s="4">
        <v>42765</v>
      </c>
      <c r="E499" t="s">
        <v>56</v>
      </c>
      <c r="F499">
        <v>-25</v>
      </c>
      <c r="G499">
        <v>1</v>
      </c>
      <c r="H499">
        <v>0</v>
      </c>
      <c r="I499">
        <v>0</v>
      </c>
      <c r="J499">
        <v>17.3109</v>
      </c>
      <c r="K499" s="2">
        <v>-432.77</v>
      </c>
    </row>
    <row r="500" spans="1:11" hidden="1" outlineLevel="2" x14ac:dyDescent="0.3">
      <c r="A500" t="s">
        <v>36</v>
      </c>
      <c r="B500" t="s">
        <v>125</v>
      </c>
      <c r="C500" t="s">
        <v>38</v>
      </c>
      <c r="D500" s="4">
        <v>42765</v>
      </c>
      <c r="E500" t="s">
        <v>55</v>
      </c>
      <c r="F500">
        <v>25</v>
      </c>
      <c r="G500">
        <v>1</v>
      </c>
      <c r="H500">
        <v>0</v>
      </c>
      <c r="I500">
        <v>0</v>
      </c>
      <c r="J500">
        <v>19.222999999999999</v>
      </c>
      <c r="K500" s="2">
        <v>480.58</v>
      </c>
    </row>
    <row r="501" spans="1:11" hidden="1" outlineLevel="2" x14ac:dyDescent="0.3">
      <c r="A501" t="s">
        <v>36</v>
      </c>
      <c r="B501" t="s">
        <v>125</v>
      </c>
      <c r="C501" t="s">
        <v>38</v>
      </c>
      <c r="D501" s="4">
        <v>42765</v>
      </c>
      <c r="E501" t="s">
        <v>56</v>
      </c>
      <c r="F501">
        <v>-25</v>
      </c>
      <c r="G501">
        <v>1</v>
      </c>
      <c r="H501">
        <v>0</v>
      </c>
      <c r="I501">
        <v>0</v>
      </c>
      <c r="J501">
        <v>19.222999999999999</v>
      </c>
      <c r="K501" s="2">
        <v>-480.58</v>
      </c>
    </row>
    <row r="502" spans="1:11" hidden="1" outlineLevel="2" x14ac:dyDescent="0.3">
      <c r="A502" t="s">
        <v>36</v>
      </c>
      <c r="B502" t="s">
        <v>140</v>
      </c>
      <c r="C502" t="s">
        <v>38</v>
      </c>
      <c r="D502" s="4">
        <v>42765</v>
      </c>
      <c r="E502" t="s">
        <v>55</v>
      </c>
      <c r="F502">
        <v>25</v>
      </c>
      <c r="G502">
        <v>1</v>
      </c>
      <c r="H502">
        <v>0</v>
      </c>
      <c r="I502">
        <v>0</v>
      </c>
      <c r="J502">
        <v>16.5886</v>
      </c>
      <c r="K502" s="2">
        <v>414.72</v>
      </c>
    </row>
    <row r="503" spans="1:11" hidden="1" outlineLevel="2" x14ac:dyDescent="0.3">
      <c r="A503" t="s">
        <v>36</v>
      </c>
      <c r="B503" t="s">
        <v>140</v>
      </c>
      <c r="C503" t="s">
        <v>38</v>
      </c>
      <c r="D503" s="4">
        <v>42765</v>
      </c>
      <c r="E503" t="s">
        <v>56</v>
      </c>
      <c r="F503">
        <v>-25</v>
      </c>
      <c r="G503">
        <v>1</v>
      </c>
      <c r="H503">
        <v>0</v>
      </c>
      <c r="I503">
        <v>0</v>
      </c>
      <c r="J503">
        <v>16.5886</v>
      </c>
      <c r="K503" s="2">
        <v>-414.72</v>
      </c>
    </row>
    <row r="504" spans="1:11" hidden="1" outlineLevel="2" x14ac:dyDescent="0.3">
      <c r="A504" t="s">
        <v>36</v>
      </c>
      <c r="B504" t="s">
        <v>141</v>
      </c>
      <c r="C504" t="s">
        <v>38</v>
      </c>
      <c r="D504" s="4">
        <v>42765</v>
      </c>
      <c r="E504" t="s">
        <v>55</v>
      </c>
      <c r="F504">
        <v>1</v>
      </c>
      <c r="G504">
        <v>2</v>
      </c>
      <c r="H504">
        <v>0</v>
      </c>
      <c r="I504">
        <v>0</v>
      </c>
      <c r="J504">
        <v>42.698599999999999</v>
      </c>
      <c r="K504" s="2">
        <v>42.7</v>
      </c>
    </row>
    <row r="505" spans="1:11" hidden="1" outlineLevel="2" x14ac:dyDescent="0.3">
      <c r="A505" t="s">
        <v>36</v>
      </c>
      <c r="B505" t="s">
        <v>141</v>
      </c>
      <c r="C505" t="s">
        <v>38</v>
      </c>
      <c r="D505" s="4">
        <v>42765</v>
      </c>
      <c r="E505" t="s">
        <v>56</v>
      </c>
      <c r="F505">
        <v>-1</v>
      </c>
      <c r="G505">
        <v>2</v>
      </c>
      <c r="H505">
        <v>0</v>
      </c>
      <c r="I505">
        <v>0</v>
      </c>
      <c r="J505">
        <v>42.698599999999999</v>
      </c>
      <c r="K505" s="2">
        <v>-42.7</v>
      </c>
    </row>
    <row r="506" spans="1:11" hidden="1" outlineLevel="2" x14ac:dyDescent="0.3">
      <c r="A506" t="s">
        <v>36</v>
      </c>
      <c r="B506" t="s">
        <v>143</v>
      </c>
      <c r="C506" t="s">
        <v>38</v>
      </c>
      <c r="D506" s="4">
        <v>42765</v>
      </c>
      <c r="E506" t="s">
        <v>55</v>
      </c>
      <c r="F506">
        <v>1</v>
      </c>
      <c r="G506">
        <v>5</v>
      </c>
      <c r="H506">
        <v>0</v>
      </c>
      <c r="I506">
        <v>0</v>
      </c>
      <c r="J506">
        <v>111.1096</v>
      </c>
      <c r="K506" s="2">
        <v>111.11</v>
      </c>
    </row>
    <row r="507" spans="1:11" hidden="1" outlineLevel="2" x14ac:dyDescent="0.3">
      <c r="A507" t="s">
        <v>36</v>
      </c>
      <c r="B507" t="s">
        <v>143</v>
      </c>
      <c r="C507" t="s">
        <v>38</v>
      </c>
      <c r="D507" s="4">
        <v>42765</v>
      </c>
      <c r="E507" t="s">
        <v>56</v>
      </c>
      <c r="F507">
        <v>-1</v>
      </c>
      <c r="G507">
        <v>5</v>
      </c>
      <c r="H507">
        <v>0</v>
      </c>
      <c r="I507">
        <v>0</v>
      </c>
      <c r="J507">
        <v>111.1096</v>
      </c>
      <c r="K507" s="2">
        <v>-111.11</v>
      </c>
    </row>
    <row r="508" spans="1:11" hidden="1" outlineLevel="2" x14ac:dyDescent="0.3">
      <c r="A508" t="s">
        <v>36</v>
      </c>
      <c r="B508" t="s">
        <v>145</v>
      </c>
      <c r="C508" t="s">
        <v>38</v>
      </c>
      <c r="D508" s="4">
        <v>42765</v>
      </c>
      <c r="E508" t="s">
        <v>55</v>
      </c>
      <c r="F508">
        <v>1</v>
      </c>
      <c r="G508">
        <v>10</v>
      </c>
      <c r="H508">
        <v>0</v>
      </c>
      <c r="I508">
        <v>0</v>
      </c>
      <c r="J508">
        <v>184.9787</v>
      </c>
      <c r="K508" s="2">
        <v>184.98</v>
      </c>
    </row>
    <row r="509" spans="1:11" hidden="1" outlineLevel="2" x14ac:dyDescent="0.3">
      <c r="A509" t="s">
        <v>36</v>
      </c>
      <c r="B509" t="s">
        <v>145</v>
      </c>
      <c r="C509" t="s">
        <v>38</v>
      </c>
      <c r="D509" s="4">
        <v>42765</v>
      </c>
      <c r="E509" t="s">
        <v>56</v>
      </c>
      <c r="F509">
        <v>-1</v>
      </c>
      <c r="G509">
        <v>10</v>
      </c>
      <c r="H509">
        <v>0</v>
      </c>
      <c r="I509">
        <v>0</v>
      </c>
      <c r="J509">
        <v>184.9787</v>
      </c>
      <c r="K509" s="2">
        <v>-184.98</v>
      </c>
    </row>
    <row r="510" spans="1:11" hidden="1" outlineLevel="2" x14ac:dyDescent="0.3">
      <c r="A510" t="s">
        <v>36</v>
      </c>
      <c r="B510" t="s">
        <v>146</v>
      </c>
      <c r="C510" t="s">
        <v>38</v>
      </c>
      <c r="D510" s="4">
        <v>42765</v>
      </c>
      <c r="E510" t="s">
        <v>55</v>
      </c>
      <c r="F510">
        <v>1</v>
      </c>
      <c r="G510">
        <v>10</v>
      </c>
      <c r="H510">
        <v>0</v>
      </c>
      <c r="I510">
        <v>0</v>
      </c>
      <c r="J510">
        <v>216.44489999999999</v>
      </c>
      <c r="K510" s="2">
        <v>216.44</v>
      </c>
    </row>
    <row r="511" spans="1:11" hidden="1" outlineLevel="2" x14ac:dyDescent="0.3">
      <c r="A511" t="s">
        <v>36</v>
      </c>
      <c r="B511" t="s">
        <v>146</v>
      </c>
      <c r="C511" t="s">
        <v>38</v>
      </c>
      <c r="D511" s="4">
        <v>42765</v>
      </c>
      <c r="E511" t="s">
        <v>56</v>
      </c>
      <c r="F511">
        <v>-1</v>
      </c>
      <c r="G511">
        <v>10</v>
      </c>
      <c r="H511">
        <v>0</v>
      </c>
      <c r="I511">
        <v>0</v>
      </c>
      <c r="J511">
        <v>216.44489999999999</v>
      </c>
      <c r="K511" s="2">
        <v>-216.44</v>
      </c>
    </row>
    <row r="512" spans="1:11" hidden="1" outlineLevel="2" x14ac:dyDescent="0.3">
      <c r="A512" t="s">
        <v>36</v>
      </c>
      <c r="B512" t="s">
        <v>149</v>
      </c>
      <c r="C512" t="s">
        <v>38</v>
      </c>
      <c r="D512" s="4">
        <v>42765</v>
      </c>
      <c r="E512" t="s">
        <v>55</v>
      </c>
      <c r="F512">
        <v>5</v>
      </c>
      <c r="G512">
        <v>1</v>
      </c>
      <c r="H512">
        <v>0</v>
      </c>
      <c r="I512">
        <v>0</v>
      </c>
      <c r="J512">
        <v>16.156600000000001</v>
      </c>
      <c r="K512" s="2">
        <v>80.78</v>
      </c>
    </row>
    <row r="513" spans="1:11" hidden="1" outlineLevel="2" x14ac:dyDescent="0.3">
      <c r="A513" t="s">
        <v>36</v>
      </c>
      <c r="B513" t="s">
        <v>149</v>
      </c>
      <c r="C513" t="s">
        <v>38</v>
      </c>
      <c r="D513" s="4">
        <v>42765</v>
      </c>
      <c r="E513" t="s">
        <v>56</v>
      </c>
      <c r="F513">
        <v>-5</v>
      </c>
      <c r="G513">
        <v>1</v>
      </c>
      <c r="H513">
        <v>0</v>
      </c>
      <c r="I513">
        <v>0</v>
      </c>
      <c r="J513">
        <v>16.156600000000001</v>
      </c>
      <c r="K513" s="2">
        <v>-80.78</v>
      </c>
    </row>
    <row r="514" spans="1:11" hidden="1" outlineLevel="2" x14ac:dyDescent="0.3">
      <c r="A514" t="s">
        <v>36</v>
      </c>
      <c r="B514" t="s">
        <v>150</v>
      </c>
      <c r="C514" t="s">
        <v>38</v>
      </c>
      <c r="D514" s="4">
        <v>42765</v>
      </c>
      <c r="E514" t="s">
        <v>151</v>
      </c>
      <c r="F514">
        <v>-10000</v>
      </c>
      <c r="G514">
        <v>1</v>
      </c>
      <c r="H514">
        <v>0</v>
      </c>
      <c r="I514">
        <v>0</v>
      </c>
      <c r="J514">
        <v>18.164999999999999</v>
      </c>
      <c r="K514" s="2">
        <v>-181650</v>
      </c>
    </row>
    <row r="515" spans="1:11" hidden="1" outlineLevel="2" x14ac:dyDescent="0.3">
      <c r="A515" t="s">
        <v>36</v>
      </c>
      <c r="B515" t="s">
        <v>150</v>
      </c>
      <c r="C515" t="s">
        <v>38</v>
      </c>
      <c r="D515" s="4">
        <v>42765</v>
      </c>
      <c r="E515" t="s">
        <v>152</v>
      </c>
      <c r="F515">
        <v>10000</v>
      </c>
      <c r="G515">
        <v>1</v>
      </c>
      <c r="H515">
        <v>0</v>
      </c>
      <c r="I515">
        <v>0</v>
      </c>
      <c r="J515">
        <v>18.164999999999999</v>
      </c>
      <c r="K515" s="2">
        <v>181650</v>
      </c>
    </row>
    <row r="516" spans="1:11" hidden="1" outlineLevel="2" x14ac:dyDescent="0.3">
      <c r="A516" t="s">
        <v>36</v>
      </c>
      <c r="B516" t="s">
        <v>158</v>
      </c>
      <c r="C516" t="s">
        <v>38</v>
      </c>
      <c r="D516" s="4">
        <v>42765</v>
      </c>
      <c r="E516" t="s">
        <v>55</v>
      </c>
      <c r="F516">
        <v>25</v>
      </c>
      <c r="G516">
        <v>1</v>
      </c>
      <c r="H516">
        <v>0</v>
      </c>
      <c r="I516">
        <v>0</v>
      </c>
      <c r="J516">
        <v>17.010000000000002</v>
      </c>
      <c r="K516" s="2">
        <v>425.25</v>
      </c>
    </row>
    <row r="517" spans="1:11" hidden="1" outlineLevel="2" x14ac:dyDescent="0.3">
      <c r="A517" t="s">
        <v>36</v>
      </c>
      <c r="B517" t="s">
        <v>158</v>
      </c>
      <c r="C517" t="s">
        <v>38</v>
      </c>
      <c r="D517" s="4">
        <v>42765</v>
      </c>
      <c r="E517" t="s">
        <v>56</v>
      </c>
      <c r="F517">
        <v>-25</v>
      </c>
      <c r="G517">
        <v>1</v>
      </c>
      <c r="H517">
        <v>0</v>
      </c>
      <c r="I517">
        <v>0</v>
      </c>
      <c r="J517">
        <v>17.010000000000002</v>
      </c>
      <c r="K517" s="2">
        <v>-425.25</v>
      </c>
    </row>
    <row r="518" spans="1:11" hidden="1" outlineLevel="2" x14ac:dyDescent="0.3">
      <c r="A518" t="s">
        <v>36</v>
      </c>
      <c r="B518" t="s">
        <v>160</v>
      </c>
      <c r="C518" t="s">
        <v>38</v>
      </c>
      <c r="D518" s="4">
        <v>42765</v>
      </c>
      <c r="E518" t="s">
        <v>55</v>
      </c>
      <c r="F518">
        <v>25</v>
      </c>
      <c r="G518">
        <v>1</v>
      </c>
      <c r="H518">
        <v>0</v>
      </c>
      <c r="I518">
        <v>0</v>
      </c>
      <c r="J518">
        <v>16.112500000000001</v>
      </c>
      <c r="K518" s="2">
        <v>402.81</v>
      </c>
    </row>
    <row r="519" spans="1:11" hidden="1" outlineLevel="2" x14ac:dyDescent="0.3">
      <c r="A519" t="s">
        <v>36</v>
      </c>
      <c r="B519" t="s">
        <v>160</v>
      </c>
      <c r="C519" t="s">
        <v>38</v>
      </c>
      <c r="D519" s="4">
        <v>42765</v>
      </c>
      <c r="E519" t="s">
        <v>56</v>
      </c>
      <c r="F519">
        <v>-25</v>
      </c>
      <c r="G519">
        <v>1</v>
      </c>
      <c r="H519">
        <v>0</v>
      </c>
      <c r="I519">
        <v>0</v>
      </c>
      <c r="J519">
        <v>16.112500000000001</v>
      </c>
      <c r="K519" s="2">
        <v>-402.81</v>
      </c>
    </row>
    <row r="520" spans="1:11" hidden="1" outlineLevel="2" x14ac:dyDescent="0.3">
      <c r="A520" t="s">
        <v>36</v>
      </c>
      <c r="B520" t="s">
        <v>163</v>
      </c>
      <c r="C520" t="s">
        <v>38</v>
      </c>
      <c r="D520" s="4">
        <v>42765</v>
      </c>
      <c r="E520" t="s">
        <v>55</v>
      </c>
      <c r="F520">
        <v>1</v>
      </c>
      <c r="G520">
        <v>32.151000000000003</v>
      </c>
      <c r="H520">
        <v>0</v>
      </c>
      <c r="I520">
        <v>0</v>
      </c>
      <c r="J520">
        <v>554.97749999999996</v>
      </c>
      <c r="K520" s="2">
        <v>554.98</v>
      </c>
    </row>
    <row r="521" spans="1:11" hidden="1" outlineLevel="2" x14ac:dyDescent="0.3">
      <c r="A521" t="s">
        <v>36</v>
      </c>
      <c r="B521" t="s">
        <v>163</v>
      </c>
      <c r="C521" t="s">
        <v>38</v>
      </c>
      <c r="D521" s="4">
        <v>42765</v>
      </c>
      <c r="E521" t="s">
        <v>56</v>
      </c>
      <c r="F521">
        <v>-1</v>
      </c>
      <c r="G521">
        <v>32.151000000000003</v>
      </c>
      <c r="H521">
        <v>0</v>
      </c>
      <c r="I521">
        <v>0</v>
      </c>
      <c r="J521">
        <v>554.97749999999996</v>
      </c>
      <c r="K521" s="2">
        <v>-554.98</v>
      </c>
    </row>
    <row r="522" spans="1:11" hidden="1" outlineLevel="2" x14ac:dyDescent="0.3">
      <c r="A522" t="s">
        <v>36</v>
      </c>
      <c r="B522" t="s">
        <v>167</v>
      </c>
      <c r="C522" t="s">
        <v>38</v>
      </c>
      <c r="D522" s="4">
        <v>42765</v>
      </c>
      <c r="E522" t="s">
        <v>55</v>
      </c>
      <c r="F522">
        <v>1</v>
      </c>
      <c r="G522">
        <v>32.151000000000003</v>
      </c>
      <c r="H522">
        <v>0</v>
      </c>
      <c r="I522">
        <v>0</v>
      </c>
      <c r="J522">
        <v>578.77499999999998</v>
      </c>
      <c r="K522" s="2">
        <v>578.78</v>
      </c>
    </row>
    <row r="523" spans="1:11" hidden="1" outlineLevel="2" x14ac:dyDescent="0.3">
      <c r="A523" t="s">
        <v>36</v>
      </c>
      <c r="B523" t="s">
        <v>167</v>
      </c>
      <c r="C523" t="s">
        <v>38</v>
      </c>
      <c r="D523" s="4">
        <v>42765</v>
      </c>
      <c r="E523" t="s">
        <v>56</v>
      </c>
      <c r="F523">
        <v>-1</v>
      </c>
      <c r="G523">
        <v>32.151000000000003</v>
      </c>
      <c r="H523">
        <v>0</v>
      </c>
      <c r="I523">
        <v>0</v>
      </c>
      <c r="J523">
        <v>578.77499999999998</v>
      </c>
      <c r="K523" s="2">
        <v>-578.78</v>
      </c>
    </row>
    <row r="524" spans="1:11" hidden="1" outlineLevel="2" x14ac:dyDescent="0.3">
      <c r="A524" t="s">
        <v>36</v>
      </c>
      <c r="B524" t="s">
        <v>82</v>
      </c>
      <c r="C524" t="s">
        <v>38</v>
      </c>
      <c r="D524" s="4">
        <v>42766</v>
      </c>
      <c r="E524" t="s">
        <v>39</v>
      </c>
      <c r="F524">
        <v>-10074.700000000001</v>
      </c>
      <c r="G524">
        <v>1</v>
      </c>
      <c r="H524">
        <v>0</v>
      </c>
      <c r="I524">
        <v>0</v>
      </c>
      <c r="J524">
        <v>16.456900000000001</v>
      </c>
      <c r="K524" s="2">
        <v>-165798.01999999999</v>
      </c>
    </row>
    <row r="525" spans="1:11" hidden="1" outlineLevel="2" x14ac:dyDescent="0.3">
      <c r="A525" t="s">
        <v>36</v>
      </c>
      <c r="B525" t="s">
        <v>82</v>
      </c>
      <c r="C525" t="s">
        <v>38</v>
      </c>
      <c r="D525" s="4">
        <v>42766</v>
      </c>
      <c r="E525" t="s">
        <v>39</v>
      </c>
      <c r="F525">
        <v>10074.700000000001</v>
      </c>
      <c r="G525">
        <v>1</v>
      </c>
      <c r="H525">
        <v>0</v>
      </c>
      <c r="I525">
        <v>0</v>
      </c>
      <c r="J525">
        <v>16.775500000000001</v>
      </c>
      <c r="K525" s="2">
        <v>169008.33</v>
      </c>
    </row>
    <row r="526" spans="1:11" hidden="1" outlineLevel="2" x14ac:dyDescent="0.3">
      <c r="A526" t="s">
        <v>36</v>
      </c>
      <c r="B526" t="s">
        <v>82</v>
      </c>
      <c r="C526" t="s">
        <v>38</v>
      </c>
      <c r="D526" s="4">
        <v>42766</v>
      </c>
      <c r="E526" t="s">
        <v>83</v>
      </c>
      <c r="F526">
        <v>10074.700000000001</v>
      </c>
      <c r="G526">
        <v>1</v>
      </c>
      <c r="H526">
        <v>0</v>
      </c>
      <c r="I526">
        <v>0</v>
      </c>
      <c r="J526">
        <v>16.456900000000001</v>
      </c>
      <c r="K526" s="2">
        <v>165798.01999999999</v>
      </c>
    </row>
    <row r="527" spans="1:11" hidden="1" outlineLevel="2" x14ac:dyDescent="0.3">
      <c r="A527" t="s">
        <v>36</v>
      </c>
      <c r="B527" t="s">
        <v>82</v>
      </c>
      <c r="C527" t="s">
        <v>38</v>
      </c>
      <c r="D527" s="4">
        <v>42766</v>
      </c>
      <c r="E527" t="s">
        <v>84</v>
      </c>
      <c r="F527">
        <v>246506.21</v>
      </c>
      <c r="G527">
        <v>1</v>
      </c>
      <c r="H527">
        <v>0</v>
      </c>
      <c r="I527">
        <v>0</v>
      </c>
      <c r="J527">
        <v>16.775500000000001</v>
      </c>
      <c r="K527" s="2">
        <v>4135269.86</v>
      </c>
    </row>
    <row r="528" spans="1:11" hidden="1" outlineLevel="2" x14ac:dyDescent="0.3">
      <c r="A528" t="s">
        <v>36</v>
      </c>
      <c r="B528" t="s">
        <v>82</v>
      </c>
      <c r="C528" t="s">
        <v>38</v>
      </c>
      <c r="D528" s="4">
        <v>42766</v>
      </c>
      <c r="E528" t="s">
        <v>47</v>
      </c>
      <c r="F528">
        <v>-10074.700000000001</v>
      </c>
      <c r="G528">
        <v>1</v>
      </c>
      <c r="H528">
        <v>0</v>
      </c>
      <c r="I528">
        <v>0</v>
      </c>
      <c r="J528">
        <v>16.775500000000001</v>
      </c>
      <c r="K528" s="2">
        <v>-169008.33</v>
      </c>
    </row>
    <row r="529" spans="1:11" hidden="1" outlineLevel="2" x14ac:dyDescent="0.3">
      <c r="A529" t="s">
        <v>36</v>
      </c>
      <c r="B529" t="s">
        <v>82</v>
      </c>
      <c r="C529" t="s">
        <v>38</v>
      </c>
      <c r="D529" s="4">
        <v>42766</v>
      </c>
      <c r="E529" t="s">
        <v>47</v>
      </c>
      <c r="F529">
        <v>-246506.21</v>
      </c>
      <c r="G529">
        <v>1</v>
      </c>
      <c r="H529">
        <v>0</v>
      </c>
      <c r="I529">
        <v>0</v>
      </c>
      <c r="J529">
        <v>16.775500000000001</v>
      </c>
      <c r="K529" s="2">
        <v>-4135269.86</v>
      </c>
    </row>
    <row r="530" spans="1:11" hidden="1" outlineLevel="2" x14ac:dyDescent="0.3">
      <c r="A530" t="s">
        <v>36</v>
      </c>
      <c r="B530" t="s">
        <v>89</v>
      </c>
      <c r="C530" t="s">
        <v>38</v>
      </c>
      <c r="D530" s="4">
        <v>42766</v>
      </c>
      <c r="E530" t="s">
        <v>39</v>
      </c>
      <c r="F530">
        <v>5</v>
      </c>
      <c r="G530">
        <v>5</v>
      </c>
      <c r="H530">
        <v>0</v>
      </c>
      <c r="I530">
        <v>0</v>
      </c>
      <c r="J530">
        <v>159.92519999999999</v>
      </c>
      <c r="K530" s="2">
        <v>799.63</v>
      </c>
    </row>
    <row r="531" spans="1:11" hidden="1" outlineLevel="2" x14ac:dyDescent="0.3">
      <c r="A531" t="s">
        <v>36</v>
      </c>
      <c r="B531" t="s">
        <v>89</v>
      </c>
      <c r="C531" t="s">
        <v>38</v>
      </c>
      <c r="D531" s="4">
        <v>42766</v>
      </c>
      <c r="E531" t="s">
        <v>56</v>
      </c>
      <c r="F531">
        <v>-5</v>
      </c>
      <c r="G531">
        <v>5</v>
      </c>
      <c r="H531">
        <v>0</v>
      </c>
      <c r="I531">
        <v>0</v>
      </c>
      <c r="J531">
        <v>159.92519999999999</v>
      </c>
      <c r="K531" s="2">
        <v>-799.63</v>
      </c>
    </row>
    <row r="532" spans="1:11" hidden="1" outlineLevel="2" x14ac:dyDescent="0.3">
      <c r="A532" t="s">
        <v>36</v>
      </c>
      <c r="B532" t="s">
        <v>90</v>
      </c>
      <c r="C532" t="s">
        <v>38</v>
      </c>
      <c r="D532" s="4">
        <v>42766</v>
      </c>
      <c r="E532" t="s">
        <v>39</v>
      </c>
      <c r="F532">
        <v>5</v>
      </c>
      <c r="G532">
        <v>5</v>
      </c>
      <c r="H532">
        <v>0</v>
      </c>
      <c r="I532">
        <v>0</v>
      </c>
      <c r="J532">
        <v>159.96170000000001</v>
      </c>
      <c r="K532" s="2">
        <v>799.81</v>
      </c>
    </row>
    <row r="533" spans="1:11" hidden="1" outlineLevel="2" x14ac:dyDescent="0.3">
      <c r="A533" t="s">
        <v>36</v>
      </c>
      <c r="B533" t="s">
        <v>90</v>
      </c>
      <c r="C533" t="s">
        <v>38</v>
      </c>
      <c r="D533" s="4">
        <v>42766</v>
      </c>
      <c r="E533" t="s">
        <v>56</v>
      </c>
      <c r="F533">
        <v>-5</v>
      </c>
      <c r="G533">
        <v>5</v>
      </c>
      <c r="H533">
        <v>0</v>
      </c>
      <c r="I533">
        <v>0</v>
      </c>
      <c r="J533">
        <v>159.96170000000001</v>
      </c>
      <c r="K533" s="2">
        <v>-799.81</v>
      </c>
    </row>
    <row r="534" spans="1:11" hidden="1" outlineLevel="2" x14ac:dyDescent="0.3">
      <c r="A534" t="s">
        <v>36</v>
      </c>
      <c r="B534" t="s">
        <v>91</v>
      </c>
      <c r="C534" t="s">
        <v>38</v>
      </c>
      <c r="D534" s="4">
        <v>42766</v>
      </c>
      <c r="E534" t="s">
        <v>39</v>
      </c>
      <c r="F534">
        <v>5</v>
      </c>
      <c r="G534">
        <v>5</v>
      </c>
      <c r="H534">
        <v>0</v>
      </c>
      <c r="I534">
        <v>0</v>
      </c>
      <c r="J534">
        <v>159.89490000000001</v>
      </c>
      <c r="K534" s="2">
        <v>799.47</v>
      </c>
    </row>
    <row r="535" spans="1:11" hidden="1" outlineLevel="2" x14ac:dyDescent="0.3">
      <c r="A535" t="s">
        <v>36</v>
      </c>
      <c r="B535" t="s">
        <v>91</v>
      </c>
      <c r="C535" t="s">
        <v>38</v>
      </c>
      <c r="D535" s="4">
        <v>42766</v>
      </c>
      <c r="E535" t="s">
        <v>56</v>
      </c>
      <c r="F535">
        <v>-5</v>
      </c>
      <c r="G535">
        <v>5</v>
      </c>
      <c r="H535">
        <v>0</v>
      </c>
      <c r="I535">
        <v>0</v>
      </c>
      <c r="J535">
        <v>159.89490000000001</v>
      </c>
      <c r="K535" s="2">
        <v>-799.47</v>
      </c>
    </row>
    <row r="536" spans="1:11" hidden="1" outlineLevel="2" x14ac:dyDescent="0.3">
      <c r="A536" t="s">
        <v>36</v>
      </c>
      <c r="B536" t="s">
        <v>92</v>
      </c>
      <c r="C536" t="s">
        <v>38</v>
      </c>
      <c r="D536" s="4">
        <v>42766</v>
      </c>
      <c r="E536" t="s">
        <v>39</v>
      </c>
      <c r="F536">
        <v>5</v>
      </c>
      <c r="G536">
        <v>5</v>
      </c>
      <c r="H536">
        <v>0</v>
      </c>
      <c r="I536">
        <v>0</v>
      </c>
      <c r="J536">
        <v>159.85830000000001</v>
      </c>
      <c r="K536" s="2">
        <v>799.29</v>
      </c>
    </row>
    <row r="537" spans="1:11" hidden="1" outlineLevel="2" x14ac:dyDescent="0.3">
      <c r="A537" t="s">
        <v>36</v>
      </c>
      <c r="B537" t="s">
        <v>92</v>
      </c>
      <c r="C537" t="s">
        <v>38</v>
      </c>
      <c r="D537" s="4">
        <v>42766</v>
      </c>
      <c r="E537" t="s">
        <v>56</v>
      </c>
      <c r="F537">
        <v>-5</v>
      </c>
      <c r="G537">
        <v>5</v>
      </c>
      <c r="H537">
        <v>0</v>
      </c>
      <c r="I537">
        <v>0</v>
      </c>
      <c r="J537">
        <v>159.85830000000001</v>
      </c>
      <c r="K537" s="2">
        <v>-799.29</v>
      </c>
    </row>
    <row r="538" spans="1:11" hidden="1" outlineLevel="2" x14ac:dyDescent="0.3">
      <c r="A538" t="s">
        <v>36</v>
      </c>
      <c r="B538" t="s">
        <v>93</v>
      </c>
      <c r="C538" t="s">
        <v>38</v>
      </c>
      <c r="D538" s="4">
        <v>42766</v>
      </c>
      <c r="E538" t="s">
        <v>39</v>
      </c>
      <c r="F538">
        <v>5</v>
      </c>
      <c r="G538">
        <v>5</v>
      </c>
      <c r="H538">
        <v>0</v>
      </c>
      <c r="I538">
        <v>0</v>
      </c>
      <c r="J538">
        <v>159.9616</v>
      </c>
      <c r="K538" s="2">
        <v>799.81</v>
      </c>
    </row>
    <row r="539" spans="1:11" hidden="1" outlineLevel="2" x14ac:dyDescent="0.3">
      <c r="A539" t="s">
        <v>36</v>
      </c>
      <c r="B539" t="s">
        <v>93</v>
      </c>
      <c r="C539" t="s">
        <v>38</v>
      </c>
      <c r="D539" s="4">
        <v>42766</v>
      </c>
      <c r="E539" t="s">
        <v>56</v>
      </c>
      <c r="F539">
        <v>-5</v>
      </c>
      <c r="G539">
        <v>5</v>
      </c>
      <c r="H539">
        <v>0</v>
      </c>
      <c r="I539">
        <v>0</v>
      </c>
      <c r="J539">
        <v>159.9616</v>
      </c>
      <c r="K539" s="2">
        <v>-799.81</v>
      </c>
    </row>
    <row r="540" spans="1:11" hidden="1" outlineLevel="2" x14ac:dyDescent="0.3">
      <c r="A540" t="s">
        <v>36</v>
      </c>
      <c r="B540" t="s">
        <v>126</v>
      </c>
      <c r="C540" t="s">
        <v>38</v>
      </c>
      <c r="D540" s="4">
        <v>42766</v>
      </c>
      <c r="E540" t="s">
        <v>39</v>
      </c>
      <c r="F540">
        <v>-500</v>
      </c>
      <c r="G540">
        <v>1</v>
      </c>
      <c r="H540">
        <v>0</v>
      </c>
      <c r="I540">
        <v>0</v>
      </c>
      <c r="J540">
        <v>18.343399999999999</v>
      </c>
      <c r="K540" s="2">
        <v>-9171.7199999999993</v>
      </c>
    </row>
    <row r="541" spans="1:11" hidden="1" outlineLevel="2" x14ac:dyDescent="0.3">
      <c r="A541" t="s">
        <v>36</v>
      </c>
      <c r="B541" t="s">
        <v>126</v>
      </c>
      <c r="C541" t="s">
        <v>38</v>
      </c>
      <c r="D541" s="4">
        <v>42766</v>
      </c>
      <c r="E541" t="s">
        <v>127</v>
      </c>
      <c r="F541">
        <v>500</v>
      </c>
      <c r="G541">
        <v>1</v>
      </c>
      <c r="H541">
        <v>0</v>
      </c>
      <c r="I541">
        <v>0</v>
      </c>
      <c r="J541">
        <v>18.343399999999999</v>
      </c>
      <c r="K541" s="2">
        <v>9171.7199999999993</v>
      </c>
    </row>
    <row r="542" spans="1:11" outlineLevel="1" collapsed="1" x14ac:dyDescent="0.3">
      <c r="C542" s="2" t="s">
        <v>172</v>
      </c>
      <c r="I542">
        <f>SUBTOTAL(9,I142:I541)</f>
        <v>0</v>
      </c>
      <c r="K542" s="5">
        <f>SUM(K142:K541)</f>
        <v>-4.6566128730773926E-10</v>
      </c>
    </row>
    <row r="543" spans="1:11" hidden="1" outlineLevel="2" x14ac:dyDescent="0.3">
      <c r="A543" t="s">
        <v>36</v>
      </c>
      <c r="B543" t="s">
        <v>82</v>
      </c>
      <c r="C543" t="s">
        <v>50</v>
      </c>
      <c r="D543" s="4">
        <v>42738</v>
      </c>
      <c r="E543" t="s">
        <v>39</v>
      </c>
      <c r="F543">
        <v>0</v>
      </c>
      <c r="G543">
        <v>1</v>
      </c>
      <c r="H543">
        <v>0</v>
      </c>
      <c r="I543">
        <v>0</v>
      </c>
      <c r="J543">
        <v>0</v>
      </c>
      <c r="K543" s="2">
        <v>3778.3</v>
      </c>
    </row>
    <row r="544" spans="1:11" hidden="1" outlineLevel="2" x14ac:dyDescent="0.3">
      <c r="A544" t="s">
        <v>36</v>
      </c>
      <c r="B544" t="s">
        <v>86</v>
      </c>
      <c r="C544" t="s">
        <v>50</v>
      </c>
      <c r="D544" s="4">
        <v>42739</v>
      </c>
      <c r="E544" t="s">
        <v>47</v>
      </c>
      <c r="F544">
        <v>0</v>
      </c>
      <c r="G544">
        <v>1</v>
      </c>
      <c r="H544">
        <v>0</v>
      </c>
      <c r="I544">
        <v>0</v>
      </c>
      <c r="J544">
        <v>0</v>
      </c>
      <c r="K544" s="2">
        <v>103863.69</v>
      </c>
    </row>
    <row r="545" spans="1:11" hidden="1" outlineLevel="2" x14ac:dyDescent="0.3">
      <c r="A545" t="s">
        <v>36</v>
      </c>
      <c r="B545" t="s">
        <v>103</v>
      </c>
      <c r="C545" t="s">
        <v>50</v>
      </c>
      <c r="D545" s="4">
        <v>42746</v>
      </c>
      <c r="E545" t="s">
        <v>47</v>
      </c>
      <c r="F545">
        <v>0</v>
      </c>
      <c r="G545">
        <v>5</v>
      </c>
      <c r="H545">
        <v>0</v>
      </c>
      <c r="I545">
        <v>0</v>
      </c>
      <c r="J545">
        <v>0</v>
      </c>
      <c r="K545" s="2">
        <v>51985.35</v>
      </c>
    </row>
    <row r="546" spans="1:11" hidden="1" outlineLevel="2" x14ac:dyDescent="0.3">
      <c r="A546" t="s">
        <v>36</v>
      </c>
      <c r="B546" t="s">
        <v>48</v>
      </c>
      <c r="C546" t="s">
        <v>50</v>
      </c>
      <c r="D546" s="4">
        <v>42758</v>
      </c>
      <c r="E546" t="s">
        <v>49</v>
      </c>
      <c r="F546">
        <v>0</v>
      </c>
      <c r="G546">
        <v>0.1</v>
      </c>
      <c r="H546">
        <v>0</v>
      </c>
      <c r="I546">
        <v>0</v>
      </c>
      <c r="J546">
        <v>0</v>
      </c>
      <c r="K546" s="2">
        <v>-13.3</v>
      </c>
    </row>
    <row r="547" spans="1:11" hidden="1" outlineLevel="2" x14ac:dyDescent="0.3">
      <c r="A547" t="s">
        <v>36</v>
      </c>
      <c r="B547" t="s">
        <v>72</v>
      </c>
      <c r="C547" t="s">
        <v>50</v>
      </c>
      <c r="D547" s="4">
        <v>42758</v>
      </c>
      <c r="E547" t="s">
        <v>51</v>
      </c>
      <c r="F547">
        <v>0</v>
      </c>
      <c r="G547">
        <v>1</v>
      </c>
      <c r="H547">
        <v>0</v>
      </c>
      <c r="I547">
        <v>0</v>
      </c>
      <c r="J547">
        <v>0</v>
      </c>
      <c r="K547" s="2">
        <v>0.01</v>
      </c>
    </row>
    <row r="548" spans="1:11" hidden="1" outlineLevel="2" x14ac:dyDescent="0.3">
      <c r="A548" t="s">
        <v>36</v>
      </c>
      <c r="B548" t="s">
        <v>82</v>
      </c>
      <c r="C548" t="s">
        <v>50</v>
      </c>
      <c r="D548" s="4">
        <v>42758</v>
      </c>
      <c r="E548" t="s">
        <v>51</v>
      </c>
      <c r="F548">
        <v>0</v>
      </c>
      <c r="G548">
        <v>1</v>
      </c>
      <c r="H548">
        <v>0</v>
      </c>
      <c r="I548">
        <v>0</v>
      </c>
      <c r="J548">
        <v>0</v>
      </c>
      <c r="K548" s="2">
        <v>3972.02</v>
      </c>
    </row>
    <row r="549" spans="1:11" hidden="1" outlineLevel="2" x14ac:dyDescent="0.3">
      <c r="A549" t="s">
        <v>36</v>
      </c>
      <c r="B549" t="s">
        <v>136</v>
      </c>
      <c r="C549" t="s">
        <v>50</v>
      </c>
      <c r="D549" s="4">
        <v>42758</v>
      </c>
      <c r="E549" t="s">
        <v>41</v>
      </c>
      <c r="F549">
        <v>0</v>
      </c>
      <c r="G549">
        <v>1</v>
      </c>
      <c r="H549">
        <v>0</v>
      </c>
      <c r="I549">
        <v>0</v>
      </c>
      <c r="J549">
        <v>0</v>
      </c>
      <c r="K549" s="2">
        <v>1218.19</v>
      </c>
    </row>
    <row r="550" spans="1:11" hidden="1" outlineLevel="2" x14ac:dyDescent="0.3">
      <c r="A550" t="s">
        <v>36</v>
      </c>
      <c r="B550" t="s">
        <v>138</v>
      </c>
      <c r="C550" t="s">
        <v>50</v>
      </c>
      <c r="D550" s="4">
        <v>42758</v>
      </c>
      <c r="E550" t="s">
        <v>41</v>
      </c>
      <c r="F550">
        <v>0</v>
      </c>
      <c r="G550">
        <v>1</v>
      </c>
      <c r="H550">
        <v>0</v>
      </c>
      <c r="I550">
        <v>0</v>
      </c>
      <c r="J550">
        <v>0</v>
      </c>
      <c r="K550" s="2">
        <v>-5277.38</v>
      </c>
    </row>
    <row r="551" spans="1:11" hidden="1" outlineLevel="2" x14ac:dyDescent="0.3">
      <c r="A551" t="s">
        <v>36</v>
      </c>
      <c r="B551" t="s">
        <v>82</v>
      </c>
      <c r="C551" t="s">
        <v>50</v>
      </c>
      <c r="D551" s="4">
        <v>42766</v>
      </c>
      <c r="E551" t="s">
        <v>39</v>
      </c>
      <c r="F551">
        <v>0</v>
      </c>
      <c r="G551">
        <v>1</v>
      </c>
      <c r="H551">
        <v>0</v>
      </c>
      <c r="I551">
        <v>0</v>
      </c>
      <c r="J551">
        <v>0</v>
      </c>
      <c r="K551" s="2">
        <v>-2889.15</v>
      </c>
    </row>
    <row r="552" spans="1:11" outlineLevel="1" collapsed="1" x14ac:dyDescent="0.3">
      <c r="C552" s="2" t="s">
        <v>173</v>
      </c>
      <c r="I552">
        <f>SUBTOTAL(9,I543:I551)</f>
        <v>0</v>
      </c>
      <c r="K552" s="2">
        <f>SUM(K543:K551)</f>
        <v>156637.73000000001</v>
      </c>
    </row>
    <row r="553" spans="1:11" x14ac:dyDescent="0.3">
      <c r="C553" s="2" t="s">
        <v>174</v>
      </c>
      <c r="I553">
        <f>SUBTOTAL(9,I2:I551)</f>
        <v>0</v>
      </c>
      <c r="K553" s="6">
        <f>SUM(K552,K542,K141,K135,K132,K71)</f>
        <v>-1641708.620000002</v>
      </c>
    </row>
  </sheetData>
  <sortState ref="A2:L551">
    <sortCondition ref="C2:C551"/>
    <sortCondition ref="D2:D551"/>
  </sortState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8"/>
  <sheetViews>
    <sheetView topLeftCell="B159" workbookViewId="0">
      <selection activeCell="F171" sqref="F171"/>
    </sheetView>
  </sheetViews>
  <sheetFormatPr defaultRowHeight="14.4" outlineLevelRow="2" x14ac:dyDescent="0.3"/>
  <cols>
    <col min="1" max="1" width="13.109375" bestFit="1" customWidth="1"/>
    <col min="2" max="2" width="14.109375" bestFit="1" customWidth="1"/>
    <col min="3" max="3" width="17.33203125" bestFit="1" customWidth="1"/>
    <col min="4" max="4" width="17" bestFit="1" customWidth="1"/>
    <col min="5" max="5" width="17.109375" bestFit="1" customWidth="1"/>
    <col min="6" max="6" width="16" bestFit="1" customWidth="1"/>
    <col min="7" max="7" width="9.5546875" bestFit="1" customWidth="1"/>
    <col min="8" max="8" width="10.6640625" bestFit="1" customWidth="1"/>
    <col min="9" max="9" width="15.109375" bestFit="1" customWidth="1"/>
    <col min="10" max="10" width="10.44140625" bestFit="1" customWidth="1"/>
    <col min="11" max="11" width="14.6640625" style="1" bestFit="1" customWidth="1"/>
    <col min="12" max="12" width="20.88671875" bestFit="1" customWidth="1"/>
  </cols>
  <sheetData>
    <row r="1" spans="1:12" x14ac:dyDescent="0.3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s="1" t="s">
        <v>35</v>
      </c>
      <c r="L1" t="s">
        <v>175</v>
      </c>
    </row>
    <row r="2" spans="1:12" outlineLevel="2" x14ac:dyDescent="0.3">
      <c r="A2" t="s">
        <v>36</v>
      </c>
      <c r="B2" t="s">
        <v>64</v>
      </c>
      <c r="C2" t="s">
        <v>63</v>
      </c>
      <c r="D2" s="3">
        <v>42738</v>
      </c>
      <c r="E2" t="s">
        <v>39</v>
      </c>
      <c r="F2">
        <v>-1</v>
      </c>
      <c r="G2">
        <v>100</v>
      </c>
      <c r="H2">
        <v>0</v>
      </c>
      <c r="I2">
        <v>0</v>
      </c>
      <c r="J2">
        <v>1743.1383000000001</v>
      </c>
      <c r="K2" s="1">
        <v>-1743.14</v>
      </c>
      <c r="L2" t="s">
        <v>192</v>
      </c>
    </row>
    <row r="3" spans="1:12" outlineLevel="2" x14ac:dyDescent="0.3">
      <c r="A3" t="s">
        <v>36</v>
      </c>
      <c r="B3" t="s">
        <v>79</v>
      </c>
      <c r="C3" t="s">
        <v>40</v>
      </c>
      <c r="D3" s="3">
        <v>42738</v>
      </c>
      <c r="E3" t="s">
        <v>39</v>
      </c>
      <c r="F3">
        <v>100</v>
      </c>
      <c r="G3">
        <v>1</v>
      </c>
      <c r="H3">
        <v>0</v>
      </c>
      <c r="I3">
        <v>0</v>
      </c>
      <c r="J3">
        <v>17.4314</v>
      </c>
      <c r="K3" s="1">
        <v>1743.14</v>
      </c>
      <c r="L3" t="s">
        <v>192</v>
      </c>
    </row>
    <row r="4" spans="1:12" outlineLevel="2" x14ac:dyDescent="0.3">
      <c r="A4" t="s">
        <v>36</v>
      </c>
      <c r="B4" t="s">
        <v>82</v>
      </c>
      <c r="C4" t="s">
        <v>38</v>
      </c>
      <c r="D4" s="3">
        <v>42738</v>
      </c>
      <c r="E4" t="s">
        <v>39</v>
      </c>
      <c r="F4">
        <v>-12128.8</v>
      </c>
      <c r="G4">
        <v>1</v>
      </c>
      <c r="H4">
        <v>0</v>
      </c>
      <c r="I4">
        <v>0</v>
      </c>
      <c r="J4">
        <v>16.492599999999999</v>
      </c>
      <c r="K4" s="1">
        <v>-200035.78</v>
      </c>
      <c r="L4" t="s">
        <v>218</v>
      </c>
    </row>
    <row r="5" spans="1:12" outlineLevel="2" x14ac:dyDescent="0.3">
      <c r="A5" t="s">
        <v>36</v>
      </c>
      <c r="B5" t="s">
        <v>82</v>
      </c>
      <c r="C5" t="s">
        <v>38</v>
      </c>
      <c r="D5" s="3">
        <v>42738</v>
      </c>
      <c r="E5" t="s">
        <v>39</v>
      </c>
      <c r="F5">
        <v>12128.8</v>
      </c>
      <c r="G5">
        <v>1</v>
      </c>
      <c r="H5">
        <v>0</v>
      </c>
      <c r="I5">
        <v>0</v>
      </c>
      <c r="J5">
        <v>16.0806</v>
      </c>
      <c r="K5" s="1">
        <v>195038.38</v>
      </c>
      <c r="L5" t="s">
        <v>218</v>
      </c>
    </row>
    <row r="6" spans="1:12" outlineLevel="2" x14ac:dyDescent="0.3">
      <c r="A6" t="s">
        <v>36</v>
      </c>
      <c r="B6" t="s">
        <v>82</v>
      </c>
      <c r="C6" t="s">
        <v>50</v>
      </c>
      <c r="D6" s="3">
        <v>42738</v>
      </c>
      <c r="E6" t="s">
        <v>39</v>
      </c>
      <c r="F6">
        <v>0</v>
      </c>
      <c r="G6">
        <v>1</v>
      </c>
      <c r="H6">
        <v>0</v>
      </c>
      <c r="I6">
        <v>0</v>
      </c>
      <c r="J6">
        <v>0</v>
      </c>
      <c r="K6" s="1">
        <v>3778.3</v>
      </c>
      <c r="L6" t="s">
        <v>218</v>
      </c>
    </row>
    <row r="7" spans="1:12" outlineLevel="2" x14ac:dyDescent="0.3">
      <c r="A7" t="s">
        <v>36</v>
      </c>
      <c r="B7" t="s">
        <v>82</v>
      </c>
      <c r="C7" t="s">
        <v>38</v>
      </c>
      <c r="D7" s="3">
        <v>42738</v>
      </c>
      <c r="E7" t="s">
        <v>83</v>
      </c>
      <c r="F7">
        <v>12128.8</v>
      </c>
      <c r="G7">
        <v>1</v>
      </c>
      <c r="H7">
        <v>0</v>
      </c>
      <c r="I7">
        <v>0</v>
      </c>
      <c r="J7">
        <v>16.492599999999999</v>
      </c>
      <c r="K7" s="1">
        <v>200035.78</v>
      </c>
      <c r="L7" t="s">
        <v>218</v>
      </c>
    </row>
    <row r="8" spans="1:12" outlineLevel="2" x14ac:dyDescent="0.3">
      <c r="A8" t="s">
        <v>36</v>
      </c>
      <c r="B8" t="s">
        <v>82</v>
      </c>
      <c r="C8" t="s">
        <v>38</v>
      </c>
      <c r="D8" s="3">
        <v>42738</v>
      </c>
      <c r="E8" t="s">
        <v>47</v>
      </c>
      <c r="F8">
        <v>-12128.8</v>
      </c>
      <c r="G8">
        <v>1</v>
      </c>
      <c r="H8">
        <v>0</v>
      </c>
      <c r="I8">
        <v>0</v>
      </c>
      <c r="J8">
        <v>16.0806</v>
      </c>
      <c r="K8" s="1">
        <v>-195038.38</v>
      </c>
      <c r="L8" t="s">
        <v>218</v>
      </c>
    </row>
    <row r="9" spans="1:12" outlineLevel="1" x14ac:dyDescent="0.3">
      <c r="D9" s="7" t="s">
        <v>269</v>
      </c>
      <c r="K9" s="1">
        <f>SUM(K2:K8)</f>
        <v>3778.2999999999884</v>
      </c>
    </row>
    <row r="10" spans="1:12" outlineLevel="2" x14ac:dyDescent="0.3">
      <c r="A10" t="s">
        <v>36</v>
      </c>
      <c r="B10" t="s">
        <v>37</v>
      </c>
      <c r="C10" t="s">
        <v>38</v>
      </c>
      <c r="D10" s="3">
        <v>42739</v>
      </c>
      <c r="E10" t="s">
        <v>39</v>
      </c>
      <c r="F10">
        <v>-2500</v>
      </c>
      <c r="G10">
        <v>1</v>
      </c>
      <c r="H10">
        <v>0</v>
      </c>
      <c r="I10">
        <v>0</v>
      </c>
      <c r="J10">
        <v>17.220500000000001</v>
      </c>
      <c r="K10" s="1">
        <v>-43051.19</v>
      </c>
      <c r="L10" t="s">
        <v>176</v>
      </c>
    </row>
    <row r="11" spans="1:12" outlineLevel="2" x14ac:dyDescent="0.3">
      <c r="A11" t="s">
        <v>36</v>
      </c>
      <c r="B11" t="s">
        <v>37</v>
      </c>
      <c r="C11" t="s">
        <v>38</v>
      </c>
      <c r="D11" s="3">
        <v>42739</v>
      </c>
      <c r="E11" t="s">
        <v>43</v>
      </c>
      <c r="F11">
        <v>2500</v>
      </c>
      <c r="G11">
        <v>1</v>
      </c>
      <c r="H11">
        <v>0</v>
      </c>
      <c r="I11">
        <v>0</v>
      </c>
      <c r="J11">
        <v>17.220500000000001</v>
      </c>
      <c r="K11" s="1">
        <v>43051.19</v>
      </c>
      <c r="L11" t="s">
        <v>176</v>
      </c>
    </row>
    <row r="12" spans="1:12" outlineLevel="2" x14ac:dyDescent="0.3">
      <c r="A12" t="s">
        <v>36</v>
      </c>
      <c r="B12" t="s">
        <v>53</v>
      </c>
      <c r="C12" t="s">
        <v>38</v>
      </c>
      <c r="D12" s="3">
        <v>42739</v>
      </c>
      <c r="E12" t="s">
        <v>39</v>
      </c>
      <c r="F12">
        <v>-1500</v>
      </c>
      <c r="G12">
        <v>1</v>
      </c>
      <c r="H12">
        <v>0</v>
      </c>
      <c r="I12">
        <v>0</v>
      </c>
      <c r="J12">
        <v>15.285</v>
      </c>
      <c r="K12" s="1">
        <v>-22927.43</v>
      </c>
      <c r="L12" t="s">
        <v>176</v>
      </c>
    </row>
    <row r="13" spans="1:12" outlineLevel="2" x14ac:dyDescent="0.3">
      <c r="A13" t="s">
        <v>36</v>
      </c>
      <c r="B13" t="s">
        <v>53</v>
      </c>
      <c r="C13" t="s">
        <v>38</v>
      </c>
      <c r="D13" s="3">
        <v>42739</v>
      </c>
      <c r="E13" t="s">
        <v>46</v>
      </c>
      <c r="F13">
        <v>1500</v>
      </c>
      <c r="G13">
        <v>1</v>
      </c>
      <c r="H13">
        <v>0</v>
      </c>
      <c r="I13">
        <v>0</v>
      </c>
      <c r="J13">
        <v>15.285</v>
      </c>
      <c r="K13" s="1">
        <v>22927.43</v>
      </c>
      <c r="L13" t="s">
        <v>176</v>
      </c>
    </row>
    <row r="14" spans="1:12" outlineLevel="2" x14ac:dyDescent="0.3">
      <c r="A14" t="s">
        <v>36</v>
      </c>
      <c r="B14" t="s">
        <v>60</v>
      </c>
      <c r="C14" t="s">
        <v>38</v>
      </c>
      <c r="D14" s="3">
        <v>42739</v>
      </c>
      <c r="E14" t="s">
        <v>39</v>
      </c>
      <c r="F14">
        <v>-400</v>
      </c>
      <c r="G14">
        <v>10</v>
      </c>
      <c r="H14">
        <v>0</v>
      </c>
      <c r="I14">
        <v>0</v>
      </c>
      <c r="J14">
        <v>185.4853</v>
      </c>
      <c r="K14" s="1">
        <v>-74194.13</v>
      </c>
      <c r="L14" t="s">
        <v>176</v>
      </c>
    </row>
    <row r="15" spans="1:12" outlineLevel="2" x14ac:dyDescent="0.3">
      <c r="A15" t="s">
        <v>36</v>
      </c>
      <c r="B15" t="s">
        <v>60</v>
      </c>
      <c r="C15" t="s">
        <v>38</v>
      </c>
      <c r="D15" s="3">
        <v>42739</v>
      </c>
      <c r="E15" t="s">
        <v>46</v>
      </c>
      <c r="F15">
        <v>400</v>
      </c>
      <c r="G15">
        <v>10</v>
      </c>
      <c r="H15">
        <v>0</v>
      </c>
      <c r="I15">
        <v>0</v>
      </c>
      <c r="J15">
        <v>185.4853</v>
      </c>
      <c r="K15" s="1">
        <v>74194.13</v>
      </c>
      <c r="L15" t="s">
        <v>176</v>
      </c>
    </row>
    <row r="16" spans="1:12" outlineLevel="2" x14ac:dyDescent="0.3">
      <c r="A16" t="s">
        <v>36</v>
      </c>
      <c r="B16" t="s">
        <v>62</v>
      </c>
      <c r="C16" t="s">
        <v>38</v>
      </c>
      <c r="D16" s="3">
        <v>42739</v>
      </c>
      <c r="E16" t="s">
        <v>39</v>
      </c>
      <c r="F16">
        <v>-200</v>
      </c>
      <c r="G16">
        <v>10</v>
      </c>
      <c r="H16">
        <v>0</v>
      </c>
      <c r="I16">
        <v>0</v>
      </c>
      <c r="J16">
        <v>168.666</v>
      </c>
      <c r="K16" s="1">
        <v>-33733.19</v>
      </c>
      <c r="L16" t="s">
        <v>176</v>
      </c>
    </row>
    <row r="17" spans="1:12" outlineLevel="2" x14ac:dyDescent="0.3">
      <c r="A17" t="s">
        <v>36</v>
      </c>
      <c r="B17" t="s">
        <v>62</v>
      </c>
      <c r="C17" t="s">
        <v>38</v>
      </c>
      <c r="D17" s="3">
        <v>42739</v>
      </c>
      <c r="E17" t="s">
        <v>46</v>
      </c>
      <c r="F17">
        <v>200</v>
      </c>
      <c r="G17">
        <v>10</v>
      </c>
      <c r="H17">
        <v>0</v>
      </c>
      <c r="I17">
        <v>0</v>
      </c>
      <c r="J17">
        <v>168.666</v>
      </c>
      <c r="K17" s="1">
        <v>33733.19</v>
      </c>
      <c r="L17" t="s">
        <v>176</v>
      </c>
    </row>
    <row r="18" spans="1:12" outlineLevel="2" x14ac:dyDescent="0.3">
      <c r="A18" t="s">
        <v>36</v>
      </c>
      <c r="B18" t="s">
        <v>67</v>
      </c>
      <c r="C18" t="s">
        <v>38</v>
      </c>
      <c r="D18" s="3">
        <v>42739</v>
      </c>
      <c r="E18" t="s">
        <v>39</v>
      </c>
      <c r="F18">
        <v>-435.61</v>
      </c>
      <c r="G18">
        <v>0.8</v>
      </c>
      <c r="H18">
        <v>0</v>
      </c>
      <c r="I18">
        <v>0</v>
      </c>
      <c r="J18">
        <v>11.9862</v>
      </c>
      <c r="K18" s="1">
        <v>-5221.33</v>
      </c>
      <c r="L18" t="s">
        <v>176</v>
      </c>
    </row>
    <row r="19" spans="1:12" outlineLevel="2" x14ac:dyDescent="0.3">
      <c r="A19" t="s">
        <v>36</v>
      </c>
      <c r="B19" t="s">
        <v>67</v>
      </c>
      <c r="C19" t="s">
        <v>38</v>
      </c>
      <c r="D19" s="3">
        <v>42739</v>
      </c>
      <c r="E19" t="s">
        <v>68</v>
      </c>
      <c r="F19">
        <v>435.61</v>
      </c>
      <c r="G19">
        <v>0.8</v>
      </c>
      <c r="H19">
        <v>0</v>
      </c>
      <c r="I19">
        <v>0</v>
      </c>
      <c r="J19">
        <v>11.9862</v>
      </c>
      <c r="K19" s="1">
        <v>5221.33</v>
      </c>
      <c r="L19" t="s">
        <v>176</v>
      </c>
    </row>
    <row r="20" spans="1:12" outlineLevel="2" x14ac:dyDescent="0.3">
      <c r="A20" t="s">
        <v>36</v>
      </c>
      <c r="B20" t="s">
        <v>71</v>
      </c>
      <c r="C20" t="s">
        <v>38</v>
      </c>
      <c r="D20" s="3">
        <v>42739</v>
      </c>
      <c r="E20" t="s">
        <v>39</v>
      </c>
      <c r="F20">
        <v>-16019.62</v>
      </c>
      <c r="G20">
        <v>0.92500000000000004</v>
      </c>
      <c r="H20">
        <v>0</v>
      </c>
      <c r="I20">
        <v>0</v>
      </c>
      <c r="J20">
        <v>15.151400000000001</v>
      </c>
      <c r="K20" s="1">
        <v>-242719.61</v>
      </c>
      <c r="L20" t="s">
        <v>176</v>
      </c>
    </row>
    <row r="21" spans="1:12" outlineLevel="2" x14ac:dyDescent="0.3">
      <c r="A21" t="s">
        <v>36</v>
      </c>
      <c r="B21" t="s">
        <v>71</v>
      </c>
      <c r="C21" t="s">
        <v>38</v>
      </c>
      <c r="D21" s="3">
        <v>42739</v>
      </c>
      <c r="E21" t="s">
        <v>68</v>
      </c>
      <c r="F21">
        <v>16019.62</v>
      </c>
      <c r="G21">
        <v>0.92500000000000004</v>
      </c>
      <c r="H21">
        <v>0</v>
      </c>
      <c r="I21">
        <v>0</v>
      </c>
      <c r="J21">
        <v>15.151400000000001</v>
      </c>
      <c r="K21" s="1">
        <v>242719.61</v>
      </c>
      <c r="L21" t="s">
        <v>176</v>
      </c>
    </row>
    <row r="22" spans="1:12" outlineLevel="2" x14ac:dyDescent="0.3">
      <c r="A22" t="s">
        <v>36</v>
      </c>
      <c r="B22" t="s">
        <v>72</v>
      </c>
      <c r="C22" t="s">
        <v>38</v>
      </c>
      <c r="D22" s="3">
        <v>42739</v>
      </c>
      <c r="E22" t="s">
        <v>39</v>
      </c>
      <c r="F22">
        <v>-104000</v>
      </c>
      <c r="G22">
        <v>1</v>
      </c>
      <c r="H22">
        <v>0</v>
      </c>
      <c r="I22">
        <v>0</v>
      </c>
      <c r="J22">
        <v>17.827200000000001</v>
      </c>
      <c r="K22" s="1">
        <v>-1854030.96</v>
      </c>
      <c r="L22" t="s">
        <v>176</v>
      </c>
    </row>
    <row r="23" spans="1:12" outlineLevel="2" x14ac:dyDescent="0.3">
      <c r="A23" t="s">
        <v>36</v>
      </c>
      <c r="B23" t="s">
        <v>72</v>
      </c>
      <c r="C23" t="s">
        <v>38</v>
      </c>
      <c r="D23" s="3">
        <v>42739</v>
      </c>
      <c r="E23" t="s">
        <v>68</v>
      </c>
      <c r="F23">
        <v>104000</v>
      </c>
      <c r="G23">
        <v>1</v>
      </c>
      <c r="H23">
        <v>0</v>
      </c>
      <c r="I23">
        <v>0</v>
      </c>
      <c r="J23">
        <v>17.827200000000001</v>
      </c>
      <c r="K23" s="1">
        <v>1854030.96</v>
      </c>
      <c r="L23" t="s">
        <v>176</v>
      </c>
    </row>
    <row r="24" spans="1:12" outlineLevel="2" x14ac:dyDescent="0.3">
      <c r="A24" t="s">
        <v>36</v>
      </c>
      <c r="B24" t="s">
        <v>79</v>
      </c>
      <c r="C24" t="s">
        <v>38</v>
      </c>
      <c r="D24" s="3">
        <v>42739</v>
      </c>
      <c r="E24" t="s">
        <v>39</v>
      </c>
      <c r="F24">
        <v>-13066.8</v>
      </c>
      <c r="G24">
        <v>1</v>
      </c>
      <c r="H24">
        <v>0</v>
      </c>
      <c r="I24">
        <v>0</v>
      </c>
      <c r="J24">
        <v>16.076599999999999</v>
      </c>
      <c r="K24" s="1">
        <v>-210069.23</v>
      </c>
      <c r="L24" t="s">
        <v>176</v>
      </c>
    </row>
    <row r="25" spans="1:12" outlineLevel="2" x14ac:dyDescent="0.3">
      <c r="A25" t="s">
        <v>36</v>
      </c>
      <c r="B25" t="s">
        <v>79</v>
      </c>
      <c r="C25" t="s">
        <v>38</v>
      </c>
      <c r="D25" s="3">
        <v>42739</v>
      </c>
      <c r="E25" t="s">
        <v>68</v>
      </c>
      <c r="F25">
        <v>13066.8</v>
      </c>
      <c r="G25">
        <v>1</v>
      </c>
      <c r="H25">
        <v>0</v>
      </c>
      <c r="I25">
        <v>0</v>
      </c>
      <c r="J25">
        <v>16.076599999999999</v>
      </c>
      <c r="K25" s="1">
        <v>210069.23</v>
      </c>
      <c r="L25" t="s">
        <v>176</v>
      </c>
    </row>
    <row r="26" spans="1:12" outlineLevel="2" x14ac:dyDescent="0.3">
      <c r="A26" t="s">
        <v>36</v>
      </c>
      <c r="B26" t="s">
        <v>82</v>
      </c>
      <c r="C26" t="s">
        <v>38</v>
      </c>
      <c r="D26" s="3">
        <v>42739</v>
      </c>
      <c r="E26" t="s">
        <v>84</v>
      </c>
      <c r="F26">
        <v>119833.15</v>
      </c>
      <c r="G26">
        <v>1</v>
      </c>
      <c r="H26">
        <v>0</v>
      </c>
      <c r="I26">
        <v>0</v>
      </c>
      <c r="J26">
        <v>16.0806</v>
      </c>
      <c r="K26" s="1">
        <v>1926988.95</v>
      </c>
      <c r="L26" t="s">
        <v>226</v>
      </c>
    </row>
    <row r="27" spans="1:12" outlineLevel="2" x14ac:dyDescent="0.3">
      <c r="A27" t="s">
        <v>36</v>
      </c>
      <c r="B27" t="s">
        <v>82</v>
      </c>
      <c r="C27" t="s">
        <v>38</v>
      </c>
      <c r="D27" s="3">
        <v>42739</v>
      </c>
      <c r="E27" t="s">
        <v>47</v>
      </c>
      <c r="F27">
        <v>-119833.15</v>
      </c>
      <c r="G27">
        <v>1</v>
      </c>
      <c r="H27">
        <v>0</v>
      </c>
      <c r="I27">
        <v>0</v>
      </c>
      <c r="J27">
        <v>16.0806</v>
      </c>
      <c r="K27" s="1">
        <v>-1926988.95</v>
      </c>
      <c r="L27" t="s">
        <v>226</v>
      </c>
    </row>
    <row r="28" spans="1:12" outlineLevel="2" x14ac:dyDescent="0.3">
      <c r="A28" t="s">
        <v>36</v>
      </c>
      <c r="B28" t="s">
        <v>86</v>
      </c>
      <c r="C28" t="s">
        <v>38</v>
      </c>
      <c r="D28" s="3">
        <v>42739</v>
      </c>
      <c r="E28" t="s">
        <v>39</v>
      </c>
      <c r="F28">
        <v>-172577.9</v>
      </c>
      <c r="G28">
        <v>1</v>
      </c>
      <c r="H28">
        <v>0</v>
      </c>
      <c r="I28">
        <v>0</v>
      </c>
      <c r="J28">
        <v>16.065000000000001</v>
      </c>
      <c r="K28" s="1">
        <v>-2772465.23</v>
      </c>
      <c r="L28" t="s">
        <v>176</v>
      </c>
    </row>
    <row r="29" spans="1:12" outlineLevel="2" x14ac:dyDescent="0.3">
      <c r="A29" t="s">
        <v>36</v>
      </c>
      <c r="B29" t="s">
        <v>86</v>
      </c>
      <c r="C29" t="s">
        <v>38</v>
      </c>
      <c r="D29" s="3">
        <v>42739</v>
      </c>
      <c r="E29" t="s">
        <v>84</v>
      </c>
      <c r="F29">
        <v>432041.1</v>
      </c>
      <c r="G29">
        <v>1</v>
      </c>
      <c r="H29">
        <v>0</v>
      </c>
      <c r="I29">
        <v>0</v>
      </c>
      <c r="J29">
        <v>16.735099999999999</v>
      </c>
      <c r="K29" s="1">
        <v>7230244.3399999999</v>
      </c>
      <c r="L29" t="s">
        <v>226</v>
      </c>
    </row>
    <row r="30" spans="1:12" outlineLevel="2" x14ac:dyDescent="0.3">
      <c r="A30" t="s">
        <v>36</v>
      </c>
      <c r="B30" t="s">
        <v>86</v>
      </c>
      <c r="C30" t="s">
        <v>38</v>
      </c>
      <c r="D30" s="3">
        <v>42739</v>
      </c>
      <c r="E30" t="s">
        <v>47</v>
      </c>
      <c r="F30">
        <v>172577.9</v>
      </c>
      <c r="G30">
        <v>1</v>
      </c>
      <c r="H30">
        <v>0</v>
      </c>
      <c r="I30">
        <v>0</v>
      </c>
      <c r="J30">
        <v>16.065000000000001</v>
      </c>
      <c r="K30" s="1">
        <v>2772465.23</v>
      </c>
      <c r="L30" t="s">
        <v>176</v>
      </c>
    </row>
    <row r="31" spans="1:12" outlineLevel="2" x14ac:dyDescent="0.3">
      <c r="A31" t="s">
        <v>36</v>
      </c>
      <c r="B31" t="s">
        <v>86</v>
      </c>
      <c r="C31" t="s">
        <v>38</v>
      </c>
      <c r="D31" s="3">
        <v>42739</v>
      </c>
      <c r="E31" t="s">
        <v>47</v>
      </c>
      <c r="F31">
        <v>-432041.1</v>
      </c>
      <c r="G31">
        <v>1</v>
      </c>
      <c r="H31">
        <v>0</v>
      </c>
      <c r="I31">
        <v>0</v>
      </c>
      <c r="J31">
        <v>16.735099999999999</v>
      </c>
      <c r="K31" s="1">
        <v>-7230244.3399999999</v>
      </c>
      <c r="L31" t="s">
        <v>226</v>
      </c>
    </row>
    <row r="32" spans="1:12" outlineLevel="2" x14ac:dyDescent="0.3">
      <c r="A32" t="s">
        <v>36</v>
      </c>
      <c r="B32" t="s">
        <v>86</v>
      </c>
      <c r="C32" t="s">
        <v>50</v>
      </c>
      <c r="D32" s="3">
        <v>42739</v>
      </c>
      <c r="E32" t="s">
        <v>47</v>
      </c>
      <c r="F32">
        <v>0</v>
      </c>
      <c r="G32">
        <v>1</v>
      </c>
      <c r="H32">
        <v>0</v>
      </c>
      <c r="I32">
        <v>0</v>
      </c>
      <c r="J32">
        <v>0</v>
      </c>
      <c r="K32" s="1">
        <v>103863.69</v>
      </c>
      <c r="L32" t="s">
        <v>176</v>
      </c>
    </row>
    <row r="33" spans="1:12" outlineLevel="2" x14ac:dyDescent="0.3">
      <c r="A33" t="s">
        <v>36</v>
      </c>
      <c r="B33" t="s">
        <v>101</v>
      </c>
      <c r="C33" t="s">
        <v>63</v>
      </c>
      <c r="D33" s="3">
        <v>42739</v>
      </c>
      <c r="E33" t="s">
        <v>39</v>
      </c>
      <c r="F33">
        <v>-1500</v>
      </c>
      <c r="G33">
        <v>1</v>
      </c>
      <c r="H33">
        <v>0</v>
      </c>
      <c r="I33">
        <v>0</v>
      </c>
      <c r="J33">
        <v>18.8429</v>
      </c>
      <c r="K33" s="1">
        <v>-28264.29</v>
      </c>
      <c r="L33" t="s">
        <v>240</v>
      </c>
    </row>
    <row r="34" spans="1:12" outlineLevel="2" x14ac:dyDescent="0.3">
      <c r="A34" t="s">
        <v>36</v>
      </c>
      <c r="B34" t="s">
        <v>101</v>
      </c>
      <c r="C34" t="s">
        <v>38</v>
      </c>
      <c r="D34" s="3">
        <v>42739</v>
      </c>
      <c r="E34" t="s">
        <v>39</v>
      </c>
      <c r="F34">
        <v>-5000</v>
      </c>
      <c r="G34">
        <v>1</v>
      </c>
      <c r="H34">
        <v>0</v>
      </c>
      <c r="I34">
        <v>0</v>
      </c>
      <c r="J34">
        <v>18.8429</v>
      </c>
      <c r="K34" s="1">
        <v>-94214.3</v>
      </c>
      <c r="L34" t="s">
        <v>241</v>
      </c>
    </row>
    <row r="35" spans="1:12" outlineLevel="2" x14ac:dyDescent="0.3">
      <c r="A35" t="s">
        <v>36</v>
      </c>
      <c r="B35" t="s">
        <v>101</v>
      </c>
      <c r="C35" t="s">
        <v>38</v>
      </c>
      <c r="D35" s="3">
        <v>42739</v>
      </c>
      <c r="E35" t="s">
        <v>39</v>
      </c>
      <c r="F35">
        <v>-500</v>
      </c>
      <c r="G35">
        <v>1</v>
      </c>
      <c r="H35">
        <v>0</v>
      </c>
      <c r="I35">
        <v>0</v>
      </c>
      <c r="J35">
        <v>18.8429</v>
      </c>
      <c r="K35" s="1">
        <v>-9421.43</v>
      </c>
      <c r="L35" t="s">
        <v>176</v>
      </c>
    </row>
    <row r="36" spans="1:12" outlineLevel="2" x14ac:dyDescent="0.3">
      <c r="A36" t="s">
        <v>36</v>
      </c>
      <c r="B36" t="s">
        <v>101</v>
      </c>
      <c r="C36" t="s">
        <v>38</v>
      </c>
      <c r="D36" s="3">
        <v>42739</v>
      </c>
      <c r="E36" t="s">
        <v>46</v>
      </c>
      <c r="F36">
        <v>500</v>
      </c>
      <c r="G36">
        <v>1</v>
      </c>
      <c r="H36">
        <v>0</v>
      </c>
      <c r="I36">
        <v>0</v>
      </c>
      <c r="J36">
        <v>18.8429</v>
      </c>
      <c r="K36" s="1">
        <v>9421.43</v>
      </c>
      <c r="L36" t="s">
        <v>176</v>
      </c>
    </row>
    <row r="37" spans="1:12" outlineLevel="2" x14ac:dyDescent="0.3">
      <c r="A37" t="s">
        <v>36</v>
      </c>
      <c r="B37" t="s">
        <v>101</v>
      </c>
      <c r="C37" t="s">
        <v>38</v>
      </c>
      <c r="D37" s="3">
        <v>42739</v>
      </c>
      <c r="E37" t="s">
        <v>56</v>
      </c>
      <c r="F37">
        <v>5000</v>
      </c>
      <c r="G37">
        <v>1</v>
      </c>
      <c r="H37">
        <v>0</v>
      </c>
      <c r="I37">
        <v>0</v>
      </c>
      <c r="J37">
        <v>18.8429</v>
      </c>
      <c r="K37" s="1">
        <v>94214.3</v>
      </c>
      <c r="L37" t="s">
        <v>241</v>
      </c>
    </row>
    <row r="38" spans="1:12" outlineLevel="2" x14ac:dyDescent="0.3">
      <c r="A38" t="s">
        <v>36</v>
      </c>
      <c r="B38" t="s">
        <v>114</v>
      </c>
      <c r="C38" t="s">
        <v>38</v>
      </c>
      <c r="D38" s="3">
        <v>42739</v>
      </c>
      <c r="E38" t="s">
        <v>39</v>
      </c>
      <c r="F38">
        <v>-61887</v>
      </c>
      <c r="G38">
        <v>0.29499999999999998</v>
      </c>
      <c r="H38">
        <v>0</v>
      </c>
      <c r="I38">
        <v>0</v>
      </c>
      <c r="J38">
        <v>4.8705999999999996</v>
      </c>
      <c r="K38" s="1">
        <v>-301429.13</v>
      </c>
      <c r="L38" t="s">
        <v>176</v>
      </c>
    </row>
    <row r="39" spans="1:12" outlineLevel="2" x14ac:dyDescent="0.3">
      <c r="A39" t="s">
        <v>36</v>
      </c>
      <c r="B39" t="s">
        <v>114</v>
      </c>
      <c r="C39" t="s">
        <v>38</v>
      </c>
      <c r="D39" s="3">
        <v>42739</v>
      </c>
      <c r="E39" t="s">
        <v>68</v>
      </c>
      <c r="F39">
        <v>61887</v>
      </c>
      <c r="G39">
        <v>0.29499999999999998</v>
      </c>
      <c r="H39">
        <v>0</v>
      </c>
      <c r="I39">
        <v>0</v>
      </c>
      <c r="J39">
        <v>4.8705999999999996</v>
      </c>
      <c r="K39" s="1">
        <v>301429.13</v>
      </c>
      <c r="L39" t="s">
        <v>176</v>
      </c>
    </row>
    <row r="40" spans="1:12" outlineLevel="2" x14ac:dyDescent="0.3">
      <c r="A40" t="s">
        <v>36</v>
      </c>
      <c r="B40" t="s">
        <v>119</v>
      </c>
      <c r="C40" t="s">
        <v>40</v>
      </c>
      <c r="D40" s="3">
        <v>42739</v>
      </c>
      <c r="E40" t="s">
        <v>39</v>
      </c>
      <c r="F40">
        <v>1500</v>
      </c>
      <c r="G40">
        <v>1</v>
      </c>
      <c r="H40">
        <v>0</v>
      </c>
      <c r="I40">
        <v>0</v>
      </c>
      <c r="J40">
        <v>18.8429</v>
      </c>
      <c r="K40" s="1">
        <v>28264.29</v>
      </c>
      <c r="L40" t="s">
        <v>240</v>
      </c>
    </row>
    <row r="41" spans="1:12" outlineLevel="2" x14ac:dyDescent="0.3">
      <c r="A41" t="s">
        <v>36</v>
      </c>
      <c r="B41" t="s">
        <v>125</v>
      </c>
      <c r="C41" t="s">
        <v>38</v>
      </c>
      <c r="D41" s="3">
        <v>42739</v>
      </c>
      <c r="E41" t="s">
        <v>39</v>
      </c>
      <c r="F41">
        <v>-500</v>
      </c>
      <c r="G41">
        <v>1</v>
      </c>
      <c r="H41">
        <v>0</v>
      </c>
      <c r="I41">
        <v>0</v>
      </c>
      <c r="J41">
        <v>19.293299999999999</v>
      </c>
      <c r="K41" s="1">
        <v>-9646.66</v>
      </c>
      <c r="L41" t="s">
        <v>176</v>
      </c>
    </row>
    <row r="42" spans="1:12" outlineLevel="2" x14ac:dyDescent="0.3">
      <c r="A42" t="s">
        <v>36</v>
      </c>
      <c r="B42" t="s">
        <v>125</v>
      </c>
      <c r="C42" t="s">
        <v>38</v>
      </c>
      <c r="D42" s="3">
        <v>42739</v>
      </c>
      <c r="E42" t="s">
        <v>46</v>
      </c>
      <c r="F42">
        <v>500</v>
      </c>
      <c r="G42">
        <v>1</v>
      </c>
      <c r="H42">
        <v>0</v>
      </c>
      <c r="I42">
        <v>0</v>
      </c>
      <c r="J42">
        <v>19.293299999999999</v>
      </c>
      <c r="K42" s="1">
        <v>9646.66</v>
      </c>
      <c r="L42" t="s">
        <v>176</v>
      </c>
    </row>
    <row r="43" spans="1:12" outlineLevel="2" x14ac:dyDescent="0.3">
      <c r="A43" t="s">
        <v>36</v>
      </c>
      <c r="B43" t="s">
        <v>126</v>
      </c>
      <c r="C43" t="s">
        <v>38</v>
      </c>
      <c r="D43" s="3">
        <v>42739</v>
      </c>
      <c r="E43" t="s">
        <v>39</v>
      </c>
      <c r="F43">
        <v>-8500</v>
      </c>
      <c r="G43">
        <v>1</v>
      </c>
      <c r="H43">
        <v>0</v>
      </c>
      <c r="I43">
        <v>0</v>
      </c>
      <c r="J43">
        <v>18.399999999999999</v>
      </c>
      <c r="K43" s="1">
        <v>-156400</v>
      </c>
      <c r="L43" t="s">
        <v>176</v>
      </c>
    </row>
    <row r="44" spans="1:12" outlineLevel="2" x14ac:dyDescent="0.3">
      <c r="A44" t="s">
        <v>36</v>
      </c>
      <c r="B44" t="s">
        <v>126</v>
      </c>
      <c r="C44" t="s">
        <v>38</v>
      </c>
      <c r="D44" s="3">
        <v>42739</v>
      </c>
      <c r="E44" t="s">
        <v>46</v>
      </c>
      <c r="F44">
        <v>8500</v>
      </c>
      <c r="G44">
        <v>1</v>
      </c>
      <c r="H44">
        <v>0</v>
      </c>
      <c r="I44">
        <v>0</v>
      </c>
      <c r="J44">
        <v>18.399999999999999</v>
      </c>
      <c r="K44" s="1">
        <v>156400</v>
      </c>
      <c r="L44" t="s">
        <v>176</v>
      </c>
    </row>
    <row r="45" spans="1:12" outlineLevel="2" x14ac:dyDescent="0.3">
      <c r="A45" t="s">
        <v>36</v>
      </c>
      <c r="B45" t="s">
        <v>128</v>
      </c>
      <c r="C45" t="s">
        <v>38</v>
      </c>
      <c r="D45" s="3">
        <v>42739</v>
      </c>
      <c r="E45" t="s">
        <v>39</v>
      </c>
      <c r="F45">
        <v>-60</v>
      </c>
      <c r="G45">
        <v>100</v>
      </c>
      <c r="H45">
        <v>0</v>
      </c>
      <c r="I45">
        <v>0</v>
      </c>
      <c r="J45">
        <v>1846.2001</v>
      </c>
      <c r="K45" s="1">
        <v>-110772.01</v>
      </c>
      <c r="L45" t="s">
        <v>176</v>
      </c>
    </row>
    <row r="46" spans="1:12" outlineLevel="2" x14ac:dyDescent="0.3">
      <c r="A46" t="s">
        <v>36</v>
      </c>
      <c r="B46" t="s">
        <v>128</v>
      </c>
      <c r="C46" t="s">
        <v>38</v>
      </c>
      <c r="D46" s="3">
        <v>42739</v>
      </c>
      <c r="E46" t="s">
        <v>46</v>
      </c>
      <c r="F46">
        <v>60</v>
      </c>
      <c r="G46">
        <v>100</v>
      </c>
      <c r="H46">
        <v>0</v>
      </c>
      <c r="I46">
        <v>0</v>
      </c>
      <c r="J46">
        <v>1846.2001</v>
      </c>
      <c r="K46" s="1">
        <v>110772.01</v>
      </c>
      <c r="L46" t="s">
        <v>176</v>
      </c>
    </row>
    <row r="47" spans="1:12" outlineLevel="2" x14ac:dyDescent="0.3">
      <c r="A47" t="s">
        <v>36</v>
      </c>
      <c r="B47" t="s">
        <v>136</v>
      </c>
      <c r="C47" t="s">
        <v>40</v>
      </c>
      <c r="D47" s="3">
        <v>42739</v>
      </c>
      <c r="E47" t="s">
        <v>39</v>
      </c>
      <c r="F47">
        <v>1250</v>
      </c>
      <c r="G47">
        <v>1</v>
      </c>
      <c r="H47">
        <v>0</v>
      </c>
      <c r="I47">
        <v>0</v>
      </c>
      <c r="J47">
        <v>19.229500000000002</v>
      </c>
      <c r="K47" s="1">
        <v>24036.82</v>
      </c>
      <c r="L47" t="s">
        <v>240</v>
      </c>
    </row>
    <row r="48" spans="1:12" outlineLevel="2" x14ac:dyDescent="0.3">
      <c r="A48" t="s">
        <v>36</v>
      </c>
      <c r="B48" t="s">
        <v>136</v>
      </c>
      <c r="C48" t="s">
        <v>38</v>
      </c>
      <c r="D48" s="3">
        <v>42739</v>
      </c>
      <c r="E48" t="s">
        <v>39</v>
      </c>
      <c r="F48">
        <v>-1000</v>
      </c>
      <c r="G48">
        <v>1</v>
      </c>
      <c r="H48">
        <v>0</v>
      </c>
      <c r="I48">
        <v>0</v>
      </c>
      <c r="J48">
        <v>17.8353</v>
      </c>
      <c r="K48" s="1">
        <v>-17835.3</v>
      </c>
      <c r="L48" t="s">
        <v>176</v>
      </c>
    </row>
    <row r="49" spans="1:12" outlineLevel="2" x14ac:dyDescent="0.3">
      <c r="A49" t="s">
        <v>36</v>
      </c>
      <c r="B49" t="s">
        <v>136</v>
      </c>
      <c r="C49" t="s">
        <v>38</v>
      </c>
      <c r="D49" s="3">
        <v>42739</v>
      </c>
      <c r="E49" t="s">
        <v>46</v>
      </c>
      <c r="F49">
        <v>1000</v>
      </c>
      <c r="G49">
        <v>1</v>
      </c>
      <c r="H49">
        <v>0</v>
      </c>
      <c r="I49">
        <v>0</v>
      </c>
      <c r="J49">
        <v>17.8353</v>
      </c>
      <c r="K49" s="1">
        <v>17835.3</v>
      </c>
      <c r="L49" t="s">
        <v>176</v>
      </c>
    </row>
    <row r="50" spans="1:12" outlineLevel="2" x14ac:dyDescent="0.3">
      <c r="A50" t="s">
        <v>36</v>
      </c>
      <c r="B50" t="s">
        <v>138</v>
      </c>
      <c r="C50" t="s">
        <v>63</v>
      </c>
      <c r="D50" s="3">
        <v>42739</v>
      </c>
      <c r="E50" t="s">
        <v>39</v>
      </c>
      <c r="F50">
        <v>-1250</v>
      </c>
      <c r="G50">
        <v>1</v>
      </c>
      <c r="H50">
        <v>0</v>
      </c>
      <c r="I50">
        <v>0</v>
      </c>
      <c r="J50">
        <v>19.229500000000002</v>
      </c>
      <c r="K50" s="1">
        <v>-24036.82</v>
      </c>
      <c r="L50" t="s">
        <v>240</v>
      </c>
    </row>
    <row r="51" spans="1:12" outlineLevel="2" x14ac:dyDescent="0.3">
      <c r="A51" t="s">
        <v>36</v>
      </c>
      <c r="B51" t="s">
        <v>142</v>
      </c>
      <c r="C51" t="s">
        <v>38</v>
      </c>
      <c r="D51" s="3">
        <v>42739</v>
      </c>
      <c r="E51" t="s">
        <v>39</v>
      </c>
      <c r="F51">
        <v>-60</v>
      </c>
      <c r="G51">
        <v>0.5</v>
      </c>
      <c r="H51">
        <v>0</v>
      </c>
      <c r="I51">
        <v>0</v>
      </c>
      <c r="J51">
        <v>12.56</v>
      </c>
      <c r="K51" s="1">
        <v>-753.6</v>
      </c>
      <c r="L51" t="s">
        <v>176</v>
      </c>
    </row>
    <row r="52" spans="1:12" outlineLevel="2" x14ac:dyDescent="0.3">
      <c r="A52" t="s">
        <v>36</v>
      </c>
      <c r="B52" t="s">
        <v>142</v>
      </c>
      <c r="C52" t="s">
        <v>38</v>
      </c>
      <c r="D52" s="3">
        <v>42739</v>
      </c>
      <c r="E52" t="s">
        <v>46</v>
      </c>
      <c r="F52">
        <v>60</v>
      </c>
      <c r="G52">
        <v>0.5</v>
      </c>
      <c r="H52">
        <v>0</v>
      </c>
      <c r="I52">
        <v>0</v>
      </c>
      <c r="J52">
        <v>12.56</v>
      </c>
      <c r="K52" s="1">
        <v>753.6</v>
      </c>
      <c r="L52" t="s">
        <v>176</v>
      </c>
    </row>
    <row r="53" spans="1:12" outlineLevel="2" x14ac:dyDescent="0.3">
      <c r="A53" t="s">
        <v>36</v>
      </c>
      <c r="B53" t="s">
        <v>157</v>
      </c>
      <c r="C53" t="s">
        <v>38</v>
      </c>
      <c r="D53" s="3">
        <v>42739</v>
      </c>
      <c r="E53" t="s">
        <v>39</v>
      </c>
      <c r="F53">
        <v>-300</v>
      </c>
      <c r="G53">
        <v>0.96450000000000002</v>
      </c>
      <c r="H53">
        <v>0</v>
      </c>
      <c r="I53">
        <v>0</v>
      </c>
      <c r="J53">
        <v>22.867999999999999</v>
      </c>
      <c r="K53" s="1">
        <v>-6860.4</v>
      </c>
      <c r="L53" t="s">
        <v>176</v>
      </c>
    </row>
    <row r="54" spans="1:12" outlineLevel="2" x14ac:dyDescent="0.3">
      <c r="A54" t="s">
        <v>36</v>
      </c>
      <c r="B54" t="s">
        <v>157</v>
      </c>
      <c r="C54" t="s">
        <v>38</v>
      </c>
      <c r="D54" s="3">
        <v>42739</v>
      </c>
      <c r="E54" t="s">
        <v>46</v>
      </c>
      <c r="F54">
        <v>300</v>
      </c>
      <c r="G54">
        <v>0.96450000000000002</v>
      </c>
      <c r="H54">
        <v>0</v>
      </c>
      <c r="I54">
        <v>0</v>
      </c>
      <c r="J54">
        <v>22.867999999999999</v>
      </c>
      <c r="K54" s="1">
        <v>6860.4</v>
      </c>
      <c r="L54" t="s">
        <v>176</v>
      </c>
    </row>
    <row r="55" spans="1:12" outlineLevel="1" x14ac:dyDescent="0.3">
      <c r="D55" s="7" t="s">
        <v>270</v>
      </c>
      <c r="K55" s="1">
        <f>SUM(K10:K54)</f>
        <v>103863.69</v>
      </c>
    </row>
    <row r="56" spans="1:12" outlineLevel="2" x14ac:dyDescent="0.3">
      <c r="A56" t="s">
        <v>36</v>
      </c>
      <c r="B56" t="s">
        <v>37</v>
      </c>
      <c r="C56" t="s">
        <v>38</v>
      </c>
      <c r="D56" s="3">
        <v>42740</v>
      </c>
      <c r="E56" t="s">
        <v>39</v>
      </c>
      <c r="F56">
        <v>-2000</v>
      </c>
      <c r="G56">
        <v>1</v>
      </c>
      <c r="H56">
        <v>0</v>
      </c>
      <c r="I56">
        <v>0</v>
      </c>
      <c r="J56">
        <v>17.220500000000001</v>
      </c>
      <c r="K56" s="1">
        <v>-34440.949999999997</v>
      </c>
      <c r="L56" t="s">
        <v>177</v>
      </c>
    </row>
    <row r="57" spans="1:12" outlineLevel="2" x14ac:dyDescent="0.3">
      <c r="A57" t="s">
        <v>36</v>
      </c>
      <c r="B57" t="s">
        <v>37</v>
      </c>
      <c r="C57" t="s">
        <v>38</v>
      </c>
      <c r="D57" s="3">
        <v>42740</v>
      </c>
      <c r="E57" t="s">
        <v>39</v>
      </c>
      <c r="F57">
        <v>-10000</v>
      </c>
      <c r="G57">
        <v>1</v>
      </c>
      <c r="H57">
        <v>0</v>
      </c>
      <c r="I57">
        <v>0</v>
      </c>
      <c r="J57">
        <v>17.220500000000001</v>
      </c>
      <c r="K57" s="1">
        <v>-172204.76</v>
      </c>
      <c r="L57" t="s">
        <v>177</v>
      </c>
    </row>
    <row r="58" spans="1:12" outlineLevel="2" x14ac:dyDescent="0.3">
      <c r="A58" t="s">
        <v>36</v>
      </c>
      <c r="B58" t="s">
        <v>37</v>
      </c>
      <c r="C58" t="s">
        <v>38</v>
      </c>
      <c r="D58" s="3">
        <v>42740</v>
      </c>
      <c r="E58" t="s">
        <v>45</v>
      </c>
      <c r="F58">
        <v>10000</v>
      </c>
      <c r="G58">
        <v>1</v>
      </c>
      <c r="H58">
        <v>0</v>
      </c>
      <c r="I58">
        <v>0</v>
      </c>
      <c r="J58">
        <v>17.220500000000001</v>
      </c>
      <c r="K58" s="1">
        <v>172204.76</v>
      </c>
      <c r="L58" t="s">
        <v>177</v>
      </c>
    </row>
    <row r="59" spans="1:12" outlineLevel="2" x14ac:dyDescent="0.3">
      <c r="A59" t="s">
        <v>36</v>
      </c>
      <c r="B59" t="s">
        <v>37</v>
      </c>
      <c r="C59" t="s">
        <v>38</v>
      </c>
      <c r="D59" s="3">
        <v>42740</v>
      </c>
      <c r="E59" t="s">
        <v>46</v>
      </c>
      <c r="F59">
        <v>2000</v>
      </c>
      <c r="G59">
        <v>1</v>
      </c>
      <c r="H59">
        <v>0</v>
      </c>
      <c r="I59">
        <v>0</v>
      </c>
      <c r="J59">
        <v>17.220500000000001</v>
      </c>
      <c r="K59" s="1">
        <v>34440.949999999997</v>
      </c>
      <c r="L59" t="s">
        <v>177</v>
      </c>
    </row>
    <row r="60" spans="1:12" outlineLevel="2" x14ac:dyDescent="0.3">
      <c r="A60" t="s">
        <v>36</v>
      </c>
      <c r="B60" t="s">
        <v>64</v>
      </c>
      <c r="C60" t="s">
        <v>63</v>
      </c>
      <c r="D60" s="3">
        <v>42740</v>
      </c>
      <c r="E60" t="s">
        <v>39</v>
      </c>
      <c r="F60">
        <v>-17</v>
      </c>
      <c r="G60">
        <v>100</v>
      </c>
      <c r="H60">
        <v>0</v>
      </c>
      <c r="I60">
        <v>0</v>
      </c>
      <c r="J60">
        <v>1742.5041000000001</v>
      </c>
      <c r="K60" s="1">
        <v>-29622.57</v>
      </c>
      <c r="L60" t="s">
        <v>193</v>
      </c>
    </row>
    <row r="61" spans="1:12" outlineLevel="2" x14ac:dyDescent="0.3">
      <c r="A61" t="s">
        <v>36</v>
      </c>
      <c r="B61" t="s">
        <v>72</v>
      </c>
      <c r="C61" t="s">
        <v>38</v>
      </c>
      <c r="D61" s="3">
        <v>42740</v>
      </c>
      <c r="E61" t="s">
        <v>73</v>
      </c>
      <c r="F61">
        <v>40000</v>
      </c>
      <c r="G61">
        <v>1</v>
      </c>
      <c r="H61">
        <v>0</v>
      </c>
      <c r="I61">
        <v>0</v>
      </c>
      <c r="J61">
        <v>19.895800000000001</v>
      </c>
      <c r="K61" s="1">
        <v>795833.33</v>
      </c>
      <c r="L61" t="s">
        <v>177</v>
      </c>
    </row>
    <row r="62" spans="1:12" outlineLevel="2" x14ac:dyDescent="0.3">
      <c r="A62" t="s">
        <v>36</v>
      </c>
      <c r="B62" t="s">
        <v>72</v>
      </c>
      <c r="C62" t="s">
        <v>38</v>
      </c>
      <c r="D62" s="3">
        <v>42740</v>
      </c>
      <c r="E62" t="s">
        <v>75</v>
      </c>
      <c r="F62">
        <v>20000</v>
      </c>
      <c r="G62">
        <v>1</v>
      </c>
      <c r="H62">
        <v>0</v>
      </c>
      <c r="I62">
        <v>0</v>
      </c>
      <c r="J62">
        <v>19.895800000000001</v>
      </c>
      <c r="K62" s="1">
        <v>397916.67</v>
      </c>
      <c r="L62" t="s">
        <v>177</v>
      </c>
    </row>
    <row r="63" spans="1:12" outlineLevel="2" x14ac:dyDescent="0.3">
      <c r="A63" t="s">
        <v>36</v>
      </c>
      <c r="B63" t="s">
        <v>72</v>
      </c>
      <c r="C63" t="s">
        <v>38</v>
      </c>
      <c r="D63" s="3">
        <v>42740</v>
      </c>
      <c r="E63" t="s">
        <v>47</v>
      </c>
      <c r="F63">
        <v>-40000</v>
      </c>
      <c r="G63">
        <v>1</v>
      </c>
      <c r="H63">
        <v>0</v>
      </c>
      <c r="I63">
        <v>0</v>
      </c>
      <c r="J63">
        <v>19.895800000000001</v>
      </c>
      <c r="K63" s="1">
        <v>-795833.33</v>
      </c>
      <c r="L63" t="s">
        <v>177</v>
      </c>
    </row>
    <row r="64" spans="1:12" outlineLevel="2" x14ac:dyDescent="0.3">
      <c r="A64" t="s">
        <v>36</v>
      </c>
      <c r="B64" t="s">
        <v>72</v>
      </c>
      <c r="C64" t="s">
        <v>38</v>
      </c>
      <c r="D64" s="3">
        <v>42740</v>
      </c>
      <c r="E64" t="s">
        <v>47</v>
      </c>
      <c r="F64">
        <v>-20000</v>
      </c>
      <c r="G64">
        <v>1</v>
      </c>
      <c r="H64">
        <v>0</v>
      </c>
      <c r="I64">
        <v>0</v>
      </c>
      <c r="J64">
        <v>19.895800000000001</v>
      </c>
      <c r="K64" s="1">
        <v>-397916.67</v>
      </c>
      <c r="L64" t="s">
        <v>177</v>
      </c>
    </row>
    <row r="65" spans="1:12" outlineLevel="2" x14ac:dyDescent="0.3">
      <c r="A65" t="s">
        <v>36</v>
      </c>
      <c r="B65" t="s">
        <v>77</v>
      </c>
      <c r="C65" t="s">
        <v>38</v>
      </c>
      <c r="D65" s="3">
        <v>42740</v>
      </c>
      <c r="E65" t="s">
        <v>39</v>
      </c>
      <c r="F65">
        <v>-803.75</v>
      </c>
      <c r="G65">
        <v>1</v>
      </c>
      <c r="H65">
        <v>0</v>
      </c>
      <c r="I65">
        <v>0</v>
      </c>
      <c r="J65">
        <v>18.178000000000001</v>
      </c>
      <c r="K65" s="1">
        <v>-14610.57</v>
      </c>
      <c r="L65" t="s">
        <v>177</v>
      </c>
    </row>
    <row r="66" spans="1:12" outlineLevel="2" x14ac:dyDescent="0.3">
      <c r="A66" t="s">
        <v>36</v>
      </c>
      <c r="B66" t="s">
        <v>77</v>
      </c>
      <c r="C66" t="s">
        <v>38</v>
      </c>
      <c r="D66" s="3">
        <v>42740</v>
      </c>
      <c r="E66" t="s">
        <v>78</v>
      </c>
      <c r="F66">
        <v>803.75</v>
      </c>
      <c r="G66">
        <v>1</v>
      </c>
      <c r="H66">
        <v>0</v>
      </c>
      <c r="I66">
        <v>0</v>
      </c>
      <c r="J66">
        <v>18.178000000000001</v>
      </c>
      <c r="K66" s="1">
        <v>14610.57</v>
      </c>
      <c r="L66" t="s">
        <v>177</v>
      </c>
    </row>
    <row r="67" spans="1:12" outlineLevel="2" x14ac:dyDescent="0.3">
      <c r="A67" t="s">
        <v>36</v>
      </c>
      <c r="B67" t="s">
        <v>77</v>
      </c>
      <c r="C67" t="s">
        <v>38</v>
      </c>
      <c r="D67" s="3">
        <v>42740</v>
      </c>
      <c r="E67" t="s">
        <v>75</v>
      </c>
      <c r="F67">
        <v>20094.2</v>
      </c>
      <c r="G67">
        <v>1</v>
      </c>
      <c r="H67">
        <v>0</v>
      </c>
      <c r="I67">
        <v>0</v>
      </c>
      <c r="J67">
        <v>17.216100000000001</v>
      </c>
      <c r="K67" s="1">
        <v>345943.29</v>
      </c>
      <c r="L67" t="s">
        <v>177</v>
      </c>
    </row>
    <row r="68" spans="1:12" outlineLevel="2" x14ac:dyDescent="0.3">
      <c r="A68" t="s">
        <v>36</v>
      </c>
      <c r="B68" t="s">
        <v>77</v>
      </c>
      <c r="C68" t="s">
        <v>38</v>
      </c>
      <c r="D68" s="3">
        <v>42740</v>
      </c>
      <c r="E68" t="s">
        <v>47</v>
      </c>
      <c r="F68">
        <v>-20094.2</v>
      </c>
      <c r="G68">
        <v>1</v>
      </c>
      <c r="H68">
        <v>0</v>
      </c>
      <c r="I68">
        <v>0</v>
      </c>
      <c r="J68">
        <v>17.216100000000001</v>
      </c>
      <c r="K68" s="1">
        <v>-345943.29</v>
      </c>
      <c r="L68" t="s">
        <v>177</v>
      </c>
    </row>
    <row r="69" spans="1:12" outlineLevel="2" x14ac:dyDescent="0.3">
      <c r="A69" t="s">
        <v>36</v>
      </c>
      <c r="B69" t="s">
        <v>79</v>
      </c>
      <c r="C69" t="s">
        <v>40</v>
      </c>
      <c r="D69" s="3">
        <v>42740</v>
      </c>
      <c r="E69" t="s">
        <v>39</v>
      </c>
      <c r="F69">
        <v>1700</v>
      </c>
      <c r="G69">
        <v>1</v>
      </c>
      <c r="H69">
        <v>0</v>
      </c>
      <c r="I69">
        <v>0</v>
      </c>
      <c r="J69">
        <v>17.425000000000001</v>
      </c>
      <c r="K69" s="1">
        <v>29622.57</v>
      </c>
      <c r="L69" t="s">
        <v>193</v>
      </c>
    </row>
    <row r="70" spans="1:12" outlineLevel="2" x14ac:dyDescent="0.3">
      <c r="A70" t="s">
        <v>36</v>
      </c>
      <c r="B70" t="s">
        <v>82</v>
      </c>
      <c r="C70" t="s">
        <v>38</v>
      </c>
      <c r="D70" s="3">
        <v>42740</v>
      </c>
      <c r="E70" t="s">
        <v>73</v>
      </c>
      <c r="F70">
        <v>40096.61</v>
      </c>
      <c r="G70">
        <v>1</v>
      </c>
      <c r="H70">
        <v>0</v>
      </c>
      <c r="I70">
        <v>0</v>
      </c>
      <c r="J70">
        <v>16.0806</v>
      </c>
      <c r="K70" s="1">
        <v>644777.55000000005</v>
      </c>
      <c r="L70" t="s">
        <v>177</v>
      </c>
    </row>
    <row r="71" spans="1:12" outlineLevel="2" x14ac:dyDescent="0.3">
      <c r="A71" t="s">
        <v>36</v>
      </c>
      <c r="B71" t="s">
        <v>82</v>
      </c>
      <c r="C71" t="s">
        <v>38</v>
      </c>
      <c r="D71" s="3">
        <v>42740</v>
      </c>
      <c r="E71" t="s">
        <v>75</v>
      </c>
      <c r="F71">
        <v>60522.400000000001</v>
      </c>
      <c r="G71">
        <v>1</v>
      </c>
      <c r="H71">
        <v>0</v>
      </c>
      <c r="I71">
        <v>0</v>
      </c>
      <c r="J71">
        <v>16.0806</v>
      </c>
      <c r="K71" s="1">
        <v>973236.51</v>
      </c>
      <c r="L71" t="s">
        <v>177</v>
      </c>
    </row>
    <row r="72" spans="1:12" outlineLevel="2" x14ac:dyDescent="0.3">
      <c r="A72" t="s">
        <v>36</v>
      </c>
      <c r="B72" t="s">
        <v>82</v>
      </c>
      <c r="C72" t="s">
        <v>38</v>
      </c>
      <c r="D72" s="3">
        <v>42740</v>
      </c>
      <c r="E72" t="s">
        <v>47</v>
      </c>
      <c r="F72">
        <v>-40096.61</v>
      </c>
      <c r="G72">
        <v>1</v>
      </c>
      <c r="H72">
        <v>0</v>
      </c>
      <c r="I72">
        <v>0</v>
      </c>
      <c r="J72">
        <v>16.0806</v>
      </c>
      <c r="K72" s="1">
        <v>-644777.55000000005</v>
      </c>
      <c r="L72" t="s">
        <v>177</v>
      </c>
    </row>
    <row r="73" spans="1:12" outlineLevel="2" x14ac:dyDescent="0.3">
      <c r="A73" t="s">
        <v>36</v>
      </c>
      <c r="B73" t="s">
        <v>82</v>
      </c>
      <c r="C73" t="s">
        <v>38</v>
      </c>
      <c r="D73" s="3">
        <v>42740</v>
      </c>
      <c r="E73" t="s">
        <v>47</v>
      </c>
      <c r="F73">
        <v>-60522.400000000001</v>
      </c>
      <c r="G73">
        <v>1</v>
      </c>
      <c r="H73">
        <v>0</v>
      </c>
      <c r="I73">
        <v>0</v>
      </c>
      <c r="J73">
        <v>16.0806</v>
      </c>
      <c r="K73" s="1">
        <v>-973236.51</v>
      </c>
      <c r="L73" t="s">
        <v>177</v>
      </c>
    </row>
    <row r="74" spans="1:12" outlineLevel="2" x14ac:dyDescent="0.3">
      <c r="A74" t="s">
        <v>36</v>
      </c>
      <c r="B74" t="s">
        <v>101</v>
      </c>
      <c r="C74" t="s">
        <v>38</v>
      </c>
      <c r="D74" s="3">
        <v>42740</v>
      </c>
      <c r="E74" t="s">
        <v>39</v>
      </c>
      <c r="F74">
        <v>-3000</v>
      </c>
      <c r="G74">
        <v>1</v>
      </c>
      <c r="H74">
        <v>0</v>
      </c>
      <c r="I74">
        <v>0</v>
      </c>
      <c r="J74">
        <v>18.8429</v>
      </c>
      <c r="K74" s="1">
        <v>-56528.58</v>
      </c>
      <c r="L74" t="s">
        <v>177</v>
      </c>
    </row>
    <row r="75" spans="1:12" outlineLevel="2" x14ac:dyDescent="0.3">
      <c r="A75" t="s">
        <v>36</v>
      </c>
      <c r="B75" t="s">
        <v>101</v>
      </c>
      <c r="C75" t="s">
        <v>38</v>
      </c>
      <c r="D75" s="3">
        <v>42740</v>
      </c>
      <c r="E75" t="s">
        <v>45</v>
      </c>
      <c r="F75">
        <v>3000</v>
      </c>
      <c r="G75">
        <v>1</v>
      </c>
      <c r="H75">
        <v>0</v>
      </c>
      <c r="I75">
        <v>0</v>
      </c>
      <c r="J75">
        <v>18.8429</v>
      </c>
      <c r="K75" s="1">
        <v>56528.58</v>
      </c>
      <c r="L75" t="s">
        <v>177</v>
      </c>
    </row>
    <row r="76" spans="1:12" outlineLevel="2" x14ac:dyDescent="0.3">
      <c r="A76" t="s">
        <v>36</v>
      </c>
      <c r="B76" t="s">
        <v>120</v>
      </c>
      <c r="C76" t="s">
        <v>63</v>
      </c>
      <c r="D76" s="3">
        <v>42740</v>
      </c>
      <c r="E76" t="s">
        <v>39</v>
      </c>
      <c r="F76">
        <v>-500</v>
      </c>
      <c r="G76">
        <v>1</v>
      </c>
      <c r="H76">
        <v>0</v>
      </c>
      <c r="I76">
        <v>0</v>
      </c>
      <c r="J76">
        <v>17.420000000000002</v>
      </c>
      <c r="K76" s="1">
        <v>-8710</v>
      </c>
      <c r="L76" t="s">
        <v>193</v>
      </c>
    </row>
    <row r="77" spans="1:12" outlineLevel="2" x14ac:dyDescent="0.3">
      <c r="A77" t="s">
        <v>36</v>
      </c>
      <c r="B77" t="s">
        <v>122</v>
      </c>
      <c r="C77" t="s">
        <v>40</v>
      </c>
      <c r="D77" s="3">
        <v>42740</v>
      </c>
      <c r="E77" t="s">
        <v>39</v>
      </c>
      <c r="F77">
        <v>500</v>
      </c>
      <c r="G77">
        <v>1</v>
      </c>
      <c r="H77">
        <v>0</v>
      </c>
      <c r="I77">
        <v>0</v>
      </c>
      <c r="J77">
        <v>17.420000000000002</v>
      </c>
      <c r="K77" s="1">
        <v>8710</v>
      </c>
      <c r="L77" t="s">
        <v>193</v>
      </c>
    </row>
    <row r="78" spans="1:12" outlineLevel="2" x14ac:dyDescent="0.3">
      <c r="A78" t="s">
        <v>36</v>
      </c>
      <c r="B78" t="s">
        <v>126</v>
      </c>
      <c r="C78" t="s">
        <v>38</v>
      </c>
      <c r="D78" s="3">
        <v>42740</v>
      </c>
      <c r="E78" t="s">
        <v>39</v>
      </c>
      <c r="F78">
        <v>20000</v>
      </c>
      <c r="G78">
        <v>1</v>
      </c>
      <c r="H78">
        <v>0</v>
      </c>
      <c r="I78">
        <v>0</v>
      </c>
      <c r="J78">
        <v>18.399999999999999</v>
      </c>
      <c r="K78" s="1">
        <v>368000</v>
      </c>
      <c r="L78" t="s">
        <v>177</v>
      </c>
    </row>
    <row r="79" spans="1:12" outlineLevel="2" x14ac:dyDescent="0.3">
      <c r="A79" t="s">
        <v>36</v>
      </c>
      <c r="B79" t="s">
        <v>126</v>
      </c>
      <c r="C79" t="s">
        <v>38</v>
      </c>
      <c r="D79" s="3">
        <v>42740</v>
      </c>
      <c r="E79" t="s">
        <v>39</v>
      </c>
      <c r="F79">
        <v>-10000</v>
      </c>
      <c r="G79">
        <v>1</v>
      </c>
      <c r="H79">
        <v>0</v>
      </c>
      <c r="I79">
        <v>0</v>
      </c>
      <c r="J79">
        <v>18.399999999999999</v>
      </c>
      <c r="K79" s="1">
        <v>-184000</v>
      </c>
      <c r="L79" t="s">
        <v>177</v>
      </c>
    </row>
    <row r="80" spans="1:12" outlineLevel="2" x14ac:dyDescent="0.3">
      <c r="A80" t="s">
        <v>36</v>
      </c>
      <c r="B80" t="s">
        <v>126</v>
      </c>
      <c r="C80" t="s">
        <v>38</v>
      </c>
      <c r="D80" s="3">
        <v>42740</v>
      </c>
      <c r="E80" t="s">
        <v>45</v>
      </c>
      <c r="F80">
        <v>10000</v>
      </c>
      <c r="G80">
        <v>1</v>
      </c>
      <c r="H80">
        <v>0</v>
      </c>
      <c r="I80">
        <v>0</v>
      </c>
      <c r="J80">
        <v>18.399999999999999</v>
      </c>
      <c r="K80" s="1">
        <v>184000</v>
      </c>
      <c r="L80" t="s">
        <v>177</v>
      </c>
    </row>
    <row r="81" spans="1:12" outlineLevel="2" x14ac:dyDescent="0.3">
      <c r="A81" t="s">
        <v>36</v>
      </c>
      <c r="B81" t="s">
        <v>126</v>
      </c>
      <c r="C81" t="s">
        <v>38</v>
      </c>
      <c r="D81" s="3">
        <v>42740</v>
      </c>
      <c r="E81" t="s">
        <v>76</v>
      </c>
      <c r="F81">
        <v>-20000</v>
      </c>
      <c r="G81">
        <v>1</v>
      </c>
      <c r="H81">
        <v>0</v>
      </c>
      <c r="I81">
        <v>0</v>
      </c>
      <c r="J81">
        <v>18.399999999999999</v>
      </c>
      <c r="K81" s="1">
        <v>-368000</v>
      </c>
      <c r="L81" t="s">
        <v>177</v>
      </c>
    </row>
    <row r="82" spans="1:12" outlineLevel="2" x14ac:dyDescent="0.3">
      <c r="A82" t="s">
        <v>36</v>
      </c>
      <c r="B82" t="s">
        <v>136</v>
      </c>
      <c r="C82" t="s">
        <v>63</v>
      </c>
      <c r="D82" s="3">
        <v>42740</v>
      </c>
      <c r="E82" t="s">
        <v>39</v>
      </c>
      <c r="F82">
        <v>-2500</v>
      </c>
      <c r="G82">
        <v>1</v>
      </c>
      <c r="H82">
        <v>0</v>
      </c>
      <c r="I82">
        <v>0</v>
      </c>
      <c r="J82">
        <v>17.8353</v>
      </c>
      <c r="K82" s="1">
        <v>-44588.24</v>
      </c>
      <c r="L82" t="s">
        <v>193</v>
      </c>
    </row>
    <row r="83" spans="1:12" outlineLevel="2" x14ac:dyDescent="0.3">
      <c r="A83" t="s">
        <v>36</v>
      </c>
      <c r="B83" t="s">
        <v>136</v>
      </c>
      <c r="C83" t="s">
        <v>38</v>
      </c>
      <c r="D83" s="3">
        <v>42740</v>
      </c>
      <c r="E83" t="s">
        <v>39</v>
      </c>
      <c r="F83">
        <v>-15000</v>
      </c>
      <c r="G83">
        <v>1</v>
      </c>
      <c r="H83">
        <v>0</v>
      </c>
      <c r="I83">
        <v>0</v>
      </c>
      <c r="J83">
        <v>17.864799999999999</v>
      </c>
      <c r="K83" s="1">
        <v>-267972.09000000003</v>
      </c>
      <c r="L83" t="s">
        <v>177</v>
      </c>
    </row>
    <row r="84" spans="1:12" outlineLevel="2" x14ac:dyDescent="0.3">
      <c r="A84" t="s">
        <v>36</v>
      </c>
      <c r="B84" t="s">
        <v>136</v>
      </c>
      <c r="C84" t="s">
        <v>38</v>
      </c>
      <c r="D84" s="3">
        <v>42740</v>
      </c>
      <c r="E84" t="s">
        <v>137</v>
      </c>
      <c r="F84">
        <v>15000</v>
      </c>
      <c r="G84">
        <v>1</v>
      </c>
      <c r="H84">
        <v>0</v>
      </c>
      <c r="I84">
        <v>0</v>
      </c>
      <c r="J84">
        <v>17.864799999999999</v>
      </c>
      <c r="K84" s="1">
        <v>267972.09000000003</v>
      </c>
      <c r="L84" t="s">
        <v>177</v>
      </c>
    </row>
    <row r="85" spans="1:12" outlineLevel="2" x14ac:dyDescent="0.3">
      <c r="A85" t="s">
        <v>36</v>
      </c>
      <c r="B85" t="s">
        <v>138</v>
      </c>
      <c r="C85" t="s">
        <v>40</v>
      </c>
      <c r="D85" s="3">
        <v>42740</v>
      </c>
      <c r="E85" t="s">
        <v>39</v>
      </c>
      <c r="F85">
        <v>2500</v>
      </c>
      <c r="G85">
        <v>1</v>
      </c>
      <c r="H85">
        <v>0</v>
      </c>
      <c r="I85">
        <v>0</v>
      </c>
      <c r="J85">
        <v>17.8353</v>
      </c>
      <c r="K85" s="1">
        <v>44588.24</v>
      </c>
      <c r="L85" t="s">
        <v>193</v>
      </c>
    </row>
    <row r="86" spans="1:12" outlineLevel="2" x14ac:dyDescent="0.3">
      <c r="A86" t="s">
        <v>36</v>
      </c>
      <c r="B86" t="s">
        <v>164</v>
      </c>
      <c r="C86" t="s">
        <v>38</v>
      </c>
      <c r="D86" s="3">
        <v>42740</v>
      </c>
      <c r="E86" t="s">
        <v>39</v>
      </c>
      <c r="F86">
        <v>-20</v>
      </c>
      <c r="G86">
        <v>32.151000000000003</v>
      </c>
      <c r="H86">
        <v>0</v>
      </c>
      <c r="I86">
        <v>0</v>
      </c>
      <c r="J86">
        <v>531.06629999999996</v>
      </c>
      <c r="K86" s="1">
        <v>-10621.33</v>
      </c>
      <c r="L86" t="s">
        <v>177</v>
      </c>
    </row>
    <row r="87" spans="1:12" outlineLevel="2" x14ac:dyDescent="0.3">
      <c r="A87" t="s">
        <v>36</v>
      </c>
      <c r="B87" t="s">
        <v>164</v>
      </c>
      <c r="C87" t="s">
        <v>38</v>
      </c>
      <c r="D87" s="3">
        <v>42740</v>
      </c>
      <c r="E87" t="s">
        <v>45</v>
      </c>
      <c r="F87">
        <v>20</v>
      </c>
      <c r="G87">
        <v>32.151000000000003</v>
      </c>
      <c r="H87">
        <v>0</v>
      </c>
      <c r="I87">
        <v>0</v>
      </c>
      <c r="J87">
        <v>531.06629999999996</v>
      </c>
      <c r="K87" s="1">
        <v>10621.33</v>
      </c>
      <c r="L87" t="s">
        <v>177</v>
      </c>
    </row>
    <row r="88" spans="1:12" outlineLevel="1" x14ac:dyDescent="0.3">
      <c r="D88" s="7" t="s">
        <v>271</v>
      </c>
      <c r="K88" s="1">
        <f>SUM(K56:K87)</f>
        <v>0</v>
      </c>
    </row>
    <row r="89" spans="1:12" outlineLevel="2" x14ac:dyDescent="0.3">
      <c r="A89" t="s">
        <v>36</v>
      </c>
      <c r="B89" t="s">
        <v>67</v>
      </c>
      <c r="C89" t="s">
        <v>63</v>
      </c>
      <c r="D89" s="3">
        <v>42741</v>
      </c>
      <c r="E89" t="s">
        <v>68</v>
      </c>
      <c r="F89">
        <v>-435.61</v>
      </c>
      <c r="G89">
        <v>0.8</v>
      </c>
      <c r="H89">
        <v>0</v>
      </c>
      <c r="I89">
        <v>0</v>
      </c>
      <c r="J89">
        <v>11.9862</v>
      </c>
      <c r="K89" s="1">
        <v>-5221.33</v>
      </c>
      <c r="L89" t="s">
        <v>201</v>
      </c>
    </row>
    <row r="90" spans="1:12" outlineLevel="2" x14ac:dyDescent="0.3">
      <c r="A90" t="s">
        <v>36</v>
      </c>
      <c r="B90" t="s">
        <v>71</v>
      </c>
      <c r="C90" t="s">
        <v>63</v>
      </c>
      <c r="D90" s="3">
        <v>42741</v>
      </c>
      <c r="E90" t="s">
        <v>68</v>
      </c>
      <c r="F90">
        <v>-16019.62</v>
      </c>
      <c r="G90">
        <v>0.92500000000000004</v>
      </c>
      <c r="H90">
        <v>0</v>
      </c>
      <c r="I90">
        <v>0</v>
      </c>
      <c r="J90">
        <v>15.151400000000001</v>
      </c>
      <c r="K90" s="1">
        <v>-242719.61</v>
      </c>
      <c r="L90" t="s">
        <v>201</v>
      </c>
    </row>
    <row r="91" spans="1:12" outlineLevel="2" x14ac:dyDescent="0.3">
      <c r="A91" t="s">
        <v>36</v>
      </c>
      <c r="B91" t="s">
        <v>72</v>
      </c>
      <c r="C91" t="s">
        <v>63</v>
      </c>
      <c r="D91" s="3">
        <v>42741</v>
      </c>
      <c r="E91" t="s">
        <v>68</v>
      </c>
      <c r="F91">
        <v>-104000</v>
      </c>
      <c r="G91">
        <v>1</v>
      </c>
      <c r="H91">
        <v>0</v>
      </c>
      <c r="I91">
        <v>0</v>
      </c>
      <c r="J91">
        <v>17.827200000000001</v>
      </c>
      <c r="K91" s="1">
        <v>-1854030.96</v>
      </c>
      <c r="L91" t="s">
        <v>201</v>
      </c>
    </row>
    <row r="92" spans="1:12" outlineLevel="2" x14ac:dyDescent="0.3">
      <c r="A92" t="s">
        <v>36</v>
      </c>
      <c r="B92" t="s">
        <v>79</v>
      </c>
      <c r="C92" t="s">
        <v>63</v>
      </c>
      <c r="D92" s="3">
        <v>42741</v>
      </c>
      <c r="E92" t="s">
        <v>68</v>
      </c>
      <c r="F92">
        <v>-13066.8</v>
      </c>
      <c r="G92">
        <v>1</v>
      </c>
      <c r="H92">
        <v>0</v>
      </c>
      <c r="I92">
        <v>0</v>
      </c>
      <c r="J92">
        <v>16.076599999999999</v>
      </c>
      <c r="K92" s="1">
        <v>-210069.23</v>
      </c>
      <c r="L92" t="s">
        <v>201</v>
      </c>
    </row>
    <row r="93" spans="1:12" outlineLevel="2" x14ac:dyDescent="0.3">
      <c r="A93" t="s">
        <v>36</v>
      </c>
      <c r="B93" t="s">
        <v>87</v>
      </c>
      <c r="C93" t="s">
        <v>40</v>
      </c>
      <c r="D93" s="3">
        <v>42741</v>
      </c>
      <c r="E93" t="s">
        <v>68</v>
      </c>
      <c r="F93">
        <v>150467.269</v>
      </c>
      <c r="G93">
        <v>1</v>
      </c>
      <c r="H93">
        <v>0</v>
      </c>
      <c r="I93">
        <v>0</v>
      </c>
      <c r="J93">
        <v>17.369</v>
      </c>
      <c r="K93" s="1">
        <v>2613470.2599999998</v>
      </c>
      <c r="L93" t="s">
        <v>201</v>
      </c>
    </row>
    <row r="94" spans="1:12" outlineLevel="2" x14ac:dyDescent="0.3">
      <c r="A94" t="s">
        <v>36</v>
      </c>
      <c r="B94" t="s">
        <v>114</v>
      </c>
      <c r="C94" t="s">
        <v>63</v>
      </c>
      <c r="D94" s="3">
        <v>42741</v>
      </c>
      <c r="E94" t="s">
        <v>68</v>
      </c>
      <c r="F94">
        <v>-61887</v>
      </c>
      <c r="G94">
        <v>0.29499999999999998</v>
      </c>
      <c r="H94">
        <v>0</v>
      </c>
      <c r="I94">
        <v>0</v>
      </c>
      <c r="J94">
        <v>4.8705999999999996</v>
      </c>
      <c r="K94" s="1">
        <v>-301429.13</v>
      </c>
      <c r="L94" t="s">
        <v>201</v>
      </c>
    </row>
    <row r="95" spans="1:12" outlineLevel="2" x14ac:dyDescent="0.3">
      <c r="A95" t="s">
        <v>36</v>
      </c>
      <c r="B95" t="s">
        <v>126</v>
      </c>
      <c r="C95" t="s">
        <v>38</v>
      </c>
      <c r="D95" s="3">
        <v>42741</v>
      </c>
      <c r="E95" t="s">
        <v>39</v>
      </c>
      <c r="F95">
        <v>20000</v>
      </c>
      <c r="G95">
        <v>1</v>
      </c>
      <c r="H95">
        <v>0</v>
      </c>
      <c r="I95">
        <v>0</v>
      </c>
      <c r="J95">
        <v>18.399999999999999</v>
      </c>
      <c r="K95" s="1">
        <v>368000</v>
      </c>
      <c r="L95" t="s">
        <v>249</v>
      </c>
    </row>
    <row r="96" spans="1:12" outlineLevel="2" x14ac:dyDescent="0.3">
      <c r="A96" t="s">
        <v>36</v>
      </c>
      <c r="B96" t="s">
        <v>126</v>
      </c>
      <c r="C96" t="s">
        <v>38</v>
      </c>
      <c r="D96" s="3">
        <v>42741</v>
      </c>
      <c r="E96" t="s">
        <v>76</v>
      </c>
      <c r="F96">
        <v>-20000</v>
      </c>
      <c r="G96">
        <v>1</v>
      </c>
      <c r="H96">
        <v>0</v>
      </c>
      <c r="I96">
        <v>0</v>
      </c>
      <c r="J96">
        <v>18.399999999999999</v>
      </c>
      <c r="K96" s="1">
        <v>-368000</v>
      </c>
      <c r="L96" t="s">
        <v>249</v>
      </c>
    </row>
    <row r="97" spans="1:12" outlineLevel="2" x14ac:dyDescent="0.3">
      <c r="A97" t="s">
        <v>36</v>
      </c>
      <c r="B97" t="s">
        <v>154</v>
      </c>
      <c r="C97" t="s">
        <v>38</v>
      </c>
      <c r="D97" s="3">
        <v>42741</v>
      </c>
      <c r="E97" t="s">
        <v>39</v>
      </c>
      <c r="F97">
        <v>-5400</v>
      </c>
      <c r="G97">
        <v>0.96450000000000002</v>
      </c>
      <c r="H97">
        <v>0</v>
      </c>
      <c r="I97">
        <v>0</v>
      </c>
      <c r="J97">
        <v>21.880299999999998</v>
      </c>
      <c r="K97" s="1">
        <v>-118153.76</v>
      </c>
      <c r="L97" t="s">
        <v>249</v>
      </c>
    </row>
    <row r="98" spans="1:12" outlineLevel="2" x14ac:dyDescent="0.3">
      <c r="A98" t="s">
        <v>36</v>
      </c>
      <c r="B98" t="s">
        <v>154</v>
      </c>
      <c r="C98" t="s">
        <v>38</v>
      </c>
      <c r="D98" s="3">
        <v>42741</v>
      </c>
      <c r="E98" t="s">
        <v>39</v>
      </c>
      <c r="F98">
        <v>-5400</v>
      </c>
      <c r="G98">
        <v>0.96450000000000002</v>
      </c>
      <c r="H98">
        <v>0</v>
      </c>
      <c r="I98">
        <v>0</v>
      </c>
      <c r="J98">
        <v>21.880299999999998</v>
      </c>
      <c r="K98" s="1">
        <v>-118153.76</v>
      </c>
      <c r="L98" t="s">
        <v>249</v>
      </c>
    </row>
    <row r="99" spans="1:12" outlineLevel="2" x14ac:dyDescent="0.3">
      <c r="A99" t="s">
        <v>36</v>
      </c>
      <c r="B99" t="s">
        <v>154</v>
      </c>
      <c r="C99" t="s">
        <v>38</v>
      </c>
      <c r="D99" s="3">
        <v>42741</v>
      </c>
      <c r="E99" t="s">
        <v>155</v>
      </c>
      <c r="F99">
        <v>5400</v>
      </c>
      <c r="G99">
        <v>0.96450000000000002</v>
      </c>
      <c r="H99">
        <v>0</v>
      </c>
      <c r="I99">
        <v>0</v>
      </c>
      <c r="J99">
        <v>21.880299999999998</v>
      </c>
      <c r="K99" s="1">
        <v>118153.76</v>
      </c>
      <c r="L99" t="s">
        <v>249</v>
      </c>
    </row>
    <row r="100" spans="1:12" outlineLevel="2" x14ac:dyDescent="0.3">
      <c r="A100" t="s">
        <v>36</v>
      </c>
      <c r="B100" t="s">
        <v>154</v>
      </c>
      <c r="C100" t="s">
        <v>38</v>
      </c>
      <c r="D100" s="3">
        <v>42741</v>
      </c>
      <c r="E100" t="s">
        <v>156</v>
      </c>
      <c r="F100">
        <v>5400</v>
      </c>
      <c r="G100">
        <v>0.96450000000000002</v>
      </c>
      <c r="H100">
        <v>0</v>
      </c>
      <c r="I100">
        <v>0</v>
      </c>
      <c r="J100">
        <v>21.880299999999998</v>
      </c>
      <c r="K100" s="1">
        <v>118153.76</v>
      </c>
      <c r="L100" t="s">
        <v>249</v>
      </c>
    </row>
    <row r="101" spans="1:12" outlineLevel="1" x14ac:dyDescent="0.3">
      <c r="D101" s="7" t="s">
        <v>272</v>
      </c>
      <c r="K101" s="1">
        <f>SUM(K89:K100)</f>
        <v>-1.1641532182693481E-10</v>
      </c>
    </row>
    <row r="102" spans="1:12" outlineLevel="2" x14ac:dyDescent="0.3">
      <c r="A102" t="s">
        <v>36</v>
      </c>
      <c r="B102" t="s">
        <v>37</v>
      </c>
      <c r="C102" t="s">
        <v>38</v>
      </c>
      <c r="D102" s="3">
        <v>42744</v>
      </c>
      <c r="E102" t="s">
        <v>39</v>
      </c>
      <c r="F102">
        <v>-1000</v>
      </c>
      <c r="G102">
        <v>1</v>
      </c>
      <c r="H102">
        <v>0</v>
      </c>
      <c r="I102">
        <v>0</v>
      </c>
      <c r="J102">
        <v>17.220500000000001</v>
      </c>
      <c r="K102" s="1">
        <v>-17220.48</v>
      </c>
      <c r="L102" t="s">
        <v>178</v>
      </c>
    </row>
    <row r="103" spans="1:12" outlineLevel="2" x14ac:dyDescent="0.3">
      <c r="A103" t="s">
        <v>36</v>
      </c>
      <c r="B103" t="s">
        <v>37</v>
      </c>
      <c r="C103" t="s">
        <v>38</v>
      </c>
      <c r="D103" s="3">
        <v>42744</v>
      </c>
      <c r="E103" t="s">
        <v>42</v>
      </c>
      <c r="F103">
        <v>1000</v>
      </c>
      <c r="G103">
        <v>1</v>
      </c>
      <c r="H103">
        <v>0</v>
      </c>
      <c r="I103">
        <v>0</v>
      </c>
      <c r="J103">
        <v>17.220500000000001</v>
      </c>
      <c r="K103" s="1">
        <v>17220.48</v>
      </c>
      <c r="L103" t="s">
        <v>178</v>
      </c>
    </row>
    <row r="104" spans="1:12" outlineLevel="2" x14ac:dyDescent="0.3">
      <c r="A104" t="s">
        <v>36</v>
      </c>
      <c r="B104" t="s">
        <v>79</v>
      </c>
      <c r="C104" t="s">
        <v>38</v>
      </c>
      <c r="D104" s="3">
        <v>42744</v>
      </c>
      <c r="E104" t="s">
        <v>39</v>
      </c>
      <c r="F104">
        <v>1</v>
      </c>
      <c r="G104">
        <v>1</v>
      </c>
      <c r="H104">
        <v>0</v>
      </c>
      <c r="I104">
        <v>0</v>
      </c>
      <c r="J104">
        <v>201.75</v>
      </c>
      <c r="K104" s="1">
        <v>201.75</v>
      </c>
      <c r="L104" t="s">
        <v>208</v>
      </c>
    </row>
    <row r="105" spans="1:12" outlineLevel="2" x14ac:dyDescent="0.3">
      <c r="A105" t="s">
        <v>36</v>
      </c>
      <c r="B105" t="s">
        <v>79</v>
      </c>
      <c r="C105" t="s">
        <v>40</v>
      </c>
      <c r="D105" s="3">
        <v>42744</v>
      </c>
      <c r="E105" t="s">
        <v>81</v>
      </c>
      <c r="F105">
        <v>1</v>
      </c>
      <c r="G105">
        <v>1</v>
      </c>
      <c r="H105">
        <v>0</v>
      </c>
      <c r="I105">
        <v>0</v>
      </c>
      <c r="J105">
        <v>201.75</v>
      </c>
      <c r="K105" s="1">
        <v>201.75</v>
      </c>
      <c r="L105" t="s">
        <v>214</v>
      </c>
    </row>
    <row r="106" spans="1:12" outlineLevel="2" x14ac:dyDescent="0.3">
      <c r="A106" t="s">
        <v>36</v>
      </c>
      <c r="B106" t="s">
        <v>79</v>
      </c>
      <c r="C106" t="s">
        <v>38</v>
      </c>
      <c r="D106" s="3">
        <v>42744</v>
      </c>
      <c r="E106" t="s">
        <v>81</v>
      </c>
      <c r="F106">
        <v>-1</v>
      </c>
      <c r="G106">
        <v>1</v>
      </c>
      <c r="H106">
        <v>0</v>
      </c>
      <c r="I106">
        <v>0</v>
      </c>
      <c r="J106">
        <v>201.75</v>
      </c>
      <c r="K106" s="1">
        <v>-201.75</v>
      </c>
      <c r="L106" t="s">
        <v>208</v>
      </c>
    </row>
    <row r="107" spans="1:12" outlineLevel="2" x14ac:dyDescent="0.3">
      <c r="A107" t="s">
        <v>36</v>
      </c>
      <c r="B107" t="s">
        <v>82</v>
      </c>
      <c r="C107" t="s">
        <v>38</v>
      </c>
      <c r="D107" s="3">
        <v>42744</v>
      </c>
      <c r="E107" t="s">
        <v>73</v>
      </c>
      <c r="F107">
        <v>-20000</v>
      </c>
      <c r="G107">
        <v>1</v>
      </c>
      <c r="H107">
        <v>0</v>
      </c>
      <c r="I107">
        <v>0</v>
      </c>
      <c r="J107">
        <v>16.0806</v>
      </c>
      <c r="K107" s="1">
        <v>-321612</v>
      </c>
      <c r="L107" t="s">
        <v>208</v>
      </c>
    </row>
    <row r="108" spans="1:12" outlineLevel="2" x14ac:dyDescent="0.3">
      <c r="A108" t="s">
        <v>36</v>
      </c>
      <c r="B108" t="s">
        <v>82</v>
      </c>
      <c r="C108" t="s">
        <v>38</v>
      </c>
      <c r="D108" s="3">
        <v>42744</v>
      </c>
      <c r="E108" t="s">
        <v>73</v>
      </c>
      <c r="F108">
        <v>-110.13</v>
      </c>
      <c r="G108">
        <v>1</v>
      </c>
      <c r="H108">
        <v>0</v>
      </c>
      <c r="I108">
        <v>0</v>
      </c>
      <c r="J108">
        <v>16.0806</v>
      </c>
      <c r="K108" s="1">
        <v>-1770.96</v>
      </c>
      <c r="L108" t="s">
        <v>208</v>
      </c>
    </row>
    <row r="109" spans="1:12" outlineLevel="2" x14ac:dyDescent="0.3">
      <c r="A109" t="s">
        <v>36</v>
      </c>
      <c r="B109" t="s">
        <v>82</v>
      </c>
      <c r="C109" t="s">
        <v>38</v>
      </c>
      <c r="D109" s="3">
        <v>42744</v>
      </c>
      <c r="E109" t="s">
        <v>74</v>
      </c>
      <c r="F109">
        <v>110.13</v>
      </c>
      <c r="G109">
        <v>1</v>
      </c>
      <c r="H109">
        <v>0</v>
      </c>
      <c r="I109">
        <v>0</v>
      </c>
      <c r="J109">
        <v>16.0806</v>
      </c>
      <c r="K109" s="1">
        <v>1770.96</v>
      </c>
      <c r="L109" t="s">
        <v>208</v>
      </c>
    </row>
    <row r="110" spans="1:12" outlineLevel="2" x14ac:dyDescent="0.3">
      <c r="A110" t="s">
        <v>36</v>
      </c>
      <c r="B110" t="s">
        <v>82</v>
      </c>
      <c r="C110" t="s">
        <v>38</v>
      </c>
      <c r="D110" s="3">
        <v>42744</v>
      </c>
      <c r="E110" t="s">
        <v>51</v>
      </c>
      <c r="F110">
        <v>20000</v>
      </c>
      <c r="G110">
        <v>1</v>
      </c>
      <c r="H110">
        <v>0</v>
      </c>
      <c r="I110">
        <v>0</v>
      </c>
      <c r="J110">
        <v>16.0806</v>
      </c>
      <c r="K110" s="1">
        <v>321612</v>
      </c>
      <c r="L110" t="s">
        <v>208</v>
      </c>
    </row>
    <row r="111" spans="1:12" outlineLevel="2" x14ac:dyDescent="0.3">
      <c r="A111" t="s">
        <v>36</v>
      </c>
      <c r="B111" t="s">
        <v>82</v>
      </c>
      <c r="C111" t="s">
        <v>38</v>
      </c>
      <c r="D111" s="3">
        <v>42744</v>
      </c>
      <c r="E111" t="s">
        <v>84</v>
      </c>
      <c r="F111">
        <v>605474.72</v>
      </c>
      <c r="G111">
        <v>1</v>
      </c>
      <c r="H111">
        <v>0</v>
      </c>
      <c r="I111">
        <v>0</v>
      </c>
      <c r="J111">
        <v>16.480599999999999</v>
      </c>
      <c r="K111" s="1">
        <v>9978580.1699999999</v>
      </c>
      <c r="L111" t="s">
        <v>227</v>
      </c>
    </row>
    <row r="112" spans="1:12" outlineLevel="2" x14ac:dyDescent="0.3">
      <c r="A112" t="s">
        <v>36</v>
      </c>
      <c r="B112" t="s">
        <v>82</v>
      </c>
      <c r="C112" t="s">
        <v>38</v>
      </c>
      <c r="D112" s="3">
        <v>42744</v>
      </c>
      <c r="E112" t="s">
        <v>47</v>
      </c>
      <c r="F112">
        <v>-605474.72</v>
      </c>
      <c r="G112">
        <v>1</v>
      </c>
      <c r="H112">
        <v>0</v>
      </c>
      <c r="I112">
        <v>0</v>
      </c>
      <c r="J112">
        <v>16.480599999999999</v>
      </c>
      <c r="K112" s="1">
        <v>-9978580.1699999999</v>
      </c>
      <c r="L112" t="s">
        <v>227</v>
      </c>
    </row>
    <row r="113" spans="1:12" outlineLevel="2" x14ac:dyDescent="0.3">
      <c r="A113" t="s">
        <v>36</v>
      </c>
      <c r="B113" t="s">
        <v>86</v>
      </c>
      <c r="C113" t="s">
        <v>38</v>
      </c>
      <c r="D113" s="3">
        <v>42744</v>
      </c>
      <c r="E113" t="s">
        <v>84</v>
      </c>
      <c r="F113">
        <v>14581.5</v>
      </c>
      <c r="G113">
        <v>1</v>
      </c>
      <c r="H113">
        <v>0</v>
      </c>
      <c r="I113">
        <v>0</v>
      </c>
      <c r="J113">
        <v>16.065000000000001</v>
      </c>
      <c r="K113" s="1">
        <v>234251.9</v>
      </c>
      <c r="L113" t="s">
        <v>227</v>
      </c>
    </row>
    <row r="114" spans="1:12" outlineLevel="2" x14ac:dyDescent="0.3">
      <c r="A114" t="s">
        <v>36</v>
      </c>
      <c r="B114" t="s">
        <v>86</v>
      </c>
      <c r="C114" t="s">
        <v>38</v>
      </c>
      <c r="D114" s="3">
        <v>42744</v>
      </c>
      <c r="E114" t="s">
        <v>47</v>
      </c>
      <c r="F114">
        <v>-14581.5</v>
      </c>
      <c r="G114">
        <v>1</v>
      </c>
      <c r="H114">
        <v>0</v>
      </c>
      <c r="I114">
        <v>0</v>
      </c>
      <c r="J114">
        <v>16.065000000000001</v>
      </c>
      <c r="K114" s="1">
        <v>-234251.9</v>
      </c>
      <c r="L114" t="s">
        <v>227</v>
      </c>
    </row>
    <row r="115" spans="1:12" outlineLevel="2" x14ac:dyDescent="0.3">
      <c r="A115" t="s">
        <v>36</v>
      </c>
      <c r="B115" t="s">
        <v>122</v>
      </c>
      <c r="C115" t="s">
        <v>63</v>
      </c>
      <c r="D115" s="3">
        <v>42744</v>
      </c>
      <c r="E115" t="s">
        <v>46</v>
      </c>
      <c r="F115">
        <v>-1000</v>
      </c>
      <c r="G115">
        <v>1</v>
      </c>
      <c r="H115">
        <v>0</v>
      </c>
      <c r="I115">
        <v>0</v>
      </c>
      <c r="J115">
        <v>17.420000000000002</v>
      </c>
      <c r="K115" s="1">
        <v>-17420</v>
      </c>
      <c r="L115" t="s">
        <v>247</v>
      </c>
    </row>
    <row r="116" spans="1:12" outlineLevel="2" x14ac:dyDescent="0.3">
      <c r="A116" t="s">
        <v>36</v>
      </c>
      <c r="B116" t="s">
        <v>122</v>
      </c>
      <c r="C116" t="s">
        <v>40</v>
      </c>
      <c r="D116" s="3">
        <v>42744</v>
      </c>
      <c r="E116" t="s">
        <v>46</v>
      </c>
      <c r="F116">
        <v>2000</v>
      </c>
      <c r="G116">
        <v>1</v>
      </c>
      <c r="H116">
        <v>0</v>
      </c>
      <c r="I116">
        <v>0</v>
      </c>
      <c r="J116">
        <v>18.260000000000002</v>
      </c>
      <c r="K116" s="1">
        <v>36520</v>
      </c>
      <c r="L116" t="s">
        <v>248</v>
      </c>
    </row>
    <row r="117" spans="1:12" outlineLevel="2" x14ac:dyDescent="0.3">
      <c r="A117" t="s">
        <v>36</v>
      </c>
      <c r="B117" t="s">
        <v>122</v>
      </c>
      <c r="C117" t="s">
        <v>123</v>
      </c>
      <c r="D117" s="3">
        <v>42744</v>
      </c>
      <c r="E117" t="s">
        <v>46</v>
      </c>
      <c r="F117">
        <v>0</v>
      </c>
      <c r="G117">
        <v>1</v>
      </c>
      <c r="H117">
        <v>0</v>
      </c>
      <c r="I117">
        <v>0</v>
      </c>
      <c r="J117">
        <v>0</v>
      </c>
      <c r="K117" s="1">
        <v>-1850</v>
      </c>
      <c r="L117" t="s">
        <v>248</v>
      </c>
    </row>
    <row r="118" spans="1:12" outlineLevel="2" x14ac:dyDescent="0.3">
      <c r="A118" t="s">
        <v>36</v>
      </c>
      <c r="B118" t="s">
        <v>126</v>
      </c>
      <c r="C118" t="s">
        <v>38</v>
      </c>
      <c r="D118" s="3">
        <v>42744</v>
      </c>
      <c r="E118" t="s">
        <v>39</v>
      </c>
      <c r="F118">
        <v>-20000</v>
      </c>
      <c r="G118">
        <v>1</v>
      </c>
      <c r="H118">
        <v>0</v>
      </c>
      <c r="I118">
        <v>0</v>
      </c>
      <c r="J118">
        <v>18.399999999999999</v>
      </c>
      <c r="K118" s="1">
        <v>-368000</v>
      </c>
      <c r="L118" t="s">
        <v>178</v>
      </c>
    </row>
    <row r="119" spans="1:12" outlineLevel="2" x14ac:dyDescent="0.3">
      <c r="A119" t="s">
        <v>36</v>
      </c>
      <c r="B119" t="s">
        <v>126</v>
      </c>
      <c r="C119" t="s">
        <v>38</v>
      </c>
      <c r="D119" s="3">
        <v>42744</v>
      </c>
      <c r="E119" t="s">
        <v>42</v>
      </c>
      <c r="F119">
        <v>20000</v>
      </c>
      <c r="G119">
        <v>1</v>
      </c>
      <c r="H119">
        <v>0</v>
      </c>
      <c r="I119">
        <v>0</v>
      </c>
      <c r="J119">
        <v>18.399999999999999</v>
      </c>
      <c r="K119" s="1">
        <v>368000</v>
      </c>
      <c r="L119" t="s">
        <v>178</v>
      </c>
    </row>
    <row r="120" spans="1:12" outlineLevel="2" x14ac:dyDescent="0.3">
      <c r="A120" t="s">
        <v>36</v>
      </c>
      <c r="B120" t="s">
        <v>126</v>
      </c>
      <c r="C120" t="s">
        <v>63</v>
      </c>
      <c r="D120" s="3">
        <v>42744</v>
      </c>
      <c r="E120" t="s">
        <v>46</v>
      </c>
      <c r="F120">
        <v>-2000</v>
      </c>
      <c r="G120">
        <v>1</v>
      </c>
      <c r="H120">
        <v>0</v>
      </c>
      <c r="I120">
        <v>0</v>
      </c>
      <c r="J120">
        <v>18.260000000000002</v>
      </c>
      <c r="K120" s="1">
        <v>-36520</v>
      </c>
      <c r="L120" t="s">
        <v>248</v>
      </c>
    </row>
    <row r="121" spans="1:12" outlineLevel="2" x14ac:dyDescent="0.3">
      <c r="A121" t="s">
        <v>36</v>
      </c>
      <c r="B121" t="s">
        <v>126</v>
      </c>
      <c r="C121" t="s">
        <v>40</v>
      </c>
      <c r="D121" s="3">
        <v>42744</v>
      </c>
      <c r="E121" t="s">
        <v>46</v>
      </c>
      <c r="F121">
        <v>1000</v>
      </c>
      <c r="G121">
        <v>1</v>
      </c>
      <c r="H121">
        <v>0</v>
      </c>
      <c r="I121">
        <v>0</v>
      </c>
      <c r="J121">
        <v>17.420000000000002</v>
      </c>
      <c r="K121" s="1">
        <v>17420</v>
      </c>
      <c r="L121" t="s">
        <v>247</v>
      </c>
    </row>
    <row r="122" spans="1:12" outlineLevel="2" x14ac:dyDescent="0.3">
      <c r="A122" t="s">
        <v>36</v>
      </c>
      <c r="B122" t="s">
        <v>136</v>
      </c>
      <c r="C122" t="s">
        <v>38</v>
      </c>
      <c r="D122" s="3">
        <v>42744</v>
      </c>
      <c r="E122" t="s">
        <v>39</v>
      </c>
      <c r="F122">
        <v>-30000</v>
      </c>
      <c r="G122">
        <v>1</v>
      </c>
      <c r="H122">
        <v>0</v>
      </c>
      <c r="I122">
        <v>0</v>
      </c>
      <c r="J122">
        <v>17.864799999999999</v>
      </c>
      <c r="K122" s="1">
        <v>-535944.18999999994</v>
      </c>
      <c r="L122" t="s">
        <v>178</v>
      </c>
    </row>
    <row r="123" spans="1:12" outlineLevel="2" x14ac:dyDescent="0.3">
      <c r="A123" t="s">
        <v>36</v>
      </c>
      <c r="B123" t="s">
        <v>136</v>
      </c>
      <c r="C123" t="s">
        <v>38</v>
      </c>
      <c r="D123" s="3">
        <v>42744</v>
      </c>
      <c r="E123" t="s">
        <v>42</v>
      </c>
      <c r="F123">
        <v>30000</v>
      </c>
      <c r="G123">
        <v>1</v>
      </c>
      <c r="H123">
        <v>0</v>
      </c>
      <c r="I123">
        <v>0</v>
      </c>
      <c r="J123">
        <v>17.864799999999999</v>
      </c>
      <c r="K123" s="1">
        <v>535944.18999999994</v>
      </c>
      <c r="L123" t="s">
        <v>178</v>
      </c>
    </row>
    <row r="124" spans="1:12" outlineLevel="2" x14ac:dyDescent="0.3">
      <c r="A124" t="s">
        <v>36</v>
      </c>
      <c r="B124" t="s">
        <v>138</v>
      </c>
      <c r="C124" t="s">
        <v>38</v>
      </c>
      <c r="D124" s="3">
        <v>42744</v>
      </c>
      <c r="E124" t="s">
        <v>39</v>
      </c>
      <c r="F124">
        <v>-30000</v>
      </c>
      <c r="G124">
        <v>1</v>
      </c>
      <c r="H124">
        <v>0</v>
      </c>
      <c r="I124">
        <v>0</v>
      </c>
      <c r="J124">
        <v>19.145199999999999</v>
      </c>
      <c r="K124" s="1">
        <v>-574354.5</v>
      </c>
      <c r="L124" t="s">
        <v>178</v>
      </c>
    </row>
    <row r="125" spans="1:12" outlineLevel="2" x14ac:dyDescent="0.3">
      <c r="A125" t="s">
        <v>36</v>
      </c>
      <c r="B125" t="s">
        <v>138</v>
      </c>
      <c r="C125" t="s">
        <v>38</v>
      </c>
      <c r="D125" s="3">
        <v>42744</v>
      </c>
      <c r="E125" t="s">
        <v>42</v>
      </c>
      <c r="F125">
        <v>30000</v>
      </c>
      <c r="G125">
        <v>1</v>
      </c>
      <c r="H125">
        <v>0</v>
      </c>
      <c r="I125">
        <v>0</v>
      </c>
      <c r="J125">
        <v>19.145199999999999</v>
      </c>
      <c r="K125" s="1">
        <v>574354.5</v>
      </c>
      <c r="L125" t="s">
        <v>178</v>
      </c>
    </row>
    <row r="126" spans="1:12" outlineLevel="2" x14ac:dyDescent="0.3">
      <c r="A126" t="s">
        <v>36</v>
      </c>
      <c r="B126" t="s">
        <v>142</v>
      </c>
      <c r="C126" t="s">
        <v>38</v>
      </c>
      <c r="D126" s="3">
        <v>42744</v>
      </c>
      <c r="E126" t="s">
        <v>39</v>
      </c>
      <c r="F126">
        <v>-300</v>
      </c>
      <c r="G126">
        <v>0.5</v>
      </c>
      <c r="H126">
        <v>0</v>
      </c>
      <c r="I126">
        <v>0</v>
      </c>
      <c r="J126">
        <v>12.56</v>
      </c>
      <c r="K126" s="1">
        <v>-3768</v>
      </c>
      <c r="L126" t="s">
        <v>178</v>
      </c>
    </row>
    <row r="127" spans="1:12" outlineLevel="2" x14ac:dyDescent="0.3">
      <c r="A127" t="s">
        <v>36</v>
      </c>
      <c r="B127" t="s">
        <v>142</v>
      </c>
      <c r="C127" t="s">
        <v>38</v>
      </c>
      <c r="D127" s="3">
        <v>42744</v>
      </c>
      <c r="E127" t="s">
        <v>42</v>
      </c>
      <c r="F127">
        <v>300</v>
      </c>
      <c r="G127">
        <v>0.5</v>
      </c>
      <c r="H127">
        <v>0</v>
      </c>
      <c r="I127">
        <v>0</v>
      </c>
      <c r="J127">
        <v>12.56</v>
      </c>
      <c r="K127" s="1">
        <v>3768</v>
      </c>
      <c r="L127" t="s">
        <v>178</v>
      </c>
    </row>
    <row r="128" spans="1:12" outlineLevel="2" x14ac:dyDescent="0.3">
      <c r="A128" t="s">
        <v>36</v>
      </c>
      <c r="B128" t="s">
        <v>144</v>
      </c>
      <c r="C128" t="s">
        <v>38</v>
      </c>
      <c r="D128" s="3">
        <v>42744</v>
      </c>
      <c r="E128" t="s">
        <v>39</v>
      </c>
      <c r="F128">
        <v>-100</v>
      </c>
      <c r="G128">
        <v>5</v>
      </c>
      <c r="H128">
        <v>0</v>
      </c>
      <c r="I128">
        <v>0</v>
      </c>
      <c r="J128">
        <v>119.6</v>
      </c>
      <c r="K128" s="1">
        <v>-11960</v>
      </c>
      <c r="L128" t="s">
        <v>178</v>
      </c>
    </row>
    <row r="129" spans="1:12" outlineLevel="2" x14ac:dyDescent="0.3">
      <c r="A129" t="s">
        <v>36</v>
      </c>
      <c r="B129" t="s">
        <v>144</v>
      </c>
      <c r="C129" t="s">
        <v>38</v>
      </c>
      <c r="D129" s="3">
        <v>42744</v>
      </c>
      <c r="E129" t="s">
        <v>42</v>
      </c>
      <c r="F129">
        <v>100</v>
      </c>
      <c r="G129">
        <v>5</v>
      </c>
      <c r="H129">
        <v>0</v>
      </c>
      <c r="I129">
        <v>0</v>
      </c>
      <c r="J129">
        <v>119.6</v>
      </c>
      <c r="K129" s="1">
        <v>11960</v>
      </c>
      <c r="L129" t="s">
        <v>178</v>
      </c>
    </row>
    <row r="130" spans="1:12" outlineLevel="2" x14ac:dyDescent="0.3">
      <c r="A130" t="s">
        <v>36</v>
      </c>
      <c r="B130" t="s">
        <v>146</v>
      </c>
      <c r="C130" t="s">
        <v>38</v>
      </c>
      <c r="D130" s="3">
        <v>42744</v>
      </c>
      <c r="E130" t="s">
        <v>39</v>
      </c>
      <c r="F130">
        <v>-200</v>
      </c>
      <c r="G130">
        <v>10</v>
      </c>
      <c r="H130">
        <v>0</v>
      </c>
      <c r="I130">
        <v>0</v>
      </c>
      <c r="J130">
        <v>216.7</v>
      </c>
      <c r="K130" s="1">
        <v>-43340</v>
      </c>
      <c r="L130" t="s">
        <v>178</v>
      </c>
    </row>
    <row r="131" spans="1:12" outlineLevel="2" x14ac:dyDescent="0.3">
      <c r="A131" t="s">
        <v>36</v>
      </c>
      <c r="B131" t="s">
        <v>146</v>
      </c>
      <c r="C131" t="s">
        <v>38</v>
      </c>
      <c r="D131" s="3">
        <v>42744</v>
      </c>
      <c r="E131" t="s">
        <v>42</v>
      </c>
      <c r="F131">
        <v>200</v>
      </c>
      <c r="G131">
        <v>10</v>
      </c>
      <c r="H131">
        <v>0</v>
      </c>
      <c r="I131">
        <v>0</v>
      </c>
      <c r="J131">
        <v>216.7</v>
      </c>
      <c r="K131" s="1">
        <v>43340</v>
      </c>
      <c r="L131" t="s">
        <v>178</v>
      </c>
    </row>
    <row r="132" spans="1:12" outlineLevel="2" x14ac:dyDescent="0.3">
      <c r="A132" t="s">
        <v>36</v>
      </c>
      <c r="B132" t="s">
        <v>154</v>
      </c>
      <c r="C132" t="s">
        <v>40</v>
      </c>
      <c r="D132" s="3">
        <v>42744</v>
      </c>
      <c r="E132" t="s">
        <v>39</v>
      </c>
      <c r="F132">
        <v>300</v>
      </c>
      <c r="G132">
        <v>0.96450000000000002</v>
      </c>
      <c r="H132">
        <v>0</v>
      </c>
      <c r="I132">
        <v>0</v>
      </c>
      <c r="J132">
        <v>22.867999999999999</v>
      </c>
      <c r="K132" s="1">
        <v>6860.4</v>
      </c>
      <c r="L132" t="s">
        <v>214</v>
      </c>
    </row>
    <row r="133" spans="1:12" outlineLevel="2" x14ac:dyDescent="0.3">
      <c r="A133" t="s">
        <v>36</v>
      </c>
      <c r="B133" t="s">
        <v>157</v>
      </c>
      <c r="C133" t="s">
        <v>63</v>
      </c>
      <c r="D133" s="3">
        <v>42744</v>
      </c>
      <c r="E133" t="s">
        <v>39</v>
      </c>
      <c r="F133">
        <v>-300</v>
      </c>
      <c r="G133">
        <v>0.96450000000000002</v>
      </c>
      <c r="H133">
        <v>0</v>
      </c>
      <c r="I133">
        <v>0</v>
      </c>
      <c r="J133">
        <v>22.867999999999999</v>
      </c>
      <c r="K133" s="1">
        <v>-6860.4</v>
      </c>
      <c r="L133" t="s">
        <v>214</v>
      </c>
    </row>
    <row r="134" spans="1:12" outlineLevel="2" x14ac:dyDescent="0.3">
      <c r="A134" t="s">
        <v>36</v>
      </c>
      <c r="B134" t="s">
        <v>159</v>
      </c>
      <c r="C134" t="s">
        <v>40</v>
      </c>
      <c r="D134" s="3">
        <v>42744</v>
      </c>
      <c r="E134" t="s">
        <v>39</v>
      </c>
      <c r="F134">
        <v>1000</v>
      </c>
      <c r="G134">
        <v>1</v>
      </c>
      <c r="H134">
        <v>0</v>
      </c>
      <c r="I134">
        <v>0</v>
      </c>
      <c r="J134">
        <v>18.010000000000002</v>
      </c>
      <c r="K134" s="1">
        <v>18010</v>
      </c>
      <c r="L134" t="s">
        <v>214</v>
      </c>
    </row>
    <row r="135" spans="1:12" outlineLevel="2" x14ac:dyDescent="0.3">
      <c r="A135" t="s">
        <v>36</v>
      </c>
      <c r="B135" t="s">
        <v>160</v>
      </c>
      <c r="C135" t="s">
        <v>63</v>
      </c>
      <c r="D135" s="3">
        <v>42744</v>
      </c>
      <c r="E135" t="s">
        <v>39</v>
      </c>
      <c r="F135">
        <v>-1000</v>
      </c>
      <c r="G135">
        <v>1</v>
      </c>
      <c r="H135">
        <v>0</v>
      </c>
      <c r="I135">
        <v>0</v>
      </c>
      <c r="J135">
        <v>18.010000000000002</v>
      </c>
      <c r="K135" s="1">
        <v>-18010</v>
      </c>
      <c r="L135" t="s">
        <v>214</v>
      </c>
    </row>
    <row r="136" spans="1:12" outlineLevel="1" x14ac:dyDescent="0.3">
      <c r="D136" s="7" t="s">
        <v>273</v>
      </c>
      <c r="K136" s="1">
        <f>SUM(K102:K135)</f>
        <v>-1648.25</v>
      </c>
    </row>
    <row r="137" spans="1:12" outlineLevel="2" x14ac:dyDescent="0.3">
      <c r="A137" t="s">
        <v>36</v>
      </c>
      <c r="B137" t="s">
        <v>59</v>
      </c>
      <c r="C137" t="s">
        <v>38</v>
      </c>
      <c r="D137" s="3">
        <v>42745</v>
      </c>
      <c r="E137" t="s">
        <v>39</v>
      </c>
      <c r="F137">
        <v>-50</v>
      </c>
      <c r="G137">
        <v>10</v>
      </c>
      <c r="H137">
        <v>0</v>
      </c>
      <c r="I137">
        <v>0</v>
      </c>
      <c r="J137">
        <v>157.5146</v>
      </c>
      <c r="K137" s="1">
        <v>-7875.73</v>
      </c>
      <c r="L137" t="s">
        <v>190</v>
      </c>
    </row>
    <row r="138" spans="1:12" outlineLevel="2" x14ac:dyDescent="0.3">
      <c r="A138" t="s">
        <v>36</v>
      </c>
      <c r="B138" t="s">
        <v>59</v>
      </c>
      <c r="C138" t="s">
        <v>38</v>
      </c>
      <c r="D138" s="3">
        <v>42745</v>
      </c>
      <c r="E138" t="s">
        <v>43</v>
      </c>
      <c r="F138">
        <v>50</v>
      </c>
      <c r="G138">
        <v>10</v>
      </c>
      <c r="H138">
        <v>0</v>
      </c>
      <c r="I138">
        <v>0</v>
      </c>
      <c r="J138">
        <v>157.5146</v>
      </c>
      <c r="K138" s="1">
        <v>7875.73</v>
      </c>
      <c r="L138" t="s">
        <v>190</v>
      </c>
    </row>
    <row r="139" spans="1:12" outlineLevel="2" x14ac:dyDescent="0.3">
      <c r="A139" t="s">
        <v>36</v>
      </c>
      <c r="B139" t="s">
        <v>64</v>
      </c>
      <c r="C139" t="s">
        <v>63</v>
      </c>
      <c r="D139" s="3">
        <v>42745</v>
      </c>
      <c r="E139" t="s">
        <v>39</v>
      </c>
      <c r="F139">
        <v>-16</v>
      </c>
      <c r="G139">
        <v>100</v>
      </c>
      <c r="H139">
        <v>0</v>
      </c>
      <c r="I139">
        <v>0</v>
      </c>
      <c r="J139">
        <v>1742.5039999999999</v>
      </c>
      <c r="K139" s="1">
        <v>-27880.06</v>
      </c>
      <c r="L139" t="s">
        <v>194</v>
      </c>
    </row>
    <row r="140" spans="1:12" outlineLevel="2" x14ac:dyDescent="0.3">
      <c r="A140" t="s">
        <v>36</v>
      </c>
      <c r="B140" t="s">
        <v>64</v>
      </c>
      <c r="C140" t="s">
        <v>63</v>
      </c>
      <c r="D140" s="3">
        <v>42745</v>
      </c>
      <c r="E140" t="s">
        <v>39</v>
      </c>
      <c r="F140">
        <v>-150</v>
      </c>
      <c r="G140">
        <v>100</v>
      </c>
      <c r="H140">
        <v>0</v>
      </c>
      <c r="I140">
        <v>0</v>
      </c>
      <c r="J140">
        <v>1742.5041000000001</v>
      </c>
      <c r="K140" s="1">
        <v>-261375.61</v>
      </c>
      <c r="L140" t="s">
        <v>194</v>
      </c>
    </row>
    <row r="141" spans="1:12" outlineLevel="2" x14ac:dyDescent="0.3">
      <c r="A141" t="s">
        <v>36</v>
      </c>
      <c r="B141" t="s">
        <v>79</v>
      </c>
      <c r="C141" t="s">
        <v>40</v>
      </c>
      <c r="D141" s="3">
        <v>42745</v>
      </c>
      <c r="E141" t="s">
        <v>39</v>
      </c>
      <c r="F141">
        <v>1600</v>
      </c>
      <c r="G141">
        <v>1</v>
      </c>
      <c r="H141">
        <v>0</v>
      </c>
      <c r="I141">
        <v>0</v>
      </c>
      <c r="J141">
        <v>17.425000000000001</v>
      </c>
      <c r="K141" s="1">
        <v>27880.06</v>
      </c>
      <c r="L141" t="s">
        <v>194</v>
      </c>
    </row>
    <row r="142" spans="1:12" outlineLevel="2" x14ac:dyDescent="0.3">
      <c r="A142" t="s">
        <v>36</v>
      </c>
      <c r="B142" t="s">
        <v>82</v>
      </c>
      <c r="C142" t="s">
        <v>38</v>
      </c>
      <c r="D142" s="3">
        <v>42745</v>
      </c>
      <c r="E142" t="s">
        <v>39</v>
      </c>
      <c r="F142">
        <v>6938.73</v>
      </c>
      <c r="G142">
        <v>1</v>
      </c>
      <c r="H142">
        <v>0</v>
      </c>
      <c r="I142">
        <v>0</v>
      </c>
      <c r="J142">
        <v>16.480599999999999</v>
      </c>
      <c r="K142" s="1">
        <v>114354.36</v>
      </c>
      <c r="L142" t="s">
        <v>190</v>
      </c>
    </row>
    <row r="143" spans="1:12" outlineLevel="2" x14ac:dyDescent="0.3">
      <c r="A143" t="s">
        <v>36</v>
      </c>
      <c r="B143" t="s">
        <v>82</v>
      </c>
      <c r="C143" t="s">
        <v>38</v>
      </c>
      <c r="D143" s="3">
        <v>42745</v>
      </c>
      <c r="E143" t="s">
        <v>39</v>
      </c>
      <c r="F143">
        <v>-6938.73</v>
      </c>
      <c r="G143">
        <v>1</v>
      </c>
      <c r="H143">
        <v>0</v>
      </c>
      <c r="I143">
        <v>0</v>
      </c>
      <c r="J143">
        <v>16.361000000000001</v>
      </c>
      <c r="K143" s="1">
        <v>-113524.67</v>
      </c>
      <c r="L143" t="s">
        <v>190</v>
      </c>
    </row>
    <row r="144" spans="1:12" outlineLevel="2" x14ac:dyDescent="0.3">
      <c r="A144" t="s">
        <v>36</v>
      </c>
      <c r="B144" t="s">
        <v>82</v>
      </c>
      <c r="C144" t="s">
        <v>38</v>
      </c>
      <c r="D144" s="3">
        <v>42745</v>
      </c>
      <c r="E144" t="s">
        <v>83</v>
      </c>
      <c r="F144">
        <v>6938.73</v>
      </c>
      <c r="G144">
        <v>1</v>
      </c>
      <c r="H144">
        <v>0</v>
      </c>
      <c r="I144">
        <v>0</v>
      </c>
      <c r="J144">
        <v>16.361000000000001</v>
      </c>
      <c r="K144" s="1">
        <v>113524.67</v>
      </c>
      <c r="L144" t="s">
        <v>190</v>
      </c>
    </row>
    <row r="145" spans="1:12" outlineLevel="2" x14ac:dyDescent="0.3">
      <c r="A145" t="s">
        <v>36</v>
      </c>
      <c r="B145" t="s">
        <v>82</v>
      </c>
      <c r="C145" t="s">
        <v>85</v>
      </c>
      <c r="D145" s="3">
        <v>42745</v>
      </c>
      <c r="E145" t="s">
        <v>47</v>
      </c>
      <c r="F145">
        <v>-0.156</v>
      </c>
      <c r="G145">
        <v>1</v>
      </c>
      <c r="H145">
        <v>0</v>
      </c>
      <c r="I145">
        <v>0</v>
      </c>
      <c r="J145">
        <v>16.480599999999999</v>
      </c>
      <c r="K145" s="1">
        <v>-2.57</v>
      </c>
      <c r="L145" t="s">
        <v>231</v>
      </c>
    </row>
    <row r="146" spans="1:12" outlineLevel="2" x14ac:dyDescent="0.3">
      <c r="A146" t="s">
        <v>36</v>
      </c>
      <c r="B146" t="s">
        <v>82</v>
      </c>
      <c r="C146" t="s">
        <v>38</v>
      </c>
      <c r="D146" s="3">
        <v>42745</v>
      </c>
      <c r="E146" t="s">
        <v>47</v>
      </c>
      <c r="F146">
        <v>-6938.73</v>
      </c>
      <c r="G146">
        <v>1</v>
      </c>
      <c r="H146">
        <v>0</v>
      </c>
      <c r="I146">
        <v>0</v>
      </c>
      <c r="J146">
        <v>16.480599999999999</v>
      </c>
      <c r="K146" s="1">
        <v>-114354.36</v>
      </c>
      <c r="L146" t="s">
        <v>190</v>
      </c>
    </row>
    <row r="147" spans="1:12" outlineLevel="2" x14ac:dyDescent="0.3">
      <c r="A147" t="s">
        <v>36</v>
      </c>
      <c r="B147" t="s">
        <v>95</v>
      </c>
      <c r="C147" t="s">
        <v>38</v>
      </c>
      <c r="D147" s="3">
        <v>42745</v>
      </c>
      <c r="E147" t="s">
        <v>39</v>
      </c>
      <c r="F147">
        <v>10</v>
      </c>
      <c r="G147">
        <v>5</v>
      </c>
      <c r="H147">
        <v>0</v>
      </c>
      <c r="I147">
        <v>0</v>
      </c>
      <c r="J147">
        <v>79.719099999999997</v>
      </c>
      <c r="K147" s="1">
        <v>797.19</v>
      </c>
      <c r="L147" t="s">
        <v>238</v>
      </c>
    </row>
    <row r="148" spans="1:12" outlineLevel="2" x14ac:dyDescent="0.3">
      <c r="A148" t="s">
        <v>36</v>
      </c>
      <c r="B148" t="s">
        <v>95</v>
      </c>
      <c r="C148" t="s">
        <v>38</v>
      </c>
      <c r="D148" s="3">
        <v>42745</v>
      </c>
      <c r="E148" t="s">
        <v>56</v>
      </c>
      <c r="F148">
        <v>-10</v>
      </c>
      <c r="G148">
        <v>5</v>
      </c>
      <c r="H148">
        <v>0</v>
      </c>
      <c r="I148">
        <v>0</v>
      </c>
      <c r="J148">
        <v>79.719099999999997</v>
      </c>
      <c r="K148" s="1">
        <v>-797.19</v>
      </c>
      <c r="L148" t="s">
        <v>238</v>
      </c>
    </row>
    <row r="149" spans="1:12" outlineLevel="2" x14ac:dyDescent="0.3">
      <c r="A149" t="s">
        <v>36</v>
      </c>
      <c r="B149" t="s">
        <v>115</v>
      </c>
      <c r="C149" t="s">
        <v>63</v>
      </c>
      <c r="D149" s="3">
        <v>42745</v>
      </c>
      <c r="E149" t="s">
        <v>39</v>
      </c>
      <c r="F149">
        <v>-26</v>
      </c>
      <c r="G149">
        <v>0.77339999999999998</v>
      </c>
      <c r="H149">
        <v>0</v>
      </c>
      <c r="I149">
        <v>0</v>
      </c>
      <c r="J149">
        <v>17.91</v>
      </c>
      <c r="K149" s="1">
        <v>-465.66</v>
      </c>
      <c r="L149" t="s">
        <v>194</v>
      </c>
    </row>
    <row r="150" spans="1:12" outlineLevel="2" x14ac:dyDescent="0.3">
      <c r="A150" t="s">
        <v>36</v>
      </c>
      <c r="B150" t="s">
        <v>116</v>
      </c>
      <c r="C150" t="s">
        <v>40</v>
      </c>
      <c r="D150" s="3">
        <v>42745</v>
      </c>
      <c r="E150" t="s">
        <v>39</v>
      </c>
      <c r="F150">
        <v>26</v>
      </c>
      <c r="G150">
        <v>0.77400000000000002</v>
      </c>
      <c r="H150">
        <v>0</v>
      </c>
      <c r="I150">
        <v>0</v>
      </c>
      <c r="J150">
        <v>17.91</v>
      </c>
      <c r="K150" s="1">
        <v>465.66</v>
      </c>
      <c r="L150" t="s">
        <v>194</v>
      </c>
    </row>
    <row r="151" spans="1:12" outlineLevel="2" x14ac:dyDescent="0.3">
      <c r="A151" t="s">
        <v>36</v>
      </c>
      <c r="B151" t="s">
        <v>116</v>
      </c>
      <c r="C151" t="s">
        <v>40</v>
      </c>
      <c r="D151" s="3">
        <v>42745</v>
      </c>
      <c r="E151" t="s">
        <v>39</v>
      </c>
      <c r="F151">
        <v>16</v>
      </c>
      <c r="G151">
        <v>0.77400000000000002</v>
      </c>
      <c r="H151">
        <v>0</v>
      </c>
      <c r="I151">
        <v>0</v>
      </c>
      <c r="J151">
        <v>17.91</v>
      </c>
      <c r="K151" s="1">
        <v>286.56</v>
      </c>
      <c r="L151" t="s">
        <v>194</v>
      </c>
    </row>
    <row r="152" spans="1:12" outlineLevel="2" x14ac:dyDescent="0.3">
      <c r="A152" t="s">
        <v>36</v>
      </c>
      <c r="B152" t="s">
        <v>116</v>
      </c>
      <c r="C152" t="s">
        <v>40</v>
      </c>
      <c r="D152" s="3">
        <v>42745</v>
      </c>
      <c r="E152" t="s">
        <v>39</v>
      </c>
      <c r="F152">
        <v>57</v>
      </c>
      <c r="G152">
        <v>0.77400000000000002</v>
      </c>
      <c r="H152">
        <v>0</v>
      </c>
      <c r="I152">
        <v>0</v>
      </c>
      <c r="J152">
        <v>17.91</v>
      </c>
      <c r="K152" s="1">
        <v>1020.87</v>
      </c>
      <c r="L152" t="s">
        <v>194</v>
      </c>
    </row>
    <row r="153" spans="1:12" outlineLevel="2" x14ac:dyDescent="0.3">
      <c r="A153" t="s">
        <v>36</v>
      </c>
      <c r="B153" t="s">
        <v>117</v>
      </c>
      <c r="C153" t="s">
        <v>63</v>
      </c>
      <c r="D153" s="3">
        <v>42745</v>
      </c>
      <c r="E153" t="s">
        <v>39</v>
      </c>
      <c r="F153">
        <v>-57</v>
      </c>
      <c r="G153">
        <v>0.77339999999999998</v>
      </c>
      <c r="H153">
        <v>0</v>
      </c>
      <c r="I153">
        <v>0</v>
      </c>
      <c r="J153">
        <v>17.91</v>
      </c>
      <c r="K153" s="1">
        <v>-1020.87</v>
      </c>
      <c r="L153" t="s">
        <v>194</v>
      </c>
    </row>
    <row r="154" spans="1:12" outlineLevel="2" x14ac:dyDescent="0.3">
      <c r="A154" t="s">
        <v>36</v>
      </c>
      <c r="B154" t="s">
        <v>118</v>
      </c>
      <c r="C154" t="s">
        <v>63</v>
      </c>
      <c r="D154" s="3">
        <v>42745</v>
      </c>
      <c r="E154" t="s">
        <v>39</v>
      </c>
      <c r="F154">
        <v>-16</v>
      </c>
      <c r="G154">
        <v>0.77339999999999998</v>
      </c>
      <c r="H154">
        <v>0</v>
      </c>
      <c r="I154">
        <v>0</v>
      </c>
      <c r="J154">
        <v>17.91</v>
      </c>
      <c r="K154" s="1">
        <v>-286.56</v>
      </c>
      <c r="L154" t="s">
        <v>194</v>
      </c>
    </row>
    <row r="155" spans="1:12" outlineLevel="2" x14ac:dyDescent="0.3">
      <c r="A155" t="s">
        <v>36</v>
      </c>
      <c r="B155" t="s">
        <v>128</v>
      </c>
      <c r="C155" t="s">
        <v>40</v>
      </c>
      <c r="D155" s="3">
        <v>42745</v>
      </c>
      <c r="E155" t="s">
        <v>39</v>
      </c>
      <c r="F155">
        <v>150</v>
      </c>
      <c r="G155">
        <v>100</v>
      </c>
      <c r="H155">
        <v>0</v>
      </c>
      <c r="I155">
        <v>0</v>
      </c>
      <c r="J155">
        <v>1742.5041000000001</v>
      </c>
      <c r="K155" s="1">
        <v>261375.61</v>
      </c>
      <c r="L155" t="s">
        <v>194</v>
      </c>
    </row>
    <row r="156" spans="1:12" outlineLevel="2" x14ac:dyDescent="0.3">
      <c r="A156" t="s">
        <v>36</v>
      </c>
      <c r="B156" t="s">
        <v>133</v>
      </c>
      <c r="C156" t="s">
        <v>63</v>
      </c>
      <c r="D156" s="3">
        <v>42745</v>
      </c>
      <c r="E156" t="s">
        <v>39</v>
      </c>
      <c r="F156">
        <v>-11970</v>
      </c>
      <c r="G156">
        <v>1</v>
      </c>
      <c r="H156">
        <v>0</v>
      </c>
      <c r="I156">
        <v>0</v>
      </c>
      <c r="J156">
        <v>18.5016</v>
      </c>
      <c r="K156" s="1">
        <v>-221463.56</v>
      </c>
      <c r="L156" t="s">
        <v>194</v>
      </c>
    </row>
    <row r="157" spans="1:12" outlineLevel="2" x14ac:dyDescent="0.3">
      <c r="A157" t="s">
        <v>36</v>
      </c>
      <c r="B157" t="s">
        <v>139</v>
      </c>
      <c r="C157" t="s">
        <v>40</v>
      </c>
      <c r="D157" s="3">
        <v>42745</v>
      </c>
      <c r="E157" t="s">
        <v>39</v>
      </c>
      <c r="F157">
        <v>11970</v>
      </c>
      <c r="G157">
        <v>1</v>
      </c>
      <c r="H157">
        <v>0</v>
      </c>
      <c r="I157">
        <v>0</v>
      </c>
      <c r="J157">
        <v>18.5016</v>
      </c>
      <c r="K157" s="1">
        <v>221463.56</v>
      </c>
      <c r="L157" t="s">
        <v>194</v>
      </c>
    </row>
    <row r="158" spans="1:12" outlineLevel="2" x14ac:dyDescent="0.3">
      <c r="A158" t="s">
        <v>36</v>
      </c>
      <c r="B158" t="s">
        <v>150</v>
      </c>
      <c r="C158" t="s">
        <v>63</v>
      </c>
      <c r="D158" s="3">
        <v>42745</v>
      </c>
      <c r="E158" t="s">
        <v>39</v>
      </c>
      <c r="F158">
        <v>-15823</v>
      </c>
      <c r="G158">
        <v>1</v>
      </c>
      <c r="H158">
        <v>0</v>
      </c>
      <c r="I158">
        <v>0</v>
      </c>
      <c r="J158">
        <v>17.573699999999999</v>
      </c>
      <c r="K158" s="1">
        <v>-278068.59000000003</v>
      </c>
      <c r="L158" t="s">
        <v>194</v>
      </c>
    </row>
    <row r="159" spans="1:12" outlineLevel="2" x14ac:dyDescent="0.3">
      <c r="A159" t="s">
        <v>36</v>
      </c>
      <c r="B159" t="s">
        <v>153</v>
      </c>
      <c r="C159" t="s">
        <v>40</v>
      </c>
      <c r="D159" s="3">
        <v>42745</v>
      </c>
      <c r="E159" t="s">
        <v>39</v>
      </c>
      <c r="F159">
        <v>15823</v>
      </c>
      <c r="G159">
        <v>1</v>
      </c>
      <c r="H159">
        <v>0</v>
      </c>
      <c r="I159">
        <v>0</v>
      </c>
      <c r="J159">
        <v>17.573699999999999</v>
      </c>
      <c r="K159" s="1">
        <v>278068.59000000003</v>
      </c>
      <c r="L159" t="s">
        <v>194</v>
      </c>
    </row>
    <row r="160" spans="1:12" outlineLevel="1" x14ac:dyDescent="0.3">
      <c r="D160" s="7" t="s">
        <v>274</v>
      </c>
      <c r="K160" s="1">
        <f>SUM(K137:K159)</f>
        <v>-2.5700000000069849</v>
      </c>
    </row>
    <row r="161" spans="1:12" outlineLevel="2" x14ac:dyDescent="0.3">
      <c r="A161" t="s">
        <v>36</v>
      </c>
      <c r="B161" t="s">
        <v>37</v>
      </c>
      <c r="C161" t="s">
        <v>38</v>
      </c>
      <c r="D161" s="3">
        <v>42746</v>
      </c>
      <c r="E161" t="s">
        <v>41</v>
      </c>
      <c r="F161">
        <v>1000</v>
      </c>
      <c r="G161">
        <v>1</v>
      </c>
      <c r="H161">
        <v>0</v>
      </c>
      <c r="I161">
        <v>0</v>
      </c>
      <c r="J161">
        <v>17.220500000000001</v>
      </c>
      <c r="K161" s="1">
        <v>17220.48</v>
      </c>
      <c r="L161" t="s">
        <v>183</v>
      </c>
    </row>
    <row r="162" spans="1:12" outlineLevel="2" x14ac:dyDescent="0.3">
      <c r="A162" t="s">
        <v>36</v>
      </c>
      <c r="B162" t="s">
        <v>37</v>
      </c>
      <c r="C162" t="s">
        <v>38</v>
      </c>
      <c r="D162" s="3">
        <v>42746</v>
      </c>
      <c r="E162" t="s">
        <v>42</v>
      </c>
      <c r="F162">
        <v>-1000</v>
      </c>
      <c r="G162">
        <v>1</v>
      </c>
      <c r="H162">
        <v>0</v>
      </c>
      <c r="I162">
        <v>0</v>
      </c>
      <c r="J162">
        <v>17.220500000000001</v>
      </c>
      <c r="K162" s="1">
        <v>-17220.48</v>
      </c>
      <c r="L162" t="s">
        <v>183</v>
      </c>
    </row>
    <row r="163" spans="1:12" outlineLevel="2" x14ac:dyDescent="0.3">
      <c r="A163" t="s">
        <v>36</v>
      </c>
      <c r="B163" t="s">
        <v>82</v>
      </c>
      <c r="C163" t="s">
        <v>38</v>
      </c>
      <c r="D163" s="3">
        <v>42746</v>
      </c>
      <c r="E163" t="s">
        <v>73</v>
      </c>
      <c r="F163">
        <v>-10000</v>
      </c>
      <c r="G163">
        <v>1</v>
      </c>
      <c r="H163">
        <v>0</v>
      </c>
      <c r="I163">
        <v>0</v>
      </c>
      <c r="J163">
        <v>16.0806</v>
      </c>
      <c r="K163" s="1">
        <v>-160806</v>
      </c>
      <c r="L163" t="s">
        <v>224</v>
      </c>
    </row>
    <row r="164" spans="1:12" outlineLevel="2" x14ac:dyDescent="0.3">
      <c r="A164" t="s">
        <v>36</v>
      </c>
      <c r="B164" t="s">
        <v>82</v>
      </c>
      <c r="C164" t="s">
        <v>38</v>
      </c>
      <c r="D164" s="3">
        <v>42746</v>
      </c>
      <c r="E164" t="s">
        <v>73</v>
      </c>
      <c r="F164">
        <v>-9986.48</v>
      </c>
      <c r="G164">
        <v>1</v>
      </c>
      <c r="H164">
        <v>0</v>
      </c>
      <c r="I164">
        <v>0</v>
      </c>
      <c r="J164">
        <v>16.0806</v>
      </c>
      <c r="K164" s="1">
        <v>-160588.59</v>
      </c>
      <c r="L164" t="s">
        <v>224</v>
      </c>
    </row>
    <row r="165" spans="1:12" outlineLevel="2" x14ac:dyDescent="0.3">
      <c r="A165" t="s">
        <v>36</v>
      </c>
      <c r="B165" t="s">
        <v>82</v>
      </c>
      <c r="C165" t="s">
        <v>38</v>
      </c>
      <c r="D165" s="3">
        <v>42746</v>
      </c>
      <c r="E165" t="s">
        <v>74</v>
      </c>
      <c r="F165">
        <v>9986.48</v>
      </c>
      <c r="G165">
        <v>1</v>
      </c>
      <c r="H165">
        <v>0</v>
      </c>
      <c r="I165">
        <v>0</v>
      </c>
      <c r="J165">
        <v>16.0806</v>
      </c>
      <c r="K165" s="1">
        <v>160588.59</v>
      </c>
      <c r="L165" t="s">
        <v>224</v>
      </c>
    </row>
    <row r="166" spans="1:12" outlineLevel="2" x14ac:dyDescent="0.3">
      <c r="A166" t="s">
        <v>36</v>
      </c>
      <c r="B166" t="s">
        <v>82</v>
      </c>
      <c r="C166" t="s">
        <v>38</v>
      </c>
      <c r="D166" s="3">
        <v>42746</v>
      </c>
      <c r="E166" t="s">
        <v>51</v>
      </c>
      <c r="F166">
        <v>10000</v>
      </c>
      <c r="G166">
        <v>1</v>
      </c>
      <c r="H166">
        <v>0</v>
      </c>
      <c r="I166">
        <v>0</v>
      </c>
      <c r="J166">
        <v>16.0806</v>
      </c>
      <c r="K166" s="1">
        <v>160806</v>
      </c>
      <c r="L166" t="s">
        <v>224</v>
      </c>
    </row>
    <row r="167" spans="1:12" outlineLevel="2" x14ac:dyDescent="0.3">
      <c r="A167" t="s">
        <v>36</v>
      </c>
      <c r="B167" t="s">
        <v>101</v>
      </c>
      <c r="C167" t="s">
        <v>63</v>
      </c>
      <c r="D167" s="3">
        <v>42746</v>
      </c>
      <c r="E167" t="s">
        <v>39</v>
      </c>
      <c r="F167">
        <v>-1000</v>
      </c>
      <c r="G167">
        <v>1</v>
      </c>
      <c r="H167">
        <v>0</v>
      </c>
      <c r="I167">
        <v>0</v>
      </c>
      <c r="J167">
        <v>18.8429</v>
      </c>
      <c r="K167" s="1">
        <v>-18842.86</v>
      </c>
      <c r="L167" t="s">
        <v>242</v>
      </c>
    </row>
    <row r="168" spans="1:12" outlineLevel="2" x14ac:dyDescent="0.3">
      <c r="A168" t="s">
        <v>36</v>
      </c>
      <c r="B168" t="s">
        <v>103</v>
      </c>
      <c r="C168" t="s">
        <v>38</v>
      </c>
      <c r="D168" s="3">
        <v>42746</v>
      </c>
      <c r="E168" t="s">
        <v>39</v>
      </c>
      <c r="F168">
        <v>-15000</v>
      </c>
      <c r="G168">
        <v>5</v>
      </c>
      <c r="H168">
        <v>0</v>
      </c>
      <c r="I168">
        <v>0</v>
      </c>
      <c r="J168">
        <v>94.534300000000002</v>
      </c>
      <c r="K168" s="1">
        <v>-1418014.65</v>
      </c>
      <c r="L168" t="s">
        <v>224</v>
      </c>
    </row>
    <row r="169" spans="1:12" outlineLevel="2" x14ac:dyDescent="0.3">
      <c r="A169" t="s">
        <v>36</v>
      </c>
      <c r="B169" t="s">
        <v>103</v>
      </c>
      <c r="C169" t="s">
        <v>63</v>
      </c>
      <c r="D169" s="3">
        <v>42746</v>
      </c>
      <c r="E169" t="s">
        <v>47</v>
      </c>
      <c r="F169">
        <v>-15000</v>
      </c>
      <c r="G169">
        <v>5</v>
      </c>
      <c r="H169">
        <v>0</v>
      </c>
      <c r="I169">
        <v>0</v>
      </c>
      <c r="J169">
        <v>98</v>
      </c>
      <c r="K169" s="1">
        <v>-1470000</v>
      </c>
      <c r="L169" t="s">
        <v>243</v>
      </c>
    </row>
    <row r="170" spans="1:12" outlineLevel="2" x14ac:dyDescent="0.3">
      <c r="A170" t="s">
        <v>36</v>
      </c>
      <c r="B170" t="s">
        <v>103</v>
      </c>
      <c r="C170" t="s">
        <v>38</v>
      </c>
      <c r="D170" s="3">
        <v>42746</v>
      </c>
      <c r="E170" t="s">
        <v>47</v>
      </c>
      <c r="F170">
        <v>15000</v>
      </c>
      <c r="G170">
        <v>5</v>
      </c>
      <c r="H170">
        <v>0</v>
      </c>
      <c r="I170">
        <v>0</v>
      </c>
      <c r="J170">
        <v>94.534300000000002</v>
      </c>
      <c r="K170" s="1">
        <v>1418014.65</v>
      </c>
      <c r="L170" t="s">
        <v>224</v>
      </c>
    </row>
    <row r="171" spans="1:12" outlineLevel="2" x14ac:dyDescent="0.3">
      <c r="A171" t="s">
        <v>36</v>
      </c>
      <c r="B171" t="s">
        <v>103</v>
      </c>
      <c r="C171" t="s">
        <v>50</v>
      </c>
      <c r="D171" s="3">
        <v>42746</v>
      </c>
      <c r="E171" t="s">
        <v>47</v>
      </c>
      <c r="F171">
        <v>0</v>
      </c>
      <c r="G171">
        <v>5</v>
      </c>
      <c r="H171">
        <v>0</v>
      </c>
      <c r="I171">
        <v>0</v>
      </c>
      <c r="J171">
        <v>0</v>
      </c>
      <c r="K171" s="1">
        <v>51985.35</v>
      </c>
      <c r="L171" t="s">
        <v>224</v>
      </c>
    </row>
    <row r="172" spans="1:12" outlineLevel="2" x14ac:dyDescent="0.3">
      <c r="A172" t="s">
        <v>36</v>
      </c>
      <c r="B172" t="s">
        <v>119</v>
      </c>
      <c r="C172" t="s">
        <v>40</v>
      </c>
      <c r="D172" s="3">
        <v>42746</v>
      </c>
      <c r="E172" t="s">
        <v>39</v>
      </c>
      <c r="F172">
        <v>1000</v>
      </c>
      <c r="G172">
        <v>1</v>
      </c>
      <c r="H172">
        <v>0</v>
      </c>
      <c r="I172">
        <v>0</v>
      </c>
      <c r="J172">
        <v>18.8429</v>
      </c>
      <c r="K172" s="1">
        <v>18842.86</v>
      </c>
      <c r="L172" t="s">
        <v>242</v>
      </c>
    </row>
    <row r="173" spans="1:12" outlineLevel="2" x14ac:dyDescent="0.3">
      <c r="A173" t="s">
        <v>36</v>
      </c>
      <c r="B173" t="s">
        <v>126</v>
      </c>
      <c r="C173" t="s">
        <v>38</v>
      </c>
      <c r="D173" s="3">
        <v>42746</v>
      </c>
      <c r="E173" t="s">
        <v>41</v>
      </c>
      <c r="F173">
        <v>20000</v>
      </c>
      <c r="G173">
        <v>1</v>
      </c>
      <c r="H173">
        <v>0</v>
      </c>
      <c r="I173">
        <v>0</v>
      </c>
      <c r="J173">
        <v>18.399999999999999</v>
      </c>
      <c r="K173" s="1">
        <v>368000</v>
      </c>
      <c r="L173" t="s">
        <v>183</v>
      </c>
    </row>
    <row r="174" spans="1:12" outlineLevel="2" x14ac:dyDescent="0.3">
      <c r="A174" t="s">
        <v>36</v>
      </c>
      <c r="B174" t="s">
        <v>126</v>
      </c>
      <c r="C174" t="s">
        <v>38</v>
      </c>
      <c r="D174" s="3">
        <v>42746</v>
      </c>
      <c r="E174" t="s">
        <v>42</v>
      </c>
      <c r="F174">
        <v>-20000</v>
      </c>
      <c r="G174">
        <v>1</v>
      </c>
      <c r="H174">
        <v>0</v>
      </c>
      <c r="I174">
        <v>0</v>
      </c>
      <c r="J174">
        <v>18.399999999999999</v>
      </c>
      <c r="K174" s="1">
        <v>-368000</v>
      </c>
      <c r="L174" t="s">
        <v>183</v>
      </c>
    </row>
    <row r="175" spans="1:12" outlineLevel="2" x14ac:dyDescent="0.3">
      <c r="A175" t="s">
        <v>36</v>
      </c>
      <c r="B175" t="s">
        <v>131</v>
      </c>
      <c r="C175" t="s">
        <v>63</v>
      </c>
      <c r="D175" s="3">
        <v>42746</v>
      </c>
      <c r="E175" t="s">
        <v>56</v>
      </c>
      <c r="F175">
        <v>-60</v>
      </c>
      <c r="G175">
        <v>1</v>
      </c>
      <c r="H175">
        <v>0</v>
      </c>
      <c r="I175">
        <v>0</v>
      </c>
      <c r="J175">
        <v>18.284800000000001</v>
      </c>
      <c r="K175" s="1">
        <v>-1097.0899999999999</v>
      </c>
      <c r="L175" t="s">
        <v>252</v>
      </c>
    </row>
    <row r="176" spans="1:12" outlineLevel="2" x14ac:dyDescent="0.3">
      <c r="A176" t="s">
        <v>36</v>
      </c>
      <c r="B176" t="s">
        <v>132</v>
      </c>
      <c r="C176" t="s">
        <v>38</v>
      </c>
      <c r="D176" s="3">
        <v>42746</v>
      </c>
      <c r="E176" t="s">
        <v>39</v>
      </c>
      <c r="F176">
        <v>60</v>
      </c>
      <c r="G176">
        <v>1</v>
      </c>
      <c r="H176">
        <v>0</v>
      </c>
      <c r="I176">
        <v>0</v>
      </c>
      <c r="J176">
        <v>18.284800000000001</v>
      </c>
      <c r="K176" s="1">
        <v>1097.0899999999999</v>
      </c>
      <c r="L176" t="s">
        <v>224</v>
      </c>
    </row>
    <row r="177" spans="1:12" outlineLevel="2" x14ac:dyDescent="0.3">
      <c r="A177" t="s">
        <v>36</v>
      </c>
      <c r="B177" t="s">
        <v>132</v>
      </c>
      <c r="C177" t="s">
        <v>40</v>
      </c>
      <c r="D177" s="3">
        <v>42746</v>
      </c>
      <c r="E177" t="s">
        <v>56</v>
      </c>
      <c r="F177">
        <v>60</v>
      </c>
      <c r="G177">
        <v>1</v>
      </c>
      <c r="H177">
        <v>0</v>
      </c>
      <c r="I177">
        <v>0</v>
      </c>
      <c r="J177">
        <v>18.284800000000001</v>
      </c>
      <c r="K177" s="1">
        <v>1097.0899999999999</v>
      </c>
      <c r="L177" t="s">
        <v>252</v>
      </c>
    </row>
    <row r="178" spans="1:12" outlineLevel="2" x14ac:dyDescent="0.3">
      <c r="A178" t="s">
        <v>36</v>
      </c>
      <c r="B178" t="s">
        <v>132</v>
      </c>
      <c r="C178" t="s">
        <v>38</v>
      </c>
      <c r="D178" s="3">
        <v>42746</v>
      </c>
      <c r="E178" t="s">
        <v>56</v>
      </c>
      <c r="F178">
        <v>-60</v>
      </c>
      <c r="G178">
        <v>1</v>
      </c>
      <c r="H178">
        <v>0</v>
      </c>
      <c r="I178">
        <v>0</v>
      </c>
      <c r="J178">
        <v>18.284800000000001</v>
      </c>
      <c r="K178" s="1">
        <v>-1097.0899999999999</v>
      </c>
      <c r="L178" t="s">
        <v>224</v>
      </c>
    </row>
    <row r="179" spans="1:12" outlineLevel="2" x14ac:dyDescent="0.3">
      <c r="A179" t="s">
        <v>36</v>
      </c>
      <c r="B179" t="s">
        <v>136</v>
      </c>
      <c r="C179" t="s">
        <v>38</v>
      </c>
      <c r="D179" s="3">
        <v>42746</v>
      </c>
      <c r="E179" t="s">
        <v>41</v>
      </c>
      <c r="F179">
        <v>30000</v>
      </c>
      <c r="G179">
        <v>1</v>
      </c>
      <c r="H179">
        <v>0</v>
      </c>
      <c r="I179">
        <v>0</v>
      </c>
      <c r="J179">
        <v>17.864799999999999</v>
      </c>
      <c r="K179" s="1">
        <v>535944.18999999994</v>
      </c>
      <c r="L179" t="s">
        <v>183</v>
      </c>
    </row>
    <row r="180" spans="1:12" outlineLevel="2" x14ac:dyDescent="0.3">
      <c r="A180" t="s">
        <v>36</v>
      </c>
      <c r="B180" t="s">
        <v>136</v>
      </c>
      <c r="C180" t="s">
        <v>38</v>
      </c>
      <c r="D180" s="3">
        <v>42746</v>
      </c>
      <c r="E180" t="s">
        <v>42</v>
      </c>
      <c r="F180">
        <v>-30000</v>
      </c>
      <c r="G180">
        <v>1</v>
      </c>
      <c r="H180">
        <v>0</v>
      </c>
      <c r="I180">
        <v>0</v>
      </c>
      <c r="J180">
        <v>17.864799999999999</v>
      </c>
      <c r="K180" s="1">
        <v>-535944.18999999994</v>
      </c>
      <c r="L180" t="s">
        <v>183</v>
      </c>
    </row>
    <row r="181" spans="1:12" outlineLevel="2" x14ac:dyDescent="0.3">
      <c r="A181" t="s">
        <v>36</v>
      </c>
      <c r="B181" t="s">
        <v>138</v>
      </c>
      <c r="C181" t="s">
        <v>38</v>
      </c>
      <c r="D181" s="3">
        <v>42746</v>
      </c>
      <c r="E181" t="s">
        <v>41</v>
      </c>
      <c r="F181">
        <v>30000</v>
      </c>
      <c r="G181">
        <v>1</v>
      </c>
      <c r="H181">
        <v>0</v>
      </c>
      <c r="I181">
        <v>0</v>
      </c>
      <c r="J181">
        <v>19.145199999999999</v>
      </c>
      <c r="K181" s="1">
        <v>574354.5</v>
      </c>
      <c r="L181" t="s">
        <v>183</v>
      </c>
    </row>
    <row r="182" spans="1:12" outlineLevel="2" x14ac:dyDescent="0.3">
      <c r="A182" t="s">
        <v>36</v>
      </c>
      <c r="B182" t="s">
        <v>138</v>
      </c>
      <c r="C182" t="s">
        <v>38</v>
      </c>
      <c r="D182" s="3">
        <v>42746</v>
      </c>
      <c r="E182" t="s">
        <v>42</v>
      </c>
      <c r="F182">
        <v>-30000</v>
      </c>
      <c r="G182">
        <v>1</v>
      </c>
      <c r="H182">
        <v>0</v>
      </c>
      <c r="I182">
        <v>0</v>
      </c>
      <c r="J182">
        <v>19.145199999999999</v>
      </c>
      <c r="K182" s="1">
        <v>-574354.5</v>
      </c>
      <c r="L182" t="s">
        <v>183</v>
      </c>
    </row>
    <row r="183" spans="1:12" outlineLevel="2" x14ac:dyDescent="0.3">
      <c r="A183" t="s">
        <v>36</v>
      </c>
      <c r="B183" t="s">
        <v>142</v>
      </c>
      <c r="C183" t="s">
        <v>38</v>
      </c>
      <c r="D183" s="3">
        <v>42746</v>
      </c>
      <c r="E183" t="s">
        <v>41</v>
      </c>
      <c r="F183">
        <v>300</v>
      </c>
      <c r="G183">
        <v>0.5</v>
      </c>
      <c r="H183">
        <v>0</v>
      </c>
      <c r="I183">
        <v>0</v>
      </c>
      <c r="J183">
        <v>12.56</v>
      </c>
      <c r="K183" s="1">
        <v>3768</v>
      </c>
      <c r="L183" t="s">
        <v>183</v>
      </c>
    </row>
    <row r="184" spans="1:12" outlineLevel="2" x14ac:dyDescent="0.3">
      <c r="A184" t="s">
        <v>36</v>
      </c>
      <c r="B184" t="s">
        <v>142</v>
      </c>
      <c r="C184" t="s">
        <v>38</v>
      </c>
      <c r="D184" s="3">
        <v>42746</v>
      </c>
      <c r="E184" t="s">
        <v>42</v>
      </c>
      <c r="F184">
        <v>-300</v>
      </c>
      <c r="G184">
        <v>0.5</v>
      </c>
      <c r="H184">
        <v>0</v>
      </c>
      <c r="I184">
        <v>0</v>
      </c>
      <c r="J184">
        <v>12.56</v>
      </c>
      <c r="K184" s="1">
        <v>-3768</v>
      </c>
      <c r="L184" t="s">
        <v>183</v>
      </c>
    </row>
    <row r="185" spans="1:12" outlineLevel="2" x14ac:dyDescent="0.3">
      <c r="A185" t="s">
        <v>36</v>
      </c>
      <c r="B185" t="s">
        <v>144</v>
      </c>
      <c r="C185" t="s">
        <v>38</v>
      </c>
      <c r="D185" s="3">
        <v>42746</v>
      </c>
      <c r="E185" t="s">
        <v>41</v>
      </c>
      <c r="F185">
        <v>100</v>
      </c>
      <c r="G185">
        <v>5</v>
      </c>
      <c r="H185">
        <v>0</v>
      </c>
      <c r="I185">
        <v>0</v>
      </c>
      <c r="J185">
        <v>119.6</v>
      </c>
      <c r="K185" s="1">
        <v>11960</v>
      </c>
      <c r="L185" t="s">
        <v>183</v>
      </c>
    </row>
    <row r="186" spans="1:12" outlineLevel="2" x14ac:dyDescent="0.3">
      <c r="A186" t="s">
        <v>36</v>
      </c>
      <c r="B186" t="s">
        <v>144</v>
      </c>
      <c r="C186" t="s">
        <v>38</v>
      </c>
      <c r="D186" s="3">
        <v>42746</v>
      </c>
      <c r="E186" t="s">
        <v>42</v>
      </c>
      <c r="F186">
        <v>-100</v>
      </c>
      <c r="G186">
        <v>5</v>
      </c>
      <c r="H186">
        <v>0</v>
      </c>
      <c r="I186">
        <v>0</v>
      </c>
      <c r="J186">
        <v>119.6</v>
      </c>
      <c r="K186" s="1">
        <v>-11960</v>
      </c>
      <c r="L186" t="s">
        <v>183</v>
      </c>
    </row>
    <row r="187" spans="1:12" outlineLevel="2" x14ac:dyDescent="0.3">
      <c r="A187" t="s">
        <v>36</v>
      </c>
      <c r="B187" t="s">
        <v>146</v>
      </c>
      <c r="C187" t="s">
        <v>38</v>
      </c>
      <c r="D187" s="3">
        <v>42746</v>
      </c>
      <c r="E187" t="s">
        <v>41</v>
      </c>
      <c r="F187">
        <v>200</v>
      </c>
      <c r="G187">
        <v>10</v>
      </c>
      <c r="H187">
        <v>0</v>
      </c>
      <c r="I187">
        <v>0</v>
      </c>
      <c r="J187">
        <v>216.7</v>
      </c>
      <c r="K187" s="1">
        <v>43340</v>
      </c>
      <c r="L187" t="s">
        <v>183</v>
      </c>
    </row>
    <row r="188" spans="1:12" outlineLevel="2" x14ac:dyDescent="0.3">
      <c r="A188" t="s">
        <v>36</v>
      </c>
      <c r="B188" t="s">
        <v>146</v>
      </c>
      <c r="C188" t="s">
        <v>38</v>
      </c>
      <c r="D188" s="3">
        <v>42746</v>
      </c>
      <c r="E188" t="s">
        <v>42</v>
      </c>
      <c r="F188">
        <v>-200</v>
      </c>
      <c r="G188">
        <v>10</v>
      </c>
      <c r="H188">
        <v>0</v>
      </c>
      <c r="I188">
        <v>0</v>
      </c>
      <c r="J188">
        <v>216.7</v>
      </c>
      <c r="K188" s="1">
        <v>-43340</v>
      </c>
      <c r="L188" t="s">
        <v>183</v>
      </c>
    </row>
    <row r="189" spans="1:12" outlineLevel="1" x14ac:dyDescent="0.3">
      <c r="D189" s="7" t="s">
        <v>275</v>
      </c>
      <c r="K189" s="1">
        <f>SUM(K161:K188)</f>
        <v>-1418014.6499999997</v>
      </c>
    </row>
    <row r="190" spans="1:12" outlineLevel="2" x14ac:dyDescent="0.3">
      <c r="A190" t="s">
        <v>36</v>
      </c>
      <c r="B190" t="s">
        <v>37</v>
      </c>
      <c r="C190" t="s">
        <v>38</v>
      </c>
      <c r="D190" s="3">
        <v>42747</v>
      </c>
      <c r="E190" t="s">
        <v>39</v>
      </c>
      <c r="F190">
        <v>10000</v>
      </c>
      <c r="G190">
        <v>1</v>
      </c>
      <c r="H190">
        <v>0</v>
      </c>
      <c r="I190">
        <v>0</v>
      </c>
      <c r="J190">
        <v>15.69</v>
      </c>
      <c r="K190" s="1">
        <v>156900</v>
      </c>
      <c r="L190" t="s">
        <v>179</v>
      </c>
    </row>
    <row r="191" spans="1:12" outlineLevel="2" x14ac:dyDescent="0.3">
      <c r="A191" t="s">
        <v>36</v>
      </c>
      <c r="B191" t="s">
        <v>37</v>
      </c>
      <c r="C191" t="s">
        <v>38</v>
      </c>
      <c r="D191" s="3">
        <v>42747</v>
      </c>
      <c r="E191" t="s">
        <v>39</v>
      </c>
      <c r="F191">
        <v>-1000</v>
      </c>
      <c r="G191">
        <v>1</v>
      </c>
      <c r="H191">
        <v>0</v>
      </c>
      <c r="I191">
        <v>0</v>
      </c>
      <c r="J191">
        <v>17.1538</v>
      </c>
      <c r="K191" s="1">
        <v>-17153.810000000001</v>
      </c>
      <c r="L191" t="s">
        <v>179</v>
      </c>
    </row>
    <row r="192" spans="1:12" outlineLevel="2" x14ac:dyDescent="0.3">
      <c r="A192" t="s">
        <v>36</v>
      </c>
      <c r="B192" t="s">
        <v>37</v>
      </c>
      <c r="C192" t="s">
        <v>38</v>
      </c>
      <c r="D192" s="3">
        <v>42747</v>
      </c>
      <c r="E192" t="s">
        <v>44</v>
      </c>
      <c r="F192">
        <v>1000</v>
      </c>
      <c r="G192">
        <v>1</v>
      </c>
      <c r="H192">
        <v>0</v>
      </c>
      <c r="I192">
        <v>0</v>
      </c>
      <c r="J192">
        <v>17.1538</v>
      </c>
      <c r="K192" s="1">
        <v>17153.810000000001</v>
      </c>
      <c r="L192" t="s">
        <v>179</v>
      </c>
    </row>
    <row r="193" spans="1:12" outlineLevel="2" x14ac:dyDescent="0.3">
      <c r="A193" t="s">
        <v>36</v>
      </c>
      <c r="B193" t="s">
        <v>37</v>
      </c>
      <c r="C193" t="s">
        <v>38</v>
      </c>
      <c r="D193" s="3">
        <v>42747</v>
      </c>
      <c r="E193" t="s">
        <v>47</v>
      </c>
      <c r="F193">
        <v>-10000</v>
      </c>
      <c r="G193">
        <v>1</v>
      </c>
      <c r="H193">
        <v>0</v>
      </c>
      <c r="I193">
        <v>0</v>
      </c>
      <c r="J193">
        <v>15.69</v>
      </c>
      <c r="K193" s="1">
        <v>-156900</v>
      </c>
      <c r="L193" t="s">
        <v>179</v>
      </c>
    </row>
    <row r="194" spans="1:12" outlineLevel="2" x14ac:dyDescent="0.3">
      <c r="A194" t="s">
        <v>36</v>
      </c>
      <c r="B194" t="s">
        <v>64</v>
      </c>
      <c r="C194" t="s">
        <v>40</v>
      </c>
      <c r="D194" s="3">
        <v>42747</v>
      </c>
      <c r="E194" t="s">
        <v>39</v>
      </c>
      <c r="F194">
        <v>5</v>
      </c>
      <c r="G194">
        <v>100</v>
      </c>
      <c r="H194">
        <v>0</v>
      </c>
      <c r="I194">
        <v>0</v>
      </c>
      <c r="J194">
        <v>1641.6</v>
      </c>
      <c r="K194" s="1">
        <v>8208</v>
      </c>
      <c r="L194" t="s">
        <v>195</v>
      </c>
    </row>
    <row r="195" spans="1:12" outlineLevel="2" x14ac:dyDescent="0.3">
      <c r="A195" t="s">
        <v>36</v>
      </c>
      <c r="B195" t="s">
        <v>64</v>
      </c>
      <c r="C195" t="s">
        <v>40</v>
      </c>
      <c r="D195" s="3">
        <v>42747</v>
      </c>
      <c r="E195" t="s">
        <v>39</v>
      </c>
      <c r="F195">
        <v>5</v>
      </c>
      <c r="G195">
        <v>100</v>
      </c>
      <c r="H195">
        <v>0</v>
      </c>
      <c r="I195">
        <v>0</v>
      </c>
      <c r="J195">
        <v>1641.6</v>
      </c>
      <c r="K195" s="1">
        <v>8208</v>
      </c>
      <c r="L195" t="s">
        <v>196</v>
      </c>
    </row>
    <row r="196" spans="1:12" outlineLevel="2" x14ac:dyDescent="0.3">
      <c r="A196" t="s">
        <v>36</v>
      </c>
      <c r="B196" t="s">
        <v>64</v>
      </c>
      <c r="C196" t="s">
        <v>38</v>
      </c>
      <c r="D196" s="3">
        <v>42747</v>
      </c>
      <c r="E196" t="s">
        <v>39</v>
      </c>
      <c r="F196">
        <v>-10</v>
      </c>
      <c r="G196">
        <v>100</v>
      </c>
      <c r="H196">
        <v>0</v>
      </c>
      <c r="I196">
        <v>0</v>
      </c>
      <c r="J196">
        <v>1740.7492</v>
      </c>
      <c r="K196" s="1">
        <v>-17407.490000000002</v>
      </c>
      <c r="L196" t="s">
        <v>179</v>
      </c>
    </row>
    <row r="197" spans="1:12" outlineLevel="2" x14ac:dyDescent="0.3">
      <c r="A197" t="s">
        <v>36</v>
      </c>
      <c r="B197" t="s">
        <v>64</v>
      </c>
      <c r="C197" t="s">
        <v>38</v>
      </c>
      <c r="D197" s="3">
        <v>42747</v>
      </c>
      <c r="E197" t="s">
        <v>44</v>
      </c>
      <c r="F197">
        <v>10</v>
      </c>
      <c r="G197">
        <v>100</v>
      </c>
      <c r="H197">
        <v>0</v>
      </c>
      <c r="I197">
        <v>0</v>
      </c>
      <c r="J197">
        <v>1740.7492</v>
      </c>
      <c r="K197" s="1">
        <v>17407.490000000002</v>
      </c>
      <c r="L197" t="s">
        <v>179</v>
      </c>
    </row>
    <row r="198" spans="1:12" outlineLevel="2" x14ac:dyDescent="0.3">
      <c r="A198" t="s">
        <v>36</v>
      </c>
      <c r="B198" t="s">
        <v>79</v>
      </c>
      <c r="C198" t="s">
        <v>63</v>
      </c>
      <c r="D198" s="3">
        <v>42747</v>
      </c>
      <c r="E198" t="s">
        <v>39</v>
      </c>
      <c r="F198">
        <v>-500</v>
      </c>
      <c r="G198">
        <v>1</v>
      </c>
      <c r="H198">
        <v>0</v>
      </c>
      <c r="I198">
        <v>0</v>
      </c>
      <c r="J198">
        <v>16.416</v>
      </c>
      <c r="K198" s="1">
        <v>-8208</v>
      </c>
      <c r="L198" t="s">
        <v>195</v>
      </c>
    </row>
    <row r="199" spans="1:12" outlineLevel="2" x14ac:dyDescent="0.3">
      <c r="A199" t="s">
        <v>36</v>
      </c>
      <c r="B199" t="s">
        <v>79</v>
      </c>
      <c r="C199" t="s">
        <v>63</v>
      </c>
      <c r="D199" s="3">
        <v>42747</v>
      </c>
      <c r="E199" t="s">
        <v>39</v>
      </c>
      <c r="F199">
        <v>-500</v>
      </c>
      <c r="G199">
        <v>1</v>
      </c>
      <c r="H199">
        <v>0</v>
      </c>
      <c r="I199">
        <v>0</v>
      </c>
      <c r="J199">
        <v>16.416</v>
      </c>
      <c r="K199" s="1">
        <v>-8208</v>
      </c>
      <c r="L199" t="s">
        <v>196</v>
      </c>
    </row>
    <row r="200" spans="1:12" outlineLevel="2" x14ac:dyDescent="0.3">
      <c r="A200" t="s">
        <v>36</v>
      </c>
      <c r="B200" t="s">
        <v>82</v>
      </c>
      <c r="C200" t="s">
        <v>38</v>
      </c>
      <c r="D200" s="3">
        <v>42747</v>
      </c>
      <c r="E200" t="s">
        <v>73</v>
      </c>
      <c r="F200">
        <v>20070.86</v>
      </c>
      <c r="G200">
        <v>1</v>
      </c>
      <c r="H200">
        <v>0</v>
      </c>
      <c r="I200">
        <v>0</v>
      </c>
      <c r="J200">
        <v>16.480599999999999</v>
      </c>
      <c r="K200" s="1">
        <v>330779.59999999998</v>
      </c>
      <c r="L200" t="s">
        <v>179</v>
      </c>
    </row>
    <row r="201" spans="1:12" outlineLevel="2" x14ac:dyDescent="0.3">
      <c r="A201" t="s">
        <v>36</v>
      </c>
      <c r="B201" t="s">
        <v>82</v>
      </c>
      <c r="C201" t="s">
        <v>38</v>
      </c>
      <c r="D201" s="3">
        <v>42747</v>
      </c>
      <c r="E201" t="s">
        <v>47</v>
      </c>
      <c r="F201">
        <v>-20070.86</v>
      </c>
      <c r="G201">
        <v>1</v>
      </c>
      <c r="H201">
        <v>0</v>
      </c>
      <c r="I201">
        <v>0</v>
      </c>
      <c r="J201">
        <v>16.480599999999999</v>
      </c>
      <c r="K201" s="1">
        <v>-330779.59999999998</v>
      </c>
      <c r="L201" t="s">
        <v>179</v>
      </c>
    </row>
    <row r="202" spans="1:12" outlineLevel="2" x14ac:dyDescent="0.3">
      <c r="A202" t="s">
        <v>36</v>
      </c>
      <c r="B202" t="s">
        <v>101</v>
      </c>
      <c r="C202" t="s">
        <v>38</v>
      </c>
      <c r="D202" s="3">
        <v>42747</v>
      </c>
      <c r="E202" t="s">
        <v>39</v>
      </c>
      <c r="F202">
        <v>-1500</v>
      </c>
      <c r="G202">
        <v>1</v>
      </c>
      <c r="H202">
        <v>0</v>
      </c>
      <c r="I202">
        <v>0</v>
      </c>
      <c r="J202">
        <v>18.8429</v>
      </c>
      <c r="K202" s="1">
        <v>-28264.29</v>
      </c>
      <c r="L202" t="s">
        <v>179</v>
      </c>
    </row>
    <row r="203" spans="1:12" outlineLevel="2" x14ac:dyDescent="0.3">
      <c r="A203" t="s">
        <v>36</v>
      </c>
      <c r="B203" t="s">
        <v>101</v>
      </c>
      <c r="C203" t="s">
        <v>38</v>
      </c>
      <c r="D203" s="3">
        <v>42747</v>
      </c>
      <c r="E203" t="s">
        <v>44</v>
      </c>
      <c r="F203">
        <v>1500</v>
      </c>
      <c r="G203">
        <v>1</v>
      </c>
      <c r="H203">
        <v>0</v>
      </c>
      <c r="I203">
        <v>0</v>
      </c>
      <c r="J203">
        <v>18.8429</v>
      </c>
      <c r="K203" s="1">
        <v>28264.29</v>
      </c>
      <c r="L203" t="s">
        <v>179</v>
      </c>
    </row>
    <row r="204" spans="1:12" outlineLevel="2" x14ac:dyDescent="0.3">
      <c r="A204" t="s">
        <v>36</v>
      </c>
      <c r="B204" t="s">
        <v>109</v>
      </c>
      <c r="C204" t="s">
        <v>38</v>
      </c>
      <c r="D204" s="3">
        <v>42747</v>
      </c>
      <c r="E204" t="s">
        <v>39</v>
      </c>
      <c r="F204">
        <v>-15000</v>
      </c>
      <c r="G204">
        <v>1</v>
      </c>
      <c r="H204">
        <v>0</v>
      </c>
      <c r="I204">
        <v>0</v>
      </c>
      <c r="J204">
        <v>18.664999999999999</v>
      </c>
      <c r="K204" s="1">
        <v>-279975</v>
      </c>
      <c r="L204" t="s">
        <v>179</v>
      </c>
    </row>
    <row r="205" spans="1:12" outlineLevel="2" x14ac:dyDescent="0.3">
      <c r="A205" t="s">
        <v>36</v>
      </c>
      <c r="B205" t="s">
        <v>109</v>
      </c>
      <c r="C205" t="s">
        <v>38</v>
      </c>
      <c r="D205" s="3">
        <v>42747</v>
      </c>
      <c r="E205" t="s">
        <v>39</v>
      </c>
      <c r="F205">
        <v>-20000</v>
      </c>
      <c r="G205">
        <v>1</v>
      </c>
      <c r="H205">
        <v>0</v>
      </c>
      <c r="I205">
        <v>0</v>
      </c>
      <c r="J205">
        <v>18.664999999999999</v>
      </c>
      <c r="K205" s="1">
        <v>-373300</v>
      </c>
      <c r="L205" t="s">
        <v>179</v>
      </c>
    </row>
    <row r="206" spans="1:12" outlineLevel="2" x14ac:dyDescent="0.3">
      <c r="A206" t="s">
        <v>36</v>
      </c>
      <c r="B206" t="s">
        <v>109</v>
      </c>
      <c r="C206" t="s">
        <v>38</v>
      </c>
      <c r="D206" s="3">
        <v>42747</v>
      </c>
      <c r="E206" t="s">
        <v>39</v>
      </c>
      <c r="F206">
        <v>-20000</v>
      </c>
      <c r="G206">
        <v>1</v>
      </c>
      <c r="H206">
        <v>0</v>
      </c>
      <c r="I206">
        <v>0</v>
      </c>
      <c r="J206">
        <v>18.664999999999999</v>
      </c>
      <c r="K206" s="1">
        <v>-373300</v>
      </c>
      <c r="L206" t="s">
        <v>179</v>
      </c>
    </row>
    <row r="207" spans="1:12" outlineLevel="2" x14ac:dyDescent="0.3">
      <c r="A207" t="s">
        <v>36</v>
      </c>
      <c r="B207" t="s">
        <v>109</v>
      </c>
      <c r="C207" t="s">
        <v>38</v>
      </c>
      <c r="D207" s="3">
        <v>42747</v>
      </c>
      <c r="E207" t="s">
        <v>39</v>
      </c>
      <c r="F207">
        <v>-7000</v>
      </c>
      <c r="G207">
        <v>1</v>
      </c>
      <c r="H207">
        <v>0</v>
      </c>
      <c r="I207">
        <v>0</v>
      </c>
      <c r="J207">
        <v>18.664999999999999</v>
      </c>
      <c r="K207" s="1">
        <v>-130655</v>
      </c>
      <c r="L207" t="s">
        <v>179</v>
      </c>
    </row>
    <row r="208" spans="1:12" outlineLevel="2" x14ac:dyDescent="0.3">
      <c r="A208" t="s">
        <v>36</v>
      </c>
      <c r="B208" t="s">
        <v>109</v>
      </c>
      <c r="C208" t="s">
        <v>38</v>
      </c>
      <c r="D208" s="3">
        <v>42747</v>
      </c>
      <c r="E208" t="s">
        <v>58</v>
      </c>
      <c r="F208">
        <v>20000</v>
      </c>
      <c r="G208">
        <v>1</v>
      </c>
      <c r="H208">
        <v>0</v>
      </c>
      <c r="I208">
        <v>0</v>
      </c>
      <c r="J208">
        <v>18.664999999999999</v>
      </c>
      <c r="K208" s="1">
        <v>373300</v>
      </c>
      <c r="L208" t="s">
        <v>179</v>
      </c>
    </row>
    <row r="209" spans="1:12" outlineLevel="2" x14ac:dyDescent="0.3">
      <c r="A209" t="s">
        <v>36</v>
      </c>
      <c r="B209" t="s">
        <v>109</v>
      </c>
      <c r="C209" t="s">
        <v>38</v>
      </c>
      <c r="D209" s="3">
        <v>42747</v>
      </c>
      <c r="E209" t="s">
        <v>110</v>
      </c>
      <c r="F209">
        <v>15000</v>
      </c>
      <c r="G209">
        <v>1</v>
      </c>
      <c r="H209">
        <v>0</v>
      </c>
      <c r="I209">
        <v>0</v>
      </c>
      <c r="J209">
        <v>18.664999999999999</v>
      </c>
      <c r="K209" s="1">
        <v>279975</v>
      </c>
      <c r="L209" t="s">
        <v>179</v>
      </c>
    </row>
    <row r="210" spans="1:12" outlineLevel="2" x14ac:dyDescent="0.3">
      <c r="A210" t="s">
        <v>36</v>
      </c>
      <c r="B210" t="s">
        <v>109</v>
      </c>
      <c r="C210" t="s">
        <v>38</v>
      </c>
      <c r="D210" s="3">
        <v>42747</v>
      </c>
      <c r="E210" t="s">
        <v>44</v>
      </c>
      <c r="F210">
        <v>7000</v>
      </c>
      <c r="G210">
        <v>1</v>
      </c>
      <c r="H210">
        <v>0</v>
      </c>
      <c r="I210">
        <v>0</v>
      </c>
      <c r="J210">
        <v>18.664999999999999</v>
      </c>
      <c r="K210" s="1">
        <v>130655</v>
      </c>
      <c r="L210" t="s">
        <v>179</v>
      </c>
    </row>
    <row r="211" spans="1:12" outlineLevel="2" x14ac:dyDescent="0.3">
      <c r="A211" t="s">
        <v>36</v>
      </c>
      <c r="B211" t="s">
        <v>109</v>
      </c>
      <c r="C211" t="s">
        <v>38</v>
      </c>
      <c r="D211" s="3">
        <v>42747</v>
      </c>
      <c r="E211" t="s">
        <v>45</v>
      </c>
      <c r="F211">
        <v>20000</v>
      </c>
      <c r="G211">
        <v>1</v>
      </c>
      <c r="H211">
        <v>0</v>
      </c>
      <c r="I211">
        <v>0</v>
      </c>
      <c r="J211">
        <v>18.664999999999999</v>
      </c>
      <c r="K211" s="1">
        <v>373300</v>
      </c>
      <c r="L211" t="s">
        <v>179</v>
      </c>
    </row>
    <row r="212" spans="1:12" outlineLevel="2" x14ac:dyDescent="0.3">
      <c r="A212" t="s">
        <v>36</v>
      </c>
      <c r="B212" t="s">
        <v>125</v>
      </c>
      <c r="C212" t="s">
        <v>38</v>
      </c>
      <c r="D212" s="3">
        <v>42747</v>
      </c>
      <c r="E212" t="s">
        <v>39</v>
      </c>
      <c r="F212">
        <v>-500</v>
      </c>
      <c r="G212">
        <v>1</v>
      </c>
      <c r="H212">
        <v>0</v>
      </c>
      <c r="I212">
        <v>0</v>
      </c>
      <c r="J212">
        <v>19.293299999999999</v>
      </c>
      <c r="K212" s="1">
        <v>-9646.66</v>
      </c>
      <c r="L212" t="s">
        <v>179</v>
      </c>
    </row>
    <row r="213" spans="1:12" outlineLevel="2" x14ac:dyDescent="0.3">
      <c r="A213" t="s">
        <v>36</v>
      </c>
      <c r="B213" t="s">
        <v>125</v>
      </c>
      <c r="C213" t="s">
        <v>38</v>
      </c>
      <c r="D213" s="3">
        <v>42747</v>
      </c>
      <c r="E213" t="s">
        <v>44</v>
      </c>
      <c r="F213">
        <v>500</v>
      </c>
      <c r="G213">
        <v>1</v>
      </c>
      <c r="H213">
        <v>0</v>
      </c>
      <c r="I213">
        <v>0</v>
      </c>
      <c r="J213">
        <v>19.293299999999999</v>
      </c>
      <c r="K213" s="1">
        <v>9646.66</v>
      </c>
      <c r="L213" t="s">
        <v>179</v>
      </c>
    </row>
    <row r="214" spans="1:12" outlineLevel="2" x14ac:dyDescent="0.3">
      <c r="A214" t="s">
        <v>36</v>
      </c>
      <c r="B214" t="s">
        <v>126</v>
      </c>
      <c r="C214" t="s">
        <v>38</v>
      </c>
      <c r="D214" s="3">
        <v>42747</v>
      </c>
      <c r="E214" t="s">
        <v>39</v>
      </c>
      <c r="F214">
        <v>20000</v>
      </c>
      <c r="G214">
        <v>1</v>
      </c>
      <c r="H214">
        <v>0</v>
      </c>
      <c r="I214">
        <v>0</v>
      </c>
      <c r="J214">
        <v>18.399999999999999</v>
      </c>
      <c r="K214" s="1">
        <v>368000</v>
      </c>
      <c r="L214" t="s">
        <v>179</v>
      </c>
    </row>
    <row r="215" spans="1:12" outlineLevel="2" x14ac:dyDescent="0.3">
      <c r="A215" t="s">
        <v>36</v>
      </c>
      <c r="B215" t="s">
        <v>126</v>
      </c>
      <c r="C215" t="s">
        <v>38</v>
      </c>
      <c r="D215" s="3">
        <v>42747</v>
      </c>
      <c r="E215" t="s">
        <v>39</v>
      </c>
      <c r="F215">
        <v>-1500</v>
      </c>
      <c r="G215">
        <v>1</v>
      </c>
      <c r="H215">
        <v>0</v>
      </c>
      <c r="I215">
        <v>0</v>
      </c>
      <c r="J215">
        <v>18.399999999999999</v>
      </c>
      <c r="K215" s="1">
        <v>-27600</v>
      </c>
      <c r="L215" t="s">
        <v>179</v>
      </c>
    </row>
    <row r="216" spans="1:12" outlineLevel="2" x14ac:dyDescent="0.3">
      <c r="A216" t="s">
        <v>36</v>
      </c>
      <c r="B216" t="s">
        <v>126</v>
      </c>
      <c r="C216" t="s">
        <v>38</v>
      </c>
      <c r="D216" s="3">
        <v>42747</v>
      </c>
      <c r="E216" t="s">
        <v>39</v>
      </c>
      <c r="F216">
        <v>-3000</v>
      </c>
      <c r="G216">
        <v>1</v>
      </c>
      <c r="H216">
        <v>0</v>
      </c>
      <c r="I216">
        <v>0</v>
      </c>
      <c r="J216">
        <v>18.399999999999999</v>
      </c>
      <c r="K216" s="1">
        <v>-55200</v>
      </c>
      <c r="L216" t="s">
        <v>179</v>
      </c>
    </row>
    <row r="217" spans="1:12" outlineLevel="2" x14ac:dyDescent="0.3">
      <c r="A217" t="s">
        <v>36</v>
      </c>
      <c r="B217" t="s">
        <v>126</v>
      </c>
      <c r="C217" t="s">
        <v>38</v>
      </c>
      <c r="D217" s="3">
        <v>42747</v>
      </c>
      <c r="E217" t="s">
        <v>110</v>
      </c>
      <c r="F217">
        <v>1500</v>
      </c>
      <c r="G217">
        <v>1</v>
      </c>
      <c r="H217">
        <v>0</v>
      </c>
      <c r="I217">
        <v>0</v>
      </c>
      <c r="J217">
        <v>18.399999999999999</v>
      </c>
      <c r="K217" s="1">
        <v>27600</v>
      </c>
      <c r="L217" t="s">
        <v>179</v>
      </c>
    </row>
    <row r="218" spans="1:12" outlineLevel="2" x14ac:dyDescent="0.3">
      <c r="A218" t="s">
        <v>36</v>
      </c>
      <c r="B218" t="s">
        <v>126</v>
      </c>
      <c r="C218" t="s">
        <v>38</v>
      </c>
      <c r="D218" s="3">
        <v>42747</v>
      </c>
      <c r="E218" t="s">
        <v>44</v>
      </c>
      <c r="F218">
        <v>3000</v>
      </c>
      <c r="G218">
        <v>1</v>
      </c>
      <c r="H218">
        <v>0</v>
      </c>
      <c r="I218">
        <v>0</v>
      </c>
      <c r="J218">
        <v>18.399999999999999</v>
      </c>
      <c r="K218" s="1">
        <v>55200</v>
      </c>
      <c r="L218" t="s">
        <v>179</v>
      </c>
    </row>
    <row r="219" spans="1:12" outlineLevel="2" x14ac:dyDescent="0.3">
      <c r="A219" t="s">
        <v>36</v>
      </c>
      <c r="B219" t="s">
        <v>126</v>
      </c>
      <c r="C219" t="s">
        <v>38</v>
      </c>
      <c r="D219" s="3">
        <v>42747</v>
      </c>
      <c r="E219" t="s">
        <v>76</v>
      </c>
      <c r="F219">
        <v>-20000</v>
      </c>
      <c r="G219">
        <v>1</v>
      </c>
      <c r="H219">
        <v>0</v>
      </c>
      <c r="I219">
        <v>0</v>
      </c>
      <c r="J219">
        <v>18.399999999999999</v>
      </c>
      <c r="K219" s="1">
        <v>-368000</v>
      </c>
      <c r="L219" t="s">
        <v>179</v>
      </c>
    </row>
    <row r="220" spans="1:12" outlineLevel="2" x14ac:dyDescent="0.3">
      <c r="A220" t="s">
        <v>36</v>
      </c>
      <c r="B220" t="s">
        <v>128</v>
      </c>
      <c r="C220" t="s">
        <v>38</v>
      </c>
      <c r="D220" s="3">
        <v>42747</v>
      </c>
      <c r="E220" t="s">
        <v>39</v>
      </c>
      <c r="F220">
        <v>-50</v>
      </c>
      <c r="G220">
        <v>100</v>
      </c>
      <c r="H220">
        <v>0</v>
      </c>
      <c r="I220">
        <v>0</v>
      </c>
      <c r="J220">
        <v>1820.5327</v>
      </c>
      <c r="K220" s="1">
        <v>-91026.64</v>
      </c>
      <c r="L220" t="s">
        <v>179</v>
      </c>
    </row>
    <row r="221" spans="1:12" outlineLevel="2" x14ac:dyDescent="0.3">
      <c r="A221" t="s">
        <v>36</v>
      </c>
      <c r="B221" t="s">
        <v>128</v>
      </c>
      <c r="C221" t="s">
        <v>38</v>
      </c>
      <c r="D221" s="3">
        <v>42747</v>
      </c>
      <c r="E221" t="s">
        <v>45</v>
      </c>
      <c r="F221">
        <v>50</v>
      </c>
      <c r="G221">
        <v>100</v>
      </c>
      <c r="H221">
        <v>0</v>
      </c>
      <c r="I221">
        <v>0</v>
      </c>
      <c r="J221">
        <v>1820.5327</v>
      </c>
      <c r="K221" s="1">
        <v>91026.64</v>
      </c>
      <c r="L221" t="s">
        <v>179</v>
      </c>
    </row>
    <row r="222" spans="1:12" outlineLevel="2" x14ac:dyDescent="0.3">
      <c r="A222" t="s">
        <v>36</v>
      </c>
      <c r="B222" t="s">
        <v>132</v>
      </c>
      <c r="C222" t="s">
        <v>38</v>
      </c>
      <c r="D222" s="3">
        <v>42747</v>
      </c>
      <c r="E222" t="s">
        <v>39</v>
      </c>
      <c r="F222">
        <v>-60</v>
      </c>
      <c r="G222">
        <v>1</v>
      </c>
      <c r="H222">
        <v>0</v>
      </c>
      <c r="I222">
        <v>0</v>
      </c>
      <c r="J222">
        <v>18.284800000000001</v>
      </c>
      <c r="K222" s="1">
        <v>-1097.0899999999999</v>
      </c>
      <c r="L222" t="s">
        <v>179</v>
      </c>
    </row>
    <row r="223" spans="1:12" outlineLevel="2" x14ac:dyDescent="0.3">
      <c r="A223" t="s">
        <v>36</v>
      </c>
      <c r="B223" t="s">
        <v>132</v>
      </c>
      <c r="C223" t="s">
        <v>38</v>
      </c>
      <c r="D223" s="3">
        <v>42747</v>
      </c>
      <c r="E223" t="s">
        <v>110</v>
      </c>
      <c r="F223">
        <v>60</v>
      </c>
      <c r="G223">
        <v>1</v>
      </c>
      <c r="H223">
        <v>0</v>
      </c>
      <c r="I223">
        <v>0</v>
      </c>
      <c r="J223">
        <v>18.284800000000001</v>
      </c>
      <c r="K223" s="1">
        <v>1097.0899999999999</v>
      </c>
      <c r="L223" t="s">
        <v>179</v>
      </c>
    </row>
    <row r="224" spans="1:12" outlineLevel="2" x14ac:dyDescent="0.3">
      <c r="A224" t="s">
        <v>36</v>
      </c>
      <c r="B224" t="s">
        <v>136</v>
      </c>
      <c r="C224" t="s">
        <v>38</v>
      </c>
      <c r="D224" s="3">
        <v>42747</v>
      </c>
      <c r="E224" t="s">
        <v>39</v>
      </c>
      <c r="F224">
        <v>-250</v>
      </c>
      <c r="G224">
        <v>1</v>
      </c>
      <c r="H224">
        <v>0</v>
      </c>
      <c r="I224">
        <v>0</v>
      </c>
      <c r="J224">
        <v>17.864799999999999</v>
      </c>
      <c r="K224" s="1">
        <v>-4466.2</v>
      </c>
      <c r="L224" t="s">
        <v>179</v>
      </c>
    </row>
    <row r="225" spans="1:12" outlineLevel="2" x14ac:dyDescent="0.3">
      <c r="A225" t="s">
        <v>36</v>
      </c>
      <c r="B225" t="s">
        <v>136</v>
      </c>
      <c r="C225" t="s">
        <v>38</v>
      </c>
      <c r="D225" s="3">
        <v>42747</v>
      </c>
      <c r="E225" t="s">
        <v>110</v>
      </c>
      <c r="F225">
        <v>250</v>
      </c>
      <c r="G225">
        <v>1</v>
      </c>
      <c r="H225">
        <v>0</v>
      </c>
      <c r="I225">
        <v>0</v>
      </c>
      <c r="J225">
        <v>17.864799999999999</v>
      </c>
      <c r="K225" s="1">
        <v>4466.2</v>
      </c>
      <c r="L225" t="s">
        <v>179</v>
      </c>
    </row>
    <row r="226" spans="1:12" outlineLevel="2" x14ac:dyDescent="0.3">
      <c r="A226" t="s">
        <v>36</v>
      </c>
      <c r="B226" t="s">
        <v>138</v>
      </c>
      <c r="C226" t="s">
        <v>38</v>
      </c>
      <c r="D226" s="3">
        <v>42747</v>
      </c>
      <c r="E226" t="s">
        <v>39</v>
      </c>
      <c r="F226">
        <v>-100</v>
      </c>
      <c r="G226">
        <v>1</v>
      </c>
      <c r="H226">
        <v>0</v>
      </c>
      <c r="I226">
        <v>0</v>
      </c>
      <c r="J226">
        <v>19.145099999999999</v>
      </c>
      <c r="K226" s="1">
        <v>-1914.51</v>
      </c>
      <c r="L226" t="s">
        <v>179</v>
      </c>
    </row>
    <row r="227" spans="1:12" outlineLevel="2" x14ac:dyDescent="0.3">
      <c r="A227" t="s">
        <v>36</v>
      </c>
      <c r="B227" t="s">
        <v>138</v>
      </c>
      <c r="C227" t="s">
        <v>38</v>
      </c>
      <c r="D227" s="3">
        <v>42747</v>
      </c>
      <c r="E227" t="s">
        <v>44</v>
      </c>
      <c r="F227">
        <v>100</v>
      </c>
      <c r="G227">
        <v>1</v>
      </c>
      <c r="H227">
        <v>0</v>
      </c>
      <c r="I227">
        <v>0</v>
      </c>
      <c r="J227">
        <v>19.145099999999999</v>
      </c>
      <c r="K227" s="1">
        <v>1914.51</v>
      </c>
      <c r="L227" t="s">
        <v>179</v>
      </c>
    </row>
    <row r="228" spans="1:12" outlineLevel="2" x14ac:dyDescent="0.3">
      <c r="A228" t="s">
        <v>36</v>
      </c>
      <c r="B228" t="s">
        <v>140</v>
      </c>
      <c r="C228" t="s">
        <v>38</v>
      </c>
      <c r="D228" s="3">
        <v>42747</v>
      </c>
      <c r="E228" t="s">
        <v>39</v>
      </c>
      <c r="F228">
        <v>-200</v>
      </c>
      <c r="G228">
        <v>1</v>
      </c>
      <c r="H228">
        <v>0</v>
      </c>
      <c r="I228">
        <v>0</v>
      </c>
      <c r="J228">
        <v>18.1096</v>
      </c>
      <c r="K228" s="1">
        <v>-3621.92</v>
      </c>
      <c r="L228" t="s">
        <v>179</v>
      </c>
    </row>
    <row r="229" spans="1:12" outlineLevel="2" x14ac:dyDescent="0.3">
      <c r="A229" t="s">
        <v>36</v>
      </c>
      <c r="B229" t="s">
        <v>140</v>
      </c>
      <c r="C229" t="s">
        <v>38</v>
      </c>
      <c r="D229" s="3">
        <v>42747</v>
      </c>
      <c r="E229" t="s">
        <v>44</v>
      </c>
      <c r="F229">
        <v>200</v>
      </c>
      <c r="G229">
        <v>1</v>
      </c>
      <c r="H229">
        <v>0</v>
      </c>
      <c r="I229">
        <v>0</v>
      </c>
      <c r="J229">
        <v>18.1096</v>
      </c>
      <c r="K229" s="1">
        <v>3621.92</v>
      </c>
      <c r="L229" t="s">
        <v>179</v>
      </c>
    </row>
    <row r="230" spans="1:12" outlineLevel="2" x14ac:dyDescent="0.3">
      <c r="A230" t="s">
        <v>36</v>
      </c>
      <c r="B230" t="s">
        <v>154</v>
      </c>
      <c r="C230" t="s">
        <v>38</v>
      </c>
      <c r="D230" s="3">
        <v>42747</v>
      </c>
      <c r="E230" t="s">
        <v>39</v>
      </c>
      <c r="F230">
        <v>-900</v>
      </c>
      <c r="G230">
        <v>0.96450000000000002</v>
      </c>
      <c r="H230">
        <v>0</v>
      </c>
      <c r="I230">
        <v>0</v>
      </c>
      <c r="J230">
        <v>21.89</v>
      </c>
      <c r="K230" s="1">
        <v>-19700.97</v>
      </c>
      <c r="L230" t="s">
        <v>179</v>
      </c>
    </row>
    <row r="231" spans="1:12" outlineLevel="2" x14ac:dyDescent="0.3">
      <c r="A231" t="s">
        <v>36</v>
      </c>
      <c r="B231" t="s">
        <v>154</v>
      </c>
      <c r="C231" t="s">
        <v>38</v>
      </c>
      <c r="D231" s="3">
        <v>42747</v>
      </c>
      <c r="E231" t="s">
        <v>110</v>
      </c>
      <c r="F231">
        <v>900</v>
      </c>
      <c r="G231">
        <v>0.96450000000000002</v>
      </c>
      <c r="H231">
        <v>0</v>
      </c>
      <c r="I231">
        <v>0</v>
      </c>
      <c r="J231">
        <v>21.89</v>
      </c>
      <c r="K231" s="1">
        <v>19700.97</v>
      </c>
      <c r="L231" t="s">
        <v>179</v>
      </c>
    </row>
    <row r="232" spans="1:12" outlineLevel="2" x14ac:dyDescent="0.3">
      <c r="A232" t="s">
        <v>36</v>
      </c>
      <c r="B232" t="s">
        <v>159</v>
      </c>
      <c r="C232" t="s">
        <v>38</v>
      </c>
      <c r="D232" s="3">
        <v>42747</v>
      </c>
      <c r="E232" t="s">
        <v>39</v>
      </c>
      <c r="F232">
        <v>-100</v>
      </c>
      <c r="G232">
        <v>1</v>
      </c>
      <c r="H232">
        <v>0</v>
      </c>
      <c r="I232">
        <v>0</v>
      </c>
      <c r="J232">
        <v>19.8081</v>
      </c>
      <c r="K232" s="1">
        <v>-1980.81</v>
      </c>
      <c r="L232" t="s">
        <v>179</v>
      </c>
    </row>
    <row r="233" spans="1:12" outlineLevel="2" x14ac:dyDescent="0.3">
      <c r="A233" t="s">
        <v>36</v>
      </c>
      <c r="B233" t="s">
        <v>159</v>
      </c>
      <c r="C233" t="s">
        <v>38</v>
      </c>
      <c r="D233" s="3">
        <v>42747</v>
      </c>
      <c r="E233" t="s">
        <v>44</v>
      </c>
      <c r="F233">
        <v>100</v>
      </c>
      <c r="G233">
        <v>1</v>
      </c>
      <c r="H233">
        <v>0</v>
      </c>
      <c r="I233">
        <v>0</v>
      </c>
      <c r="J233">
        <v>19.8081</v>
      </c>
      <c r="K233" s="1">
        <v>1980.81</v>
      </c>
      <c r="L233" t="s">
        <v>179</v>
      </c>
    </row>
    <row r="234" spans="1:12" outlineLevel="2" x14ac:dyDescent="0.3">
      <c r="A234" t="s">
        <v>36</v>
      </c>
      <c r="B234" t="s">
        <v>160</v>
      </c>
      <c r="C234" t="s">
        <v>38</v>
      </c>
      <c r="D234" s="3">
        <v>42747</v>
      </c>
      <c r="E234" t="s">
        <v>39</v>
      </c>
      <c r="F234">
        <v>-500</v>
      </c>
      <c r="G234">
        <v>1</v>
      </c>
      <c r="H234">
        <v>0</v>
      </c>
      <c r="I234">
        <v>0</v>
      </c>
      <c r="J234">
        <v>18.010000000000002</v>
      </c>
      <c r="K234" s="1">
        <v>-9005</v>
      </c>
      <c r="L234" t="s">
        <v>179</v>
      </c>
    </row>
    <row r="235" spans="1:12" outlineLevel="2" x14ac:dyDescent="0.3">
      <c r="A235" t="s">
        <v>36</v>
      </c>
      <c r="B235" t="s">
        <v>160</v>
      </c>
      <c r="C235" t="s">
        <v>38</v>
      </c>
      <c r="D235" s="3">
        <v>42747</v>
      </c>
      <c r="E235" t="s">
        <v>39</v>
      </c>
      <c r="F235">
        <v>-200</v>
      </c>
      <c r="G235">
        <v>1</v>
      </c>
      <c r="H235">
        <v>0</v>
      </c>
      <c r="I235">
        <v>0</v>
      </c>
      <c r="J235">
        <v>18.010000000000002</v>
      </c>
      <c r="K235" s="1">
        <v>-3602</v>
      </c>
      <c r="L235" t="s">
        <v>179</v>
      </c>
    </row>
    <row r="236" spans="1:12" outlineLevel="2" x14ac:dyDescent="0.3">
      <c r="A236" t="s">
        <v>36</v>
      </c>
      <c r="B236" t="s">
        <v>160</v>
      </c>
      <c r="C236" t="s">
        <v>38</v>
      </c>
      <c r="D236" s="3">
        <v>42747</v>
      </c>
      <c r="E236" t="s">
        <v>110</v>
      </c>
      <c r="F236">
        <v>500</v>
      </c>
      <c r="G236">
        <v>1</v>
      </c>
      <c r="H236">
        <v>0</v>
      </c>
      <c r="I236">
        <v>0</v>
      </c>
      <c r="J236">
        <v>18.010000000000002</v>
      </c>
      <c r="K236" s="1">
        <v>9005</v>
      </c>
      <c r="L236" t="s">
        <v>179</v>
      </c>
    </row>
    <row r="237" spans="1:12" outlineLevel="2" x14ac:dyDescent="0.3">
      <c r="A237" t="s">
        <v>36</v>
      </c>
      <c r="B237" t="s">
        <v>160</v>
      </c>
      <c r="C237" t="s">
        <v>38</v>
      </c>
      <c r="D237" s="3">
        <v>42747</v>
      </c>
      <c r="E237" t="s">
        <v>44</v>
      </c>
      <c r="F237">
        <v>200</v>
      </c>
      <c r="G237">
        <v>1</v>
      </c>
      <c r="H237">
        <v>0</v>
      </c>
      <c r="I237">
        <v>0</v>
      </c>
      <c r="J237">
        <v>18.010000000000002</v>
      </c>
      <c r="K237" s="1">
        <v>3602</v>
      </c>
      <c r="L237" t="s">
        <v>179</v>
      </c>
    </row>
    <row r="238" spans="1:12" outlineLevel="2" x14ac:dyDescent="0.3">
      <c r="A238" t="s">
        <v>36</v>
      </c>
      <c r="B238" t="s">
        <v>162</v>
      </c>
      <c r="C238" t="s">
        <v>38</v>
      </c>
      <c r="D238" s="3">
        <v>42747</v>
      </c>
      <c r="E238" t="s">
        <v>39</v>
      </c>
      <c r="F238">
        <v>-16</v>
      </c>
      <c r="G238">
        <v>32.151000000000003</v>
      </c>
      <c r="H238">
        <v>0</v>
      </c>
      <c r="I238">
        <v>0</v>
      </c>
      <c r="J238">
        <v>496.73059999999998</v>
      </c>
      <c r="K238" s="1">
        <v>-7947.69</v>
      </c>
      <c r="L238" t="s">
        <v>179</v>
      </c>
    </row>
    <row r="239" spans="1:12" outlineLevel="2" x14ac:dyDescent="0.3">
      <c r="A239" t="s">
        <v>36</v>
      </c>
      <c r="B239" t="s">
        <v>162</v>
      </c>
      <c r="C239" t="s">
        <v>38</v>
      </c>
      <c r="D239" s="3">
        <v>42747</v>
      </c>
      <c r="E239" t="s">
        <v>45</v>
      </c>
      <c r="F239">
        <v>16</v>
      </c>
      <c r="G239">
        <v>32.151000000000003</v>
      </c>
      <c r="H239">
        <v>0</v>
      </c>
      <c r="I239">
        <v>0</v>
      </c>
      <c r="J239">
        <v>496.73059999999998</v>
      </c>
      <c r="K239" s="1">
        <v>7947.69</v>
      </c>
      <c r="L239" t="s">
        <v>179</v>
      </c>
    </row>
    <row r="240" spans="1:12" outlineLevel="1" x14ac:dyDescent="0.3">
      <c r="D240" s="7" t="s">
        <v>276</v>
      </c>
      <c r="K240" s="1">
        <f>SUM(K190:K239)</f>
        <v>0</v>
      </c>
    </row>
    <row r="241" spans="1:12" outlineLevel="2" x14ac:dyDescent="0.3">
      <c r="A241" t="s">
        <v>36</v>
      </c>
      <c r="B241" t="s">
        <v>37</v>
      </c>
      <c r="C241" t="s">
        <v>40</v>
      </c>
      <c r="D241" s="3">
        <v>42748</v>
      </c>
      <c r="E241" t="s">
        <v>39</v>
      </c>
      <c r="F241">
        <v>40</v>
      </c>
      <c r="G241">
        <v>1</v>
      </c>
      <c r="H241">
        <v>0</v>
      </c>
      <c r="I241">
        <v>0</v>
      </c>
      <c r="J241">
        <v>16.414999999999999</v>
      </c>
      <c r="K241" s="1">
        <v>656.6</v>
      </c>
      <c r="L241" t="s">
        <v>180</v>
      </c>
    </row>
    <row r="242" spans="1:12" outlineLevel="2" x14ac:dyDescent="0.3">
      <c r="A242" t="s">
        <v>36</v>
      </c>
      <c r="B242" t="s">
        <v>79</v>
      </c>
      <c r="C242" t="s">
        <v>63</v>
      </c>
      <c r="D242" s="3">
        <v>42748</v>
      </c>
      <c r="E242" t="s">
        <v>39</v>
      </c>
      <c r="F242">
        <v>-40</v>
      </c>
      <c r="G242">
        <v>1</v>
      </c>
      <c r="H242">
        <v>0</v>
      </c>
      <c r="I242">
        <v>0</v>
      </c>
      <c r="J242">
        <v>16.414899999999999</v>
      </c>
      <c r="K242" s="1">
        <v>-656.6</v>
      </c>
      <c r="L242" t="s">
        <v>180</v>
      </c>
    </row>
    <row r="243" spans="1:12" outlineLevel="2" x14ac:dyDescent="0.3">
      <c r="A243" t="s">
        <v>36</v>
      </c>
      <c r="B243" t="s">
        <v>109</v>
      </c>
      <c r="C243" t="s">
        <v>38</v>
      </c>
      <c r="D243" s="3">
        <v>42748</v>
      </c>
      <c r="E243" t="s">
        <v>39</v>
      </c>
      <c r="F243">
        <v>-25000</v>
      </c>
      <c r="G243">
        <v>1</v>
      </c>
      <c r="H243">
        <v>0</v>
      </c>
      <c r="I243">
        <v>0</v>
      </c>
      <c r="J243">
        <v>18.664999999999999</v>
      </c>
      <c r="K243" s="1">
        <v>-466625</v>
      </c>
      <c r="L243" t="s">
        <v>245</v>
      </c>
    </row>
    <row r="244" spans="1:12" outlineLevel="2" x14ac:dyDescent="0.3">
      <c r="A244" t="s">
        <v>36</v>
      </c>
      <c r="B244" t="s">
        <v>109</v>
      </c>
      <c r="C244" t="s">
        <v>38</v>
      </c>
      <c r="D244" s="3">
        <v>42748</v>
      </c>
      <c r="E244" t="s">
        <v>56</v>
      </c>
      <c r="F244">
        <v>25000</v>
      </c>
      <c r="G244">
        <v>1</v>
      </c>
      <c r="H244">
        <v>0</v>
      </c>
      <c r="I244">
        <v>0</v>
      </c>
      <c r="J244">
        <v>18.664999999999999</v>
      </c>
      <c r="K244" s="1">
        <v>466625</v>
      </c>
      <c r="L244" t="s">
        <v>245</v>
      </c>
    </row>
    <row r="245" spans="1:12" outlineLevel="2" x14ac:dyDescent="0.3">
      <c r="A245" t="s">
        <v>36</v>
      </c>
      <c r="B245" t="s">
        <v>136</v>
      </c>
      <c r="C245" t="s">
        <v>38</v>
      </c>
      <c r="D245" s="3">
        <v>42748</v>
      </c>
      <c r="E245" t="s">
        <v>39</v>
      </c>
      <c r="F245">
        <v>-500</v>
      </c>
      <c r="G245">
        <v>1</v>
      </c>
      <c r="H245">
        <v>0</v>
      </c>
      <c r="I245">
        <v>0</v>
      </c>
      <c r="J245">
        <v>17.864799999999999</v>
      </c>
      <c r="K245" s="1">
        <v>-8932.4</v>
      </c>
      <c r="L245" t="s">
        <v>257</v>
      </c>
    </row>
    <row r="246" spans="1:12" outlineLevel="2" x14ac:dyDescent="0.3">
      <c r="A246" t="s">
        <v>36</v>
      </c>
      <c r="B246" t="s">
        <v>136</v>
      </c>
      <c r="C246" t="s">
        <v>38</v>
      </c>
      <c r="D246" s="3">
        <v>42748</v>
      </c>
      <c r="E246" t="s">
        <v>44</v>
      </c>
      <c r="F246">
        <v>500</v>
      </c>
      <c r="G246">
        <v>1</v>
      </c>
      <c r="H246">
        <v>0</v>
      </c>
      <c r="I246">
        <v>0</v>
      </c>
      <c r="J246">
        <v>17.864799999999999</v>
      </c>
      <c r="K246" s="1">
        <v>8932.4</v>
      </c>
      <c r="L246" t="s">
        <v>257</v>
      </c>
    </row>
    <row r="247" spans="1:12" outlineLevel="2" x14ac:dyDescent="0.3">
      <c r="A247" t="s">
        <v>36</v>
      </c>
      <c r="B247" t="s">
        <v>160</v>
      </c>
      <c r="C247" t="s">
        <v>38</v>
      </c>
      <c r="D247" s="3">
        <v>42748</v>
      </c>
      <c r="E247" t="s">
        <v>39</v>
      </c>
      <c r="F247">
        <v>-1000</v>
      </c>
      <c r="G247">
        <v>1</v>
      </c>
      <c r="H247">
        <v>0</v>
      </c>
      <c r="I247">
        <v>0</v>
      </c>
      <c r="J247">
        <v>18.010000000000002</v>
      </c>
      <c r="K247" s="1">
        <v>-18010</v>
      </c>
      <c r="L247" t="s">
        <v>267</v>
      </c>
    </row>
    <row r="248" spans="1:12" outlineLevel="2" x14ac:dyDescent="0.3">
      <c r="A248" t="s">
        <v>36</v>
      </c>
      <c r="B248" t="s">
        <v>160</v>
      </c>
      <c r="C248" t="s">
        <v>38</v>
      </c>
      <c r="D248" s="3">
        <v>42748</v>
      </c>
      <c r="E248" t="s">
        <v>56</v>
      </c>
      <c r="F248">
        <v>1000</v>
      </c>
      <c r="G248">
        <v>1</v>
      </c>
      <c r="H248">
        <v>0</v>
      </c>
      <c r="I248">
        <v>0</v>
      </c>
      <c r="J248">
        <v>18.010000000000002</v>
      </c>
      <c r="K248" s="1">
        <v>18010</v>
      </c>
      <c r="L248" t="s">
        <v>267</v>
      </c>
    </row>
    <row r="249" spans="1:12" outlineLevel="1" x14ac:dyDescent="0.3">
      <c r="D249" s="7" t="s">
        <v>277</v>
      </c>
      <c r="K249" s="1">
        <f>SUM(K241:K248)</f>
        <v>0</v>
      </c>
    </row>
    <row r="250" spans="1:12" outlineLevel="2" x14ac:dyDescent="0.3">
      <c r="A250" t="s">
        <v>36</v>
      </c>
      <c r="B250" t="s">
        <v>57</v>
      </c>
      <c r="C250" t="s">
        <v>40</v>
      </c>
      <c r="D250" s="3">
        <v>42751</v>
      </c>
      <c r="E250" t="s">
        <v>51</v>
      </c>
      <c r="F250">
        <v>30000</v>
      </c>
      <c r="G250">
        <v>1</v>
      </c>
      <c r="H250">
        <v>0</v>
      </c>
      <c r="I250">
        <v>0</v>
      </c>
      <c r="J250">
        <v>16.480599999999999</v>
      </c>
      <c r="K250" s="1">
        <v>494418</v>
      </c>
      <c r="L250" t="s">
        <v>189</v>
      </c>
    </row>
    <row r="251" spans="1:12" outlineLevel="2" x14ac:dyDescent="0.3">
      <c r="A251" t="s">
        <v>36</v>
      </c>
      <c r="B251" t="s">
        <v>82</v>
      </c>
      <c r="C251" t="s">
        <v>38</v>
      </c>
      <c r="D251" s="3">
        <v>42751</v>
      </c>
      <c r="E251" t="s">
        <v>73</v>
      </c>
      <c r="F251">
        <v>-20000</v>
      </c>
      <c r="G251">
        <v>1</v>
      </c>
      <c r="H251">
        <v>0</v>
      </c>
      <c r="I251">
        <v>0</v>
      </c>
      <c r="J251">
        <v>16.480599999999999</v>
      </c>
      <c r="K251" s="1">
        <v>-329611.78999999998</v>
      </c>
      <c r="L251" t="s">
        <v>225</v>
      </c>
    </row>
    <row r="252" spans="1:12" outlineLevel="2" x14ac:dyDescent="0.3">
      <c r="A252" t="s">
        <v>36</v>
      </c>
      <c r="B252" t="s">
        <v>82</v>
      </c>
      <c r="C252" t="s">
        <v>38</v>
      </c>
      <c r="D252" s="3">
        <v>42751</v>
      </c>
      <c r="E252" t="s">
        <v>73</v>
      </c>
      <c r="F252">
        <v>-70.86</v>
      </c>
      <c r="G252">
        <v>1</v>
      </c>
      <c r="H252">
        <v>0</v>
      </c>
      <c r="I252">
        <v>0</v>
      </c>
      <c r="J252">
        <v>16.480499999999999</v>
      </c>
      <c r="K252" s="1">
        <v>-1167.81</v>
      </c>
      <c r="L252" t="s">
        <v>225</v>
      </c>
    </row>
    <row r="253" spans="1:12" outlineLevel="2" x14ac:dyDescent="0.3">
      <c r="A253" t="s">
        <v>36</v>
      </c>
      <c r="B253" t="s">
        <v>82</v>
      </c>
      <c r="C253" t="s">
        <v>38</v>
      </c>
      <c r="D253" s="3">
        <v>42751</v>
      </c>
      <c r="E253" t="s">
        <v>74</v>
      </c>
      <c r="F253">
        <v>70.86</v>
      </c>
      <c r="G253">
        <v>1</v>
      </c>
      <c r="H253">
        <v>0</v>
      </c>
      <c r="I253">
        <v>0</v>
      </c>
      <c r="J253">
        <v>16.480499999999999</v>
      </c>
      <c r="K253" s="1">
        <v>1167.81</v>
      </c>
      <c r="L253" t="s">
        <v>225</v>
      </c>
    </row>
    <row r="254" spans="1:12" outlineLevel="2" x14ac:dyDescent="0.3">
      <c r="A254" t="s">
        <v>36</v>
      </c>
      <c r="B254" t="s">
        <v>82</v>
      </c>
      <c r="C254" t="s">
        <v>63</v>
      </c>
      <c r="D254" s="3">
        <v>42751</v>
      </c>
      <c r="E254" t="s">
        <v>51</v>
      </c>
      <c r="F254">
        <v>-30000</v>
      </c>
      <c r="G254">
        <v>1</v>
      </c>
      <c r="H254">
        <v>0</v>
      </c>
      <c r="I254">
        <v>0</v>
      </c>
      <c r="J254">
        <v>16.0806</v>
      </c>
      <c r="K254" s="1">
        <v>-482418</v>
      </c>
      <c r="L254" t="s">
        <v>189</v>
      </c>
    </row>
    <row r="255" spans="1:12" outlineLevel="2" x14ac:dyDescent="0.3">
      <c r="A255" t="s">
        <v>36</v>
      </c>
      <c r="B255" t="s">
        <v>82</v>
      </c>
      <c r="C255" t="s">
        <v>38</v>
      </c>
      <c r="D255" s="3">
        <v>42751</v>
      </c>
      <c r="E255" t="s">
        <v>51</v>
      </c>
      <c r="F255">
        <v>20000</v>
      </c>
      <c r="G255">
        <v>1</v>
      </c>
      <c r="H255">
        <v>0</v>
      </c>
      <c r="I255">
        <v>0</v>
      </c>
      <c r="J255">
        <v>16.480599999999999</v>
      </c>
      <c r="K255" s="1">
        <v>329611.78999999998</v>
      </c>
      <c r="L255" t="s">
        <v>225</v>
      </c>
    </row>
    <row r="256" spans="1:12" outlineLevel="2" x14ac:dyDescent="0.3">
      <c r="A256" t="s">
        <v>36</v>
      </c>
      <c r="B256" t="s">
        <v>109</v>
      </c>
      <c r="C256" t="s">
        <v>38</v>
      </c>
      <c r="D256" s="3">
        <v>42751</v>
      </c>
      <c r="E256" t="s">
        <v>39</v>
      </c>
      <c r="F256">
        <v>-2000</v>
      </c>
      <c r="G256">
        <v>1</v>
      </c>
      <c r="H256">
        <v>0</v>
      </c>
      <c r="I256">
        <v>0</v>
      </c>
      <c r="J256">
        <v>18.664999999999999</v>
      </c>
      <c r="K256" s="1">
        <v>-37330</v>
      </c>
      <c r="L256" t="s">
        <v>225</v>
      </c>
    </row>
    <row r="257" spans="1:12" outlineLevel="2" x14ac:dyDescent="0.3">
      <c r="A257" t="s">
        <v>36</v>
      </c>
      <c r="B257" t="s">
        <v>109</v>
      </c>
      <c r="C257" t="s">
        <v>38</v>
      </c>
      <c r="D257" s="3">
        <v>42751</v>
      </c>
      <c r="E257" t="s">
        <v>111</v>
      </c>
      <c r="F257">
        <v>2000</v>
      </c>
      <c r="G257">
        <v>1</v>
      </c>
      <c r="H257">
        <v>0</v>
      </c>
      <c r="I257">
        <v>0</v>
      </c>
      <c r="J257">
        <v>18.664999999999999</v>
      </c>
      <c r="K257" s="1">
        <v>37330</v>
      </c>
      <c r="L257" t="s">
        <v>225</v>
      </c>
    </row>
    <row r="258" spans="1:12" outlineLevel="2" x14ac:dyDescent="0.3">
      <c r="A258" t="s">
        <v>36</v>
      </c>
      <c r="B258" t="s">
        <v>131</v>
      </c>
      <c r="C258" t="s">
        <v>63</v>
      </c>
      <c r="D258" s="3">
        <v>42751</v>
      </c>
      <c r="E258" t="s">
        <v>39</v>
      </c>
      <c r="F258">
        <v>-60</v>
      </c>
      <c r="G258">
        <v>1</v>
      </c>
      <c r="H258">
        <v>0</v>
      </c>
      <c r="I258">
        <v>0</v>
      </c>
      <c r="J258">
        <v>18.284800000000001</v>
      </c>
      <c r="K258" s="1">
        <v>-1097.0899999999999</v>
      </c>
      <c r="L258" t="s">
        <v>250</v>
      </c>
    </row>
    <row r="259" spans="1:12" outlineLevel="2" x14ac:dyDescent="0.3">
      <c r="A259" t="s">
        <v>36</v>
      </c>
      <c r="B259" t="s">
        <v>131</v>
      </c>
      <c r="C259" t="s">
        <v>38</v>
      </c>
      <c r="D259" s="3">
        <v>42751</v>
      </c>
      <c r="E259" t="s">
        <v>39</v>
      </c>
      <c r="F259">
        <v>60</v>
      </c>
      <c r="G259">
        <v>1</v>
      </c>
      <c r="H259">
        <v>0</v>
      </c>
      <c r="I259">
        <v>0</v>
      </c>
      <c r="J259">
        <v>18.284800000000001</v>
      </c>
      <c r="K259" s="1">
        <v>1097.0899999999999</v>
      </c>
      <c r="L259" t="s">
        <v>251</v>
      </c>
    </row>
    <row r="260" spans="1:12" outlineLevel="2" x14ac:dyDescent="0.3">
      <c r="A260" t="s">
        <v>36</v>
      </c>
      <c r="B260" t="s">
        <v>131</v>
      </c>
      <c r="C260" t="s">
        <v>38</v>
      </c>
      <c r="D260" s="3">
        <v>42751</v>
      </c>
      <c r="E260" t="s">
        <v>56</v>
      </c>
      <c r="F260">
        <v>-60</v>
      </c>
      <c r="G260">
        <v>1</v>
      </c>
      <c r="H260">
        <v>0</v>
      </c>
      <c r="I260">
        <v>0</v>
      </c>
      <c r="J260">
        <v>18.284800000000001</v>
      </c>
      <c r="K260" s="1">
        <v>-1097.0899999999999</v>
      </c>
      <c r="L260" t="s">
        <v>251</v>
      </c>
    </row>
    <row r="261" spans="1:12" outlineLevel="2" x14ac:dyDescent="0.3">
      <c r="A261" t="s">
        <v>36</v>
      </c>
      <c r="B261" t="s">
        <v>132</v>
      </c>
      <c r="C261" t="s">
        <v>40</v>
      </c>
      <c r="D261" s="3">
        <v>42751</v>
      </c>
      <c r="E261" t="s">
        <v>39</v>
      </c>
      <c r="F261">
        <v>60</v>
      </c>
      <c r="G261">
        <v>1</v>
      </c>
      <c r="H261">
        <v>0</v>
      </c>
      <c r="I261">
        <v>0</v>
      </c>
      <c r="J261">
        <v>18.284800000000001</v>
      </c>
      <c r="K261" s="1">
        <v>1097.0899999999999</v>
      </c>
      <c r="L261" t="s">
        <v>250</v>
      </c>
    </row>
    <row r="262" spans="1:12" outlineLevel="2" x14ac:dyDescent="0.3">
      <c r="A262" t="s">
        <v>36</v>
      </c>
      <c r="B262" t="s">
        <v>154</v>
      </c>
      <c r="C262" t="s">
        <v>63</v>
      </c>
      <c r="D262" s="3">
        <v>42751</v>
      </c>
      <c r="E262" t="s">
        <v>39</v>
      </c>
      <c r="F262">
        <v>-600</v>
      </c>
      <c r="G262">
        <v>0.96450000000000002</v>
      </c>
      <c r="H262">
        <v>0</v>
      </c>
      <c r="I262">
        <v>0</v>
      </c>
      <c r="J262">
        <v>21.89</v>
      </c>
      <c r="K262" s="1">
        <v>-13133.98</v>
      </c>
      <c r="L262" t="s">
        <v>250</v>
      </c>
    </row>
    <row r="263" spans="1:12" outlineLevel="2" x14ac:dyDescent="0.3">
      <c r="A263" t="s">
        <v>36</v>
      </c>
      <c r="B263" t="s">
        <v>157</v>
      </c>
      <c r="C263" t="s">
        <v>40</v>
      </c>
      <c r="D263" s="3">
        <v>42751</v>
      </c>
      <c r="E263" t="s">
        <v>39</v>
      </c>
      <c r="F263">
        <v>600</v>
      </c>
      <c r="G263">
        <v>0.96450000000000002</v>
      </c>
      <c r="H263">
        <v>0</v>
      </c>
      <c r="I263">
        <v>0</v>
      </c>
      <c r="J263">
        <v>21.89</v>
      </c>
      <c r="K263" s="1">
        <v>13133.98</v>
      </c>
      <c r="L263" t="s">
        <v>250</v>
      </c>
    </row>
    <row r="264" spans="1:12" outlineLevel="1" x14ac:dyDescent="0.3">
      <c r="D264" s="7" t="s">
        <v>278</v>
      </c>
      <c r="K264" s="1">
        <f>SUM(K250:K263)</f>
        <v>12000</v>
      </c>
    </row>
    <row r="265" spans="1:12" outlineLevel="2" x14ac:dyDescent="0.3">
      <c r="A265" t="s">
        <v>36</v>
      </c>
      <c r="B265" t="s">
        <v>57</v>
      </c>
      <c r="C265" t="s">
        <v>38</v>
      </c>
      <c r="D265" s="3">
        <v>42752</v>
      </c>
      <c r="E265" t="s">
        <v>58</v>
      </c>
      <c r="F265">
        <v>30000</v>
      </c>
      <c r="G265">
        <v>1</v>
      </c>
      <c r="H265">
        <v>0</v>
      </c>
      <c r="I265">
        <v>0</v>
      </c>
      <c r="J265">
        <v>16.480599999999999</v>
      </c>
      <c r="K265" s="1">
        <v>494418</v>
      </c>
      <c r="L265" t="s">
        <v>188</v>
      </c>
    </row>
    <row r="266" spans="1:12" outlineLevel="2" x14ac:dyDescent="0.3">
      <c r="A266" t="s">
        <v>36</v>
      </c>
      <c r="B266" t="s">
        <v>57</v>
      </c>
      <c r="C266" t="s">
        <v>38</v>
      </c>
      <c r="D266" s="3">
        <v>42752</v>
      </c>
      <c r="E266" t="s">
        <v>51</v>
      </c>
      <c r="F266">
        <v>-30000</v>
      </c>
      <c r="G266">
        <v>1</v>
      </c>
      <c r="H266">
        <v>0</v>
      </c>
      <c r="I266">
        <v>0</v>
      </c>
      <c r="J266">
        <v>16.480599999999999</v>
      </c>
      <c r="K266" s="1">
        <v>-494418</v>
      </c>
      <c r="L266" t="s">
        <v>188</v>
      </c>
    </row>
    <row r="267" spans="1:12" outlineLevel="2" x14ac:dyDescent="0.3">
      <c r="A267" t="s">
        <v>36</v>
      </c>
      <c r="B267" t="s">
        <v>59</v>
      </c>
      <c r="C267" t="s">
        <v>40</v>
      </c>
      <c r="D267" s="3">
        <v>42752</v>
      </c>
      <c r="E267" t="s">
        <v>39</v>
      </c>
      <c r="F267">
        <v>50</v>
      </c>
      <c r="G267">
        <v>10</v>
      </c>
      <c r="H267">
        <v>0</v>
      </c>
      <c r="I267">
        <v>0</v>
      </c>
      <c r="J267">
        <v>168.666</v>
      </c>
      <c r="K267" s="1">
        <v>8433.2999999999993</v>
      </c>
      <c r="L267" t="s">
        <v>191</v>
      </c>
    </row>
    <row r="268" spans="1:12" outlineLevel="2" x14ac:dyDescent="0.3">
      <c r="A268" t="s">
        <v>36</v>
      </c>
      <c r="B268" t="s">
        <v>62</v>
      </c>
      <c r="C268" t="s">
        <v>63</v>
      </c>
      <c r="D268" s="3">
        <v>42752</v>
      </c>
      <c r="E268" t="s">
        <v>39</v>
      </c>
      <c r="F268">
        <v>-50</v>
      </c>
      <c r="G268">
        <v>10</v>
      </c>
      <c r="H268">
        <v>0</v>
      </c>
      <c r="I268">
        <v>0</v>
      </c>
      <c r="J268">
        <v>168.66589999999999</v>
      </c>
      <c r="K268" s="1">
        <v>-8433.2999999999993</v>
      </c>
      <c r="L268" t="s">
        <v>191</v>
      </c>
    </row>
    <row r="269" spans="1:12" outlineLevel="2" x14ac:dyDescent="0.3">
      <c r="A269" t="s">
        <v>36</v>
      </c>
      <c r="B269" t="s">
        <v>64</v>
      </c>
      <c r="C269" t="s">
        <v>63</v>
      </c>
      <c r="D269" s="3">
        <v>42752</v>
      </c>
      <c r="E269" t="s">
        <v>39</v>
      </c>
      <c r="F269">
        <v>-307</v>
      </c>
      <c r="G269">
        <v>100</v>
      </c>
      <c r="H269">
        <v>0</v>
      </c>
      <c r="I269">
        <v>0</v>
      </c>
      <c r="J269">
        <v>1740.7492</v>
      </c>
      <c r="K269" s="1">
        <v>-534410.01</v>
      </c>
      <c r="L269" t="s">
        <v>191</v>
      </c>
    </row>
    <row r="270" spans="1:12" outlineLevel="2" x14ac:dyDescent="0.3">
      <c r="A270" t="s">
        <v>36</v>
      </c>
      <c r="B270" t="s">
        <v>82</v>
      </c>
      <c r="C270" t="s">
        <v>38</v>
      </c>
      <c r="D270" s="3">
        <v>42752</v>
      </c>
      <c r="E270" t="s">
        <v>39</v>
      </c>
      <c r="F270">
        <v>6928.77</v>
      </c>
      <c r="G270">
        <v>1</v>
      </c>
      <c r="H270">
        <v>0</v>
      </c>
      <c r="I270">
        <v>0</v>
      </c>
      <c r="J270">
        <v>16.480599999999999</v>
      </c>
      <c r="K270" s="1">
        <v>114190.21</v>
      </c>
      <c r="L270" t="s">
        <v>188</v>
      </c>
    </row>
    <row r="271" spans="1:12" outlineLevel="2" x14ac:dyDescent="0.3">
      <c r="A271" t="s">
        <v>36</v>
      </c>
      <c r="B271" t="s">
        <v>82</v>
      </c>
      <c r="C271" t="s">
        <v>38</v>
      </c>
      <c r="D271" s="3">
        <v>42752</v>
      </c>
      <c r="E271" t="s">
        <v>39</v>
      </c>
      <c r="F271">
        <v>-6928.77</v>
      </c>
      <c r="G271">
        <v>1</v>
      </c>
      <c r="H271">
        <v>0</v>
      </c>
      <c r="I271">
        <v>0</v>
      </c>
      <c r="J271">
        <v>16.444800000000001</v>
      </c>
      <c r="K271" s="1">
        <v>-113942.29</v>
      </c>
      <c r="L271" t="s">
        <v>188</v>
      </c>
    </row>
    <row r="272" spans="1:12" outlineLevel="2" x14ac:dyDescent="0.3">
      <c r="A272" t="s">
        <v>36</v>
      </c>
      <c r="B272" t="s">
        <v>82</v>
      </c>
      <c r="C272" t="s">
        <v>38</v>
      </c>
      <c r="D272" s="3">
        <v>42752</v>
      </c>
      <c r="E272" t="s">
        <v>83</v>
      </c>
      <c r="F272">
        <v>6928.77</v>
      </c>
      <c r="G272">
        <v>1</v>
      </c>
      <c r="H272">
        <v>0</v>
      </c>
      <c r="I272">
        <v>0</v>
      </c>
      <c r="J272">
        <v>16.444800000000001</v>
      </c>
      <c r="K272" s="1">
        <v>113942.29</v>
      </c>
      <c r="L272" t="s">
        <v>188</v>
      </c>
    </row>
    <row r="273" spans="1:12" outlineLevel="2" x14ac:dyDescent="0.3">
      <c r="A273" t="s">
        <v>36</v>
      </c>
      <c r="B273" t="s">
        <v>82</v>
      </c>
      <c r="C273" t="s">
        <v>85</v>
      </c>
      <c r="D273" s="3">
        <v>42752</v>
      </c>
      <c r="E273" t="s">
        <v>47</v>
      </c>
      <c r="F273">
        <v>0.72</v>
      </c>
      <c r="G273">
        <v>1</v>
      </c>
      <c r="H273">
        <v>0</v>
      </c>
      <c r="I273">
        <v>0</v>
      </c>
      <c r="J273">
        <v>16.480599999999999</v>
      </c>
      <c r="K273" s="1">
        <v>11.87</v>
      </c>
      <c r="L273" t="s">
        <v>232</v>
      </c>
    </row>
    <row r="274" spans="1:12" outlineLevel="2" x14ac:dyDescent="0.3">
      <c r="A274" t="s">
        <v>36</v>
      </c>
      <c r="B274" t="s">
        <v>82</v>
      </c>
      <c r="C274" t="s">
        <v>38</v>
      </c>
      <c r="D274" s="3">
        <v>42752</v>
      </c>
      <c r="E274" t="s">
        <v>47</v>
      </c>
      <c r="F274">
        <v>-6928.77</v>
      </c>
      <c r="G274">
        <v>1</v>
      </c>
      <c r="H274">
        <v>0</v>
      </c>
      <c r="I274">
        <v>0</v>
      </c>
      <c r="J274">
        <v>16.480599999999999</v>
      </c>
      <c r="K274" s="1">
        <v>-114190.21</v>
      </c>
      <c r="L274" t="s">
        <v>188</v>
      </c>
    </row>
    <row r="275" spans="1:12" outlineLevel="2" x14ac:dyDescent="0.3">
      <c r="A275" t="s">
        <v>36</v>
      </c>
      <c r="B275" t="s">
        <v>109</v>
      </c>
      <c r="C275" t="s">
        <v>38</v>
      </c>
      <c r="D275" s="3">
        <v>42752</v>
      </c>
      <c r="E275" t="s">
        <v>39</v>
      </c>
      <c r="F275">
        <v>-1000</v>
      </c>
      <c r="G275">
        <v>1</v>
      </c>
      <c r="H275">
        <v>0</v>
      </c>
      <c r="I275">
        <v>0</v>
      </c>
      <c r="J275">
        <v>18.664999999999999</v>
      </c>
      <c r="K275" s="1">
        <v>-18665</v>
      </c>
      <c r="L275" t="s">
        <v>188</v>
      </c>
    </row>
    <row r="276" spans="1:12" outlineLevel="2" x14ac:dyDescent="0.3">
      <c r="A276" t="s">
        <v>36</v>
      </c>
      <c r="B276" t="s">
        <v>109</v>
      </c>
      <c r="C276" t="s">
        <v>38</v>
      </c>
      <c r="D276" s="3">
        <v>42752</v>
      </c>
      <c r="E276" t="s">
        <v>112</v>
      </c>
      <c r="F276">
        <v>1000</v>
      </c>
      <c r="G276">
        <v>1</v>
      </c>
      <c r="H276">
        <v>0</v>
      </c>
      <c r="I276">
        <v>0</v>
      </c>
      <c r="J276">
        <v>18.664999999999999</v>
      </c>
      <c r="K276" s="1">
        <v>18665</v>
      </c>
      <c r="L276" t="s">
        <v>188</v>
      </c>
    </row>
    <row r="277" spans="1:12" outlineLevel="2" x14ac:dyDescent="0.3">
      <c r="A277" t="s">
        <v>36</v>
      </c>
      <c r="B277" t="s">
        <v>128</v>
      </c>
      <c r="C277" t="s">
        <v>40</v>
      </c>
      <c r="D277" s="3">
        <v>42752</v>
      </c>
      <c r="E277" t="s">
        <v>39</v>
      </c>
      <c r="F277">
        <v>307</v>
      </c>
      <c r="G277">
        <v>100</v>
      </c>
      <c r="H277">
        <v>0</v>
      </c>
      <c r="I277">
        <v>0</v>
      </c>
      <c r="J277">
        <v>1740.7492</v>
      </c>
      <c r="K277" s="1">
        <v>534410.01</v>
      </c>
      <c r="L277" t="s">
        <v>191</v>
      </c>
    </row>
    <row r="278" spans="1:12" outlineLevel="1" x14ac:dyDescent="0.3">
      <c r="D278" s="7" t="s">
        <v>279</v>
      </c>
      <c r="K278" s="1">
        <f>SUM(K265:K277)</f>
        <v>11.869999999995343</v>
      </c>
    </row>
    <row r="279" spans="1:12" outlineLevel="2" x14ac:dyDescent="0.3">
      <c r="A279" t="s">
        <v>36</v>
      </c>
      <c r="B279" t="s">
        <v>37</v>
      </c>
      <c r="C279" t="s">
        <v>38</v>
      </c>
      <c r="D279" s="3">
        <v>42753</v>
      </c>
      <c r="E279" t="s">
        <v>39</v>
      </c>
      <c r="F279">
        <v>-2000</v>
      </c>
      <c r="G279">
        <v>1</v>
      </c>
      <c r="H279">
        <v>0</v>
      </c>
      <c r="I279">
        <v>0</v>
      </c>
      <c r="J279">
        <v>17.153700000000001</v>
      </c>
      <c r="K279" s="1">
        <v>-34307.360000000001</v>
      </c>
      <c r="L279" t="s">
        <v>181</v>
      </c>
    </row>
    <row r="280" spans="1:12" outlineLevel="2" x14ac:dyDescent="0.3">
      <c r="A280" t="s">
        <v>36</v>
      </c>
      <c r="B280" t="s">
        <v>37</v>
      </c>
      <c r="C280" t="s">
        <v>38</v>
      </c>
      <c r="D280" s="3">
        <v>42753</v>
      </c>
      <c r="E280" t="s">
        <v>39</v>
      </c>
      <c r="F280">
        <v>-2500</v>
      </c>
      <c r="G280">
        <v>1</v>
      </c>
      <c r="H280">
        <v>0</v>
      </c>
      <c r="I280">
        <v>0</v>
      </c>
      <c r="J280">
        <v>17.153700000000001</v>
      </c>
      <c r="K280" s="1">
        <v>-42884.2</v>
      </c>
      <c r="L280" t="s">
        <v>181</v>
      </c>
    </row>
    <row r="281" spans="1:12" outlineLevel="2" x14ac:dyDescent="0.3">
      <c r="A281" t="s">
        <v>36</v>
      </c>
      <c r="B281" t="s">
        <v>37</v>
      </c>
      <c r="C281" t="s">
        <v>38</v>
      </c>
      <c r="D281" s="3">
        <v>42753</v>
      </c>
      <c r="E281" t="s">
        <v>43</v>
      </c>
      <c r="F281">
        <v>2500</v>
      </c>
      <c r="G281">
        <v>1</v>
      </c>
      <c r="H281">
        <v>0</v>
      </c>
      <c r="I281">
        <v>0</v>
      </c>
      <c r="J281">
        <v>17.153700000000001</v>
      </c>
      <c r="K281" s="1">
        <v>42884.2</v>
      </c>
      <c r="L281" t="s">
        <v>181</v>
      </c>
    </row>
    <row r="282" spans="1:12" outlineLevel="2" x14ac:dyDescent="0.3">
      <c r="A282" t="s">
        <v>36</v>
      </c>
      <c r="B282" t="s">
        <v>37</v>
      </c>
      <c r="C282" t="s">
        <v>38</v>
      </c>
      <c r="D282" s="3">
        <v>42753</v>
      </c>
      <c r="E282" t="s">
        <v>46</v>
      </c>
      <c r="F282">
        <v>2000</v>
      </c>
      <c r="G282">
        <v>1</v>
      </c>
      <c r="H282">
        <v>0</v>
      </c>
      <c r="I282">
        <v>0</v>
      </c>
      <c r="J282">
        <v>17.153700000000001</v>
      </c>
      <c r="K282" s="1">
        <v>34307.360000000001</v>
      </c>
      <c r="L282" t="s">
        <v>181</v>
      </c>
    </row>
    <row r="283" spans="1:12" outlineLevel="2" x14ac:dyDescent="0.3">
      <c r="A283" t="s">
        <v>36</v>
      </c>
      <c r="B283" t="s">
        <v>53</v>
      </c>
      <c r="C283" t="s">
        <v>38</v>
      </c>
      <c r="D283" s="3">
        <v>42753</v>
      </c>
      <c r="E283" t="s">
        <v>39</v>
      </c>
      <c r="F283">
        <v>-1500</v>
      </c>
      <c r="G283">
        <v>1</v>
      </c>
      <c r="H283">
        <v>0</v>
      </c>
      <c r="I283">
        <v>0</v>
      </c>
      <c r="J283">
        <v>15.285</v>
      </c>
      <c r="K283" s="1">
        <v>-22927.439999999999</v>
      </c>
      <c r="L283" t="s">
        <v>181</v>
      </c>
    </row>
    <row r="284" spans="1:12" outlineLevel="2" x14ac:dyDescent="0.3">
      <c r="A284" t="s">
        <v>36</v>
      </c>
      <c r="B284" t="s">
        <v>53</v>
      </c>
      <c r="C284" t="s">
        <v>38</v>
      </c>
      <c r="D284" s="3">
        <v>42753</v>
      </c>
      <c r="E284" t="s">
        <v>46</v>
      </c>
      <c r="F284">
        <v>1500</v>
      </c>
      <c r="G284">
        <v>1</v>
      </c>
      <c r="H284">
        <v>0</v>
      </c>
      <c r="I284">
        <v>0</v>
      </c>
      <c r="J284">
        <v>15.285</v>
      </c>
      <c r="K284" s="1">
        <v>22927.439999999999</v>
      </c>
      <c r="L284" t="s">
        <v>181</v>
      </c>
    </row>
    <row r="285" spans="1:12" outlineLevel="2" x14ac:dyDescent="0.3">
      <c r="A285" t="s">
        <v>36</v>
      </c>
      <c r="B285" t="s">
        <v>60</v>
      </c>
      <c r="C285" t="s">
        <v>38</v>
      </c>
      <c r="D285" s="3">
        <v>42753</v>
      </c>
      <c r="E285" t="s">
        <v>39</v>
      </c>
      <c r="F285">
        <v>-240</v>
      </c>
      <c r="G285">
        <v>10</v>
      </c>
      <c r="H285">
        <v>0</v>
      </c>
      <c r="I285">
        <v>0</v>
      </c>
      <c r="J285">
        <v>185.4853</v>
      </c>
      <c r="K285" s="1">
        <v>-44516.480000000003</v>
      </c>
      <c r="L285" t="s">
        <v>181</v>
      </c>
    </row>
    <row r="286" spans="1:12" outlineLevel="2" x14ac:dyDescent="0.3">
      <c r="A286" t="s">
        <v>36</v>
      </c>
      <c r="B286" t="s">
        <v>60</v>
      </c>
      <c r="C286" t="s">
        <v>38</v>
      </c>
      <c r="D286" s="3">
        <v>42753</v>
      </c>
      <c r="E286" t="s">
        <v>46</v>
      </c>
      <c r="F286">
        <v>240</v>
      </c>
      <c r="G286">
        <v>10</v>
      </c>
      <c r="H286">
        <v>0</v>
      </c>
      <c r="I286">
        <v>0</v>
      </c>
      <c r="J286">
        <v>185.4853</v>
      </c>
      <c r="K286" s="1">
        <v>44516.480000000003</v>
      </c>
      <c r="L286" t="s">
        <v>181</v>
      </c>
    </row>
    <row r="287" spans="1:12" outlineLevel="2" x14ac:dyDescent="0.3">
      <c r="A287" t="s">
        <v>36</v>
      </c>
      <c r="B287" t="s">
        <v>62</v>
      </c>
      <c r="C287" t="s">
        <v>38</v>
      </c>
      <c r="D287" s="3">
        <v>42753</v>
      </c>
      <c r="E287" t="s">
        <v>39</v>
      </c>
      <c r="F287">
        <v>-100</v>
      </c>
      <c r="G287">
        <v>10</v>
      </c>
      <c r="H287">
        <v>0</v>
      </c>
      <c r="I287">
        <v>0</v>
      </c>
      <c r="J287">
        <v>168.66589999999999</v>
      </c>
      <c r="K287" s="1">
        <v>-16866.59</v>
      </c>
      <c r="L287" t="s">
        <v>181</v>
      </c>
    </row>
    <row r="288" spans="1:12" outlineLevel="2" x14ac:dyDescent="0.3">
      <c r="A288" t="s">
        <v>36</v>
      </c>
      <c r="B288" t="s">
        <v>62</v>
      </c>
      <c r="C288" t="s">
        <v>38</v>
      </c>
      <c r="D288" s="3">
        <v>42753</v>
      </c>
      <c r="E288" t="s">
        <v>46</v>
      </c>
      <c r="F288">
        <v>100</v>
      </c>
      <c r="G288">
        <v>10</v>
      </c>
      <c r="H288">
        <v>0</v>
      </c>
      <c r="I288">
        <v>0</v>
      </c>
      <c r="J288">
        <v>168.66589999999999</v>
      </c>
      <c r="K288" s="1">
        <v>16866.59</v>
      </c>
      <c r="L288" t="s">
        <v>181</v>
      </c>
    </row>
    <row r="289" spans="1:12" outlineLevel="2" x14ac:dyDescent="0.3">
      <c r="A289" t="s">
        <v>36</v>
      </c>
      <c r="B289" t="s">
        <v>64</v>
      </c>
      <c r="C289" t="s">
        <v>40</v>
      </c>
      <c r="D289" s="3">
        <v>42753</v>
      </c>
      <c r="E289" t="s">
        <v>39</v>
      </c>
      <c r="F289">
        <v>14</v>
      </c>
      <c r="G289">
        <v>100</v>
      </c>
      <c r="H289">
        <v>0</v>
      </c>
      <c r="I289">
        <v>0</v>
      </c>
      <c r="J289">
        <v>1640.2207000000001</v>
      </c>
      <c r="K289" s="1">
        <v>22963.09</v>
      </c>
      <c r="L289" t="s">
        <v>197</v>
      </c>
    </row>
    <row r="290" spans="1:12" outlineLevel="2" x14ac:dyDescent="0.3">
      <c r="A290" t="s">
        <v>36</v>
      </c>
      <c r="B290" t="s">
        <v>65</v>
      </c>
      <c r="C290" t="s">
        <v>40</v>
      </c>
      <c r="D290" s="3">
        <v>42753</v>
      </c>
      <c r="E290" t="s">
        <v>39</v>
      </c>
      <c r="F290">
        <v>11</v>
      </c>
      <c r="G290">
        <v>100</v>
      </c>
      <c r="H290">
        <v>0</v>
      </c>
      <c r="I290">
        <v>0</v>
      </c>
      <c r="J290">
        <v>1640.2209</v>
      </c>
      <c r="K290" s="1">
        <v>18042.43</v>
      </c>
      <c r="L290" t="s">
        <v>197</v>
      </c>
    </row>
    <row r="291" spans="1:12" outlineLevel="2" x14ac:dyDescent="0.3">
      <c r="A291" t="s">
        <v>36</v>
      </c>
      <c r="B291" t="s">
        <v>66</v>
      </c>
      <c r="C291" t="s">
        <v>40</v>
      </c>
      <c r="D291" s="3">
        <v>42753</v>
      </c>
      <c r="E291" t="s">
        <v>39</v>
      </c>
      <c r="F291">
        <v>12</v>
      </c>
      <c r="G291">
        <v>100</v>
      </c>
      <c r="H291">
        <v>0</v>
      </c>
      <c r="I291">
        <v>0</v>
      </c>
      <c r="J291">
        <v>1640.2208000000001</v>
      </c>
      <c r="K291" s="1">
        <v>19682.650000000001</v>
      </c>
      <c r="L291" t="s">
        <v>197</v>
      </c>
    </row>
    <row r="292" spans="1:12" outlineLevel="2" x14ac:dyDescent="0.3">
      <c r="A292" t="s">
        <v>36</v>
      </c>
      <c r="B292" t="s">
        <v>79</v>
      </c>
      <c r="C292" t="s">
        <v>63</v>
      </c>
      <c r="D292" s="3">
        <v>42753</v>
      </c>
      <c r="E292" t="s">
        <v>39</v>
      </c>
      <c r="F292">
        <v>-1200</v>
      </c>
      <c r="G292">
        <v>1</v>
      </c>
      <c r="H292">
        <v>0</v>
      </c>
      <c r="I292">
        <v>0</v>
      </c>
      <c r="J292">
        <v>16.402200000000001</v>
      </c>
      <c r="K292" s="1">
        <v>-19682.650000000001</v>
      </c>
      <c r="L292" t="s">
        <v>197</v>
      </c>
    </row>
    <row r="293" spans="1:12" outlineLevel="2" x14ac:dyDescent="0.3">
      <c r="A293" t="s">
        <v>36</v>
      </c>
      <c r="B293" t="s">
        <v>79</v>
      </c>
      <c r="C293" t="s">
        <v>63</v>
      </c>
      <c r="D293" s="3">
        <v>42753</v>
      </c>
      <c r="E293" t="s">
        <v>39</v>
      </c>
      <c r="F293">
        <v>-1100</v>
      </c>
      <c r="G293">
        <v>1</v>
      </c>
      <c r="H293">
        <v>0</v>
      </c>
      <c r="I293">
        <v>0</v>
      </c>
      <c r="J293">
        <v>16.402200000000001</v>
      </c>
      <c r="K293" s="1">
        <v>-18042.43</v>
      </c>
      <c r="L293" t="s">
        <v>197</v>
      </c>
    </row>
    <row r="294" spans="1:12" outlineLevel="2" x14ac:dyDescent="0.3">
      <c r="A294" t="s">
        <v>36</v>
      </c>
      <c r="B294" t="s">
        <v>79</v>
      </c>
      <c r="C294" t="s">
        <v>63</v>
      </c>
      <c r="D294" s="3">
        <v>42753</v>
      </c>
      <c r="E294" t="s">
        <v>39</v>
      </c>
      <c r="F294">
        <v>-1400</v>
      </c>
      <c r="G294">
        <v>1</v>
      </c>
      <c r="H294">
        <v>0</v>
      </c>
      <c r="I294">
        <v>0</v>
      </c>
      <c r="J294">
        <v>16.402200000000001</v>
      </c>
      <c r="K294" s="1">
        <v>-22963.09</v>
      </c>
      <c r="L294" t="s">
        <v>197</v>
      </c>
    </row>
    <row r="295" spans="1:12" outlineLevel="2" x14ac:dyDescent="0.3">
      <c r="A295" t="s">
        <v>36</v>
      </c>
      <c r="B295" t="s">
        <v>82</v>
      </c>
      <c r="C295" t="s">
        <v>38</v>
      </c>
      <c r="D295" s="3">
        <v>42753</v>
      </c>
      <c r="E295" t="s">
        <v>39</v>
      </c>
      <c r="F295">
        <v>-976.06</v>
      </c>
      <c r="G295">
        <v>1</v>
      </c>
      <c r="H295">
        <v>0</v>
      </c>
      <c r="I295">
        <v>0</v>
      </c>
      <c r="J295">
        <v>16.444800000000001</v>
      </c>
      <c r="K295" s="1">
        <v>-16051.12</v>
      </c>
      <c r="L295" t="s">
        <v>181</v>
      </c>
    </row>
    <row r="296" spans="1:12" outlineLevel="2" x14ac:dyDescent="0.3">
      <c r="A296" t="s">
        <v>36</v>
      </c>
      <c r="B296" t="s">
        <v>82</v>
      </c>
      <c r="C296" t="s">
        <v>38</v>
      </c>
      <c r="D296" s="3">
        <v>42753</v>
      </c>
      <c r="E296" t="s">
        <v>46</v>
      </c>
      <c r="F296">
        <v>976.06</v>
      </c>
      <c r="G296">
        <v>1</v>
      </c>
      <c r="H296">
        <v>0</v>
      </c>
      <c r="I296">
        <v>0</v>
      </c>
      <c r="J296">
        <v>16.444800000000001</v>
      </c>
      <c r="K296" s="1">
        <v>16051.12</v>
      </c>
      <c r="L296" t="s">
        <v>181</v>
      </c>
    </row>
    <row r="297" spans="1:12" outlineLevel="2" x14ac:dyDescent="0.3">
      <c r="A297" t="s">
        <v>36</v>
      </c>
      <c r="B297" t="s">
        <v>82</v>
      </c>
      <c r="C297" t="s">
        <v>38</v>
      </c>
      <c r="D297" s="3">
        <v>42753</v>
      </c>
      <c r="E297" t="s">
        <v>84</v>
      </c>
      <c r="F297">
        <v>6109.25</v>
      </c>
      <c r="G297">
        <v>1</v>
      </c>
      <c r="H297">
        <v>0</v>
      </c>
      <c r="I297">
        <v>0</v>
      </c>
      <c r="J297">
        <v>16.480599999999999</v>
      </c>
      <c r="K297" s="1">
        <v>100684.04</v>
      </c>
      <c r="L297" t="s">
        <v>228</v>
      </c>
    </row>
    <row r="298" spans="1:12" outlineLevel="2" x14ac:dyDescent="0.3">
      <c r="A298" t="s">
        <v>36</v>
      </c>
      <c r="B298" t="s">
        <v>82</v>
      </c>
      <c r="C298" t="s">
        <v>38</v>
      </c>
      <c r="D298" s="3">
        <v>42753</v>
      </c>
      <c r="E298" t="s">
        <v>47</v>
      </c>
      <c r="F298">
        <v>-6109.25</v>
      </c>
      <c r="G298">
        <v>1</v>
      </c>
      <c r="H298">
        <v>0</v>
      </c>
      <c r="I298">
        <v>0</v>
      </c>
      <c r="J298">
        <v>16.480599999999999</v>
      </c>
      <c r="K298" s="1">
        <v>-100684.04</v>
      </c>
      <c r="L298" t="s">
        <v>228</v>
      </c>
    </row>
    <row r="299" spans="1:12" outlineLevel="2" x14ac:dyDescent="0.3">
      <c r="A299" t="s">
        <v>36</v>
      </c>
      <c r="B299" t="s">
        <v>86</v>
      </c>
      <c r="C299" t="s">
        <v>38</v>
      </c>
      <c r="D299" s="3">
        <v>42753</v>
      </c>
      <c r="E299" t="s">
        <v>84</v>
      </c>
      <c r="F299">
        <v>600122.69999999995</v>
      </c>
      <c r="G299">
        <v>1</v>
      </c>
      <c r="H299">
        <v>0</v>
      </c>
      <c r="I299">
        <v>0</v>
      </c>
      <c r="J299">
        <v>16.899999999999999</v>
      </c>
      <c r="K299" s="1">
        <v>10142073.630000001</v>
      </c>
      <c r="L299" t="s">
        <v>228</v>
      </c>
    </row>
    <row r="300" spans="1:12" outlineLevel="2" x14ac:dyDescent="0.3">
      <c r="A300" t="s">
        <v>36</v>
      </c>
      <c r="B300" t="s">
        <v>86</v>
      </c>
      <c r="C300" t="s">
        <v>38</v>
      </c>
      <c r="D300" s="3">
        <v>42753</v>
      </c>
      <c r="E300" t="s">
        <v>47</v>
      </c>
      <c r="F300">
        <v>-600122.69999999995</v>
      </c>
      <c r="G300">
        <v>1</v>
      </c>
      <c r="H300">
        <v>0</v>
      </c>
      <c r="I300">
        <v>0</v>
      </c>
      <c r="J300">
        <v>16.899999999999999</v>
      </c>
      <c r="K300" s="1">
        <v>-10142073.630000001</v>
      </c>
      <c r="L300" t="s">
        <v>228</v>
      </c>
    </row>
    <row r="301" spans="1:12" outlineLevel="2" x14ac:dyDescent="0.3">
      <c r="A301" t="s">
        <v>36</v>
      </c>
      <c r="B301" t="s">
        <v>101</v>
      </c>
      <c r="C301" t="s">
        <v>38</v>
      </c>
      <c r="D301" s="3">
        <v>42753</v>
      </c>
      <c r="E301" t="s">
        <v>39</v>
      </c>
      <c r="F301">
        <v>-5000</v>
      </c>
      <c r="G301">
        <v>1</v>
      </c>
      <c r="H301">
        <v>0</v>
      </c>
      <c r="I301">
        <v>0</v>
      </c>
      <c r="J301">
        <v>18.8429</v>
      </c>
      <c r="K301" s="1">
        <v>-94214.3</v>
      </c>
      <c r="L301" t="s">
        <v>181</v>
      </c>
    </row>
    <row r="302" spans="1:12" outlineLevel="2" x14ac:dyDescent="0.3">
      <c r="A302" t="s">
        <v>36</v>
      </c>
      <c r="B302" t="s">
        <v>101</v>
      </c>
      <c r="C302" t="s">
        <v>38</v>
      </c>
      <c r="D302" s="3">
        <v>42753</v>
      </c>
      <c r="E302" t="s">
        <v>102</v>
      </c>
      <c r="F302">
        <v>5000</v>
      </c>
      <c r="G302">
        <v>1</v>
      </c>
      <c r="H302">
        <v>0</v>
      </c>
      <c r="I302">
        <v>0</v>
      </c>
      <c r="J302">
        <v>18.8429</v>
      </c>
      <c r="K302" s="1">
        <v>94214.3</v>
      </c>
      <c r="L302" t="s">
        <v>181</v>
      </c>
    </row>
    <row r="303" spans="1:12" outlineLevel="2" x14ac:dyDescent="0.3">
      <c r="A303" t="s">
        <v>36</v>
      </c>
      <c r="B303" t="s">
        <v>109</v>
      </c>
      <c r="C303" t="s">
        <v>38</v>
      </c>
      <c r="D303" s="3">
        <v>42753</v>
      </c>
      <c r="E303" t="s">
        <v>39</v>
      </c>
      <c r="F303">
        <v>-500</v>
      </c>
      <c r="G303">
        <v>1</v>
      </c>
      <c r="H303">
        <v>0</v>
      </c>
      <c r="I303">
        <v>0</v>
      </c>
      <c r="J303">
        <v>18.664999999999999</v>
      </c>
      <c r="K303" s="1">
        <v>-9332.5</v>
      </c>
      <c r="L303" t="s">
        <v>181</v>
      </c>
    </row>
    <row r="304" spans="1:12" outlineLevel="2" x14ac:dyDescent="0.3">
      <c r="A304" t="s">
        <v>36</v>
      </c>
      <c r="B304" t="s">
        <v>109</v>
      </c>
      <c r="C304" t="s">
        <v>38</v>
      </c>
      <c r="D304" s="3">
        <v>42753</v>
      </c>
      <c r="E304" t="s">
        <v>39</v>
      </c>
      <c r="F304">
        <v>-5000</v>
      </c>
      <c r="G304">
        <v>1</v>
      </c>
      <c r="H304">
        <v>0</v>
      </c>
      <c r="I304">
        <v>0</v>
      </c>
      <c r="J304">
        <v>18.664999999999999</v>
      </c>
      <c r="K304" s="1">
        <v>-93325</v>
      </c>
      <c r="L304" t="s">
        <v>181</v>
      </c>
    </row>
    <row r="305" spans="1:12" outlineLevel="2" x14ac:dyDescent="0.3">
      <c r="A305" t="s">
        <v>36</v>
      </c>
      <c r="B305" t="s">
        <v>109</v>
      </c>
      <c r="C305" t="s">
        <v>38</v>
      </c>
      <c r="D305" s="3">
        <v>42753</v>
      </c>
      <c r="E305" t="s">
        <v>112</v>
      </c>
      <c r="F305">
        <v>5000</v>
      </c>
      <c r="G305">
        <v>1</v>
      </c>
      <c r="H305">
        <v>0</v>
      </c>
      <c r="I305">
        <v>0</v>
      </c>
      <c r="J305">
        <v>18.664999999999999</v>
      </c>
      <c r="K305" s="1">
        <v>93325</v>
      </c>
      <c r="L305" t="s">
        <v>181</v>
      </c>
    </row>
    <row r="306" spans="1:12" outlineLevel="2" x14ac:dyDescent="0.3">
      <c r="A306" t="s">
        <v>36</v>
      </c>
      <c r="B306" t="s">
        <v>109</v>
      </c>
      <c r="C306" t="s">
        <v>38</v>
      </c>
      <c r="D306" s="3">
        <v>42753</v>
      </c>
      <c r="E306" t="s">
        <v>46</v>
      </c>
      <c r="F306">
        <v>500</v>
      </c>
      <c r="G306">
        <v>1</v>
      </c>
      <c r="H306">
        <v>0</v>
      </c>
      <c r="I306">
        <v>0</v>
      </c>
      <c r="J306">
        <v>18.664999999999999</v>
      </c>
      <c r="K306" s="1">
        <v>9332.5</v>
      </c>
      <c r="L306" t="s">
        <v>181</v>
      </c>
    </row>
    <row r="307" spans="1:12" outlineLevel="2" x14ac:dyDescent="0.3">
      <c r="A307" t="s">
        <v>36</v>
      </c>
      <c r="B307" t="s">
        <v>126</v>
      </c>
      <c r="C307" t="s">
        <v>38</v>
      </c>
      <c r="D307" s="3">
        <v>42753</v>
      </c>
      <c r="E307" t="s">
        <v>39</v>
      </c>
      <c r="F307">
        <v>-6500</v>
      </c>
      <c r="G307">
        <v>1</v>
      </c>
      <c r="H307">
        <v>0</v>
      </c>
      <c r="I307">
        <v>0</v>
      </c>
      <c r="J307">
        <v>18.399999999999999</v>
      </c>
      <c r="K307" s="1">
        <v>-119600</v>
      </c>
      <c r="L307" t="s">
        <v>181</v>
      </c>
    </row>
    <row r="308" spans="1:12" outlineLevel="2" x14ac:dyDescent="0.3">
      <c r="A308" t="s">
        <v>36</v>
      </c>
      <c r="B308" t="s">
        <v>126</v>
      </c>
      <c r="C308" t="s">
        <v>38</v>
      </c>
      <c r="D308" s="3">
        <v>42753</v>
      </c>
      <c r="E308" t="s">
        <v>46</v>
      </c>
      <c r="F308">
        <v>6500</v>
      </c>
      <c r="G308">
        <v>1</v>
      </c>
      <c r="H308">
        <v>0</v>
      </c>
      <c r="I308">
        <v>0</v>
      </c>
      <c r="J308">
        <v>18.399999999999999</v>
      </c>
      <c r="K308" s="1">
        <v>119600</v>
      </c>
      <c r="L308" t="s">
        <v>181</v>
      </c>
    </row>
    <row r="309" spans="1:12" outlineLevel="2" x14ac:dyDescent="0.3">
      <c r="A309" t="s">
        <v>36</v>
      </c>
      <c r="B309" t="s">
        <v>128</v>
      </c>
      <c r="C309" t="s">
        <v>38</v>
      </c>
      <c r="D309" s="3">
        <v>42753</v>
      </c>
      <c r="E309" t="s">
        <v>39</v>
      </c>
      <c r="F309">
        <v>-60</v>
      </c>
      <c r="G309">
        <v>100</v>
      </c>
      <c r="H309">
        <v>0</v>
      </c>
      <c r="I309">
        <v>0</v>
      </c>
      <c r="J309">
        <v>1776.7941000000001</v>
      </c>
      <c r="K309" s="1">
        <v>-106607.65</v>
      </c>
      <c r="L309" t="s">
        <v>181</v>
      </c>
    </row>
    <row r="310" spans="1:12" outlineLevel="2" x14ac:dyDescent="0.3">
      <c r="A310" t="s">
        <v>36</v>
      </c>
      <c r="B310" t="s">
        <v>128</v>
      </c>
      <c r="C310" t="s">
        <v>38</v>
      </c>
      <c r="D310" s="3">
        <v>42753</v>
      </c>
      <c r="E310" t="s">
        <v>46</v>
      </c>
      <c r="F310">
        <v>60</v>
      </c>
      <c r="G310">
        <v>100</v>
      </c>
      <c r="H310">
        <v>0</v>
      </c>
      <c r="I310">
        <v>0</v>
      </c>
      <c r="J310">
        <v>1776.7941000000001</v>
      </c>
      <c r="K310" s="1">
        <v>106607.65</v>
      </c>
      <c r="L310" t="s">
        <v>181</v>
      </c>
    </row>
    <row r="311" spans="1:12" outlineLevel="2" x14ac:dyDescent="0.3">
      <c r="A311" t="s">
        <v>36</v>
      </c>
      <c r="B311" t="s">
        <v>129</v>
      </c>
      <c r="C311" t="s">
        <v>63</v>
      </c>
      <c r="D311" s="3">
        <v>42753</v>
      </c>
      <c r="E311" t="s">
        <v>39</v>
      </c>
      <c r="F311">
        <v>-10</v>
      </c>
      <c r="G311">
        <v>0.5</v>
      </c>
      <c r="H311">
        <v>0</v>
      </c>
      <c r="I311">
        <v>0</v>
      </c>
      <c r="J311">
        <v>10.468999999999999</v>
      </c>
      <c r="K311" s="1">
        <v>-104.69</v>
      </c>
      <c r="L311" t="s">
        <v>197</v>
      </c>
    </row>
    <row r="312" spans="1:12" outlineLevel="2" x14ac:dyDescent="0.3">
      <c r="A312" t="s">
        <v>36</v>
      </c>
      <c r="B312" t="s">
        <v>130</v>
      </c>
      <c r="C312" t="s">
        <v>40</v>
      </c>
      <c r="D312" s="3">
        <v>42753</v>
      </c>
      <c r="E312" t="s">
        <v>39</v>
      </c>
      <c r="F312">
        <v>10</v>
      </c>
      <c r="G312">
        <v>0.5</v>
      </c>
      <c r="H312">
        <v>0</v>
      </c>
      <c r="I312">
        <v>0</v>
      </c>
      <c r="J312">
        <v>10.468999999999999</v>
      </c>
      <c r="K312" s="1">
        <v>104.69</v>
      </c>
      <c r="L312" t="s">
        <v>197</v>
      </c>
    </row>
    <row r="313" spans="1:12" outlineLevel="2" x14ac:dyDescent="0.3">
      <c r="A313" t="s">
        <v>36</v>
      </c>
      <c r="B313" t="s">
        <v>132</v>
      </c>
      <c r="C313" t="s">
        <v>38</v>
      </c>
      <c r="D313" s="3">
        <v>42753</v>
      </c>
      <c r="E313" t="s">
        <v>39</v>
      </c>
      <c r="F313">
        <v>-60</v>
      </c>
      <c r="G313">
        <v>1</v>
      </c>
      <c r="H313">
        <v>0</v>
      </c>
      <c r="I313">
        <v>0</v>
      </c>
      <c r="J313">
        <v>19.724</v>
      </c>
      <c r="K313" s="1">
        <v>-1183.44</v>
      </c>
      <c r="L313" t="s">
        <v>181</v>
      </c>
    </row>
    <row r="314" spans="1:12" outlineLevel="2" x14ac:dyDescent="0.3">
      <c r="A314" t="s">
        <v>36</v>
      </c>
      <c r="B314" t="s">
        <v>132</v>
      </c>
      <c r="C314" t="s">
        <v>38</v>
      </c>
      <c r="D314" s="3">
        <v>42753</v>
      </c>
      <c r="E314" t="s">
        <v>46</v>
      </c>
      <c r="F314">
        <v>60</v>
      </c>
      <c r="G314">
        <v>1</v>
      </c>
      <c r="H314">
        <v>0</v>
      </c>
      <c r="I314">
        <v>0</v>
      </c>
      <c r="J314">
        <v>19.724</v>
      </c>
      <c r="K314" s="1">
        <v>1183.44</v>
      </c>
      <c r="L314" t="s">
        <v>181</v>
      </c>
    </row>
    <row r="315" spans="1:12" outlineLevel="2" x14ac:dyDescent="0.3">
      <c r="A315" t="s">
        <v>36</v>
      </c>
      <c r="B315" t="s">
        <v>133</v>
      </c>
      <c r="C315" t="s">
        <v>38</v>
      </c>
      <c r="D315" s="3">
        <v>42753</v>
      </c>
      <c r="E315" t="s">
        <v>39</v>
      </c>
      <c r="F315">
        <v>-60</v>
      </c>
      <c r="G315">
        <v>1</v>
      </c>
      <c r="H315">
        <v>0</v>
      </c>
      <c r="I315">
        <v>0</v>
      </c>
      <c r="J315">
        <v>19.664999999999999</v>
      </c>
      <c r="K315" s="1">
        <v>-1179.9000000000001</v>
      </c>
      <c r="L315" t="s">
        <v>181</v>
      </c>
    </row>
    <row r="316" spans="1:12" outlineLevel="2" x14ac:dyDescent="0.3">
      <c r="A316" t="s">
        <v>36</v>
      </c>
      <c r="B316" t="s">
        <v>133</v>
      </c>
      <c r="C316" t="s">
        <v>38</v>
      </c>
      <c r="D316" s="3">
        <v>42753</v>
      </c>
      <c r="E316" t="s">
        <v>46</v>
      </c>
      <c r="F316">
        <v>60</v>
      </c>
      <c r="G316">
        <v>1</v>
      </c>
      <c r="H316">
        <v>0</v>
      </c>
      <c r="I316">
        <v>0</v>
      </c>
      <c r="J316">
        <v>19.664999999999999</v>
      </c>
      <c r="K316" s="1">
        <v>1179.9000000000001</v>
      </c>
      <c r="L316" t="s">
        <v>181</v>
      </c>
    </row>
    <row r="317" spans="1:12" outlineLevel="2" x14ac:dyDescent="0.3">
      <c r="A317" t="s">
        <v>36</v>
      </c>
      <c r="B317" t="s">
        <v>134</v>
      </c>
      <c r="C317" t="s">
        <v>63</v>
      </c>
      <c r="D317" s="3">
        <v>42753</v>
      </c>
      <c r="E317" t="s">
        <v>56</v>
      </c>
      <c r="F317">
        <v>-4409</v>
      </c>
      <c r="G317">
        <v>1</v>
      </c>
      <c r="H317">
        <v>0</v>
      </c>
      <c r="I317">
        <v>0</v>
      </c>
      <c r="J317">
        <v>19.0779</v>
      </c>
      <c r="K317" s="1">
        <v>-84114.57</v>
      </c>
      <c r="L317" t="s">
        <v>254</v>
      </c>
    </row>
    <row r="318" spans="1:12" outlineLevel="2" x14ac:dyDescent="0.3">
      <c r="A318" t="s">
        <v>36</v>
      </c>
      <c r="B318" t="s">
        <v>134</v>
      </c>
      <c r="C318" t="s">
        <v>40</v>
      </c>
      <c r="D318" s="3">
        <v>42753</v>
      </c>
      <c r="E318" t="s">
        <v>56</v>
      </c>
      <c r="F318">
        <v>500</v>
      </c>
      <c r="G318">
        <v>1</v>
      </c>
      <c r="H318">
        <v>0</v>
      </c>
      <c r="I318">
        <v>0</v>
      </c>
      <c r="J318">
        <v>19.0779</v>
      </c>
      <c r="K318" s="1">
        <v>9538.9500000000007</v>
      </c>
      <c r="L318" t="s">
        <v>255</v>
      </c>
    </row>
    <row r="319" spans="1:12" outlineLevel="2" x14ac:dyDescent="0.3">
      <c r="A319" t="s">
        <v>36</v>
      </c>
      <c r="B319" t="s">
        <v>136</v>
      </c>
      <c r="C319" t="s">
        <v>63</v>
      </c>
      <c r="D319" s="3">
        <v>42753</v>
      </c>
      <c r="E319" t="s">
        <v>56</v>
      </c>
      <c r="F319">
        <v>-4409</v>
      </c>
      <c r="G319">
        <v>1</v>
      </c>
      <c r="H319">
        <v>0</v>
      </c>
      <c r="I319">
        <v>0</v>
      </c>
      <c r="J319">
        <v>19.0779</v>
      </c>
      <c r="K319" s="1">
        <v>-84114.57</v>
      </c>
      <c r="L319" t="s">
        <v>259</v>
      </c>
    </row>
    <row r="320" spans="1:12" outlineLevel="2" x14ac:dyDescent="0.3">
      <c r="A320" t="s">
        <v>36</v>
      </c>
      <c r="B320" t="s">
        <v>136</v>
      </c>
      <c r="C320" t="s">
        <v>63</v>
      </c>
      <c r="D320" s="3">
        <v>42753</v>
      </c>
      <c r="E320" t="s">
        <v>56</v>
      </c>
      <c r="F320">
        <v>-500</v>
      </c>
      <c r="G320">
        <v>1</v>
      </c>
      <c r="H320">
        <v>0</v>
      </c>
      <c r="I320">
        <v>0</v>
      </c>
      <c r="J320">
        <v>19.0779</v>
      </c>
      <c r="K320" s="1">
        <v>-9538.9500000000007</v>
      </c>
      <c r="L320" t="s">
        <v>255</v>
      </c>
    </row>
    <row r="321" spans="1:12" outlineLevel="2" x14ac:dyDescent="0.3">
      <c r="A321" t="s">
        <v>36</v>
      </c>
      <c r="B321" t="s">
        <v>136</v>
      </c>
      <c r="C321" t="s">
        <v>40</v>
      </c>
      <c r="D321" s="3">
        <v>42753</v>
      </c>
      <c r="E321" t="s">
        <v>56</v>
      </c>
      <c r="F321">
        <v>4409</v>
      </c>
      <c r="G321">
        <v>1</v>
      </c>
      <c r="H321">
        <v>0</v>
      </c>
      <c r="I321">
        <v>0</v>
      </c>
      <c r="J321">
        <v>19.0779</v>
      </c>
      <c r="K321" s="1">
        <v>84114.57</v>
      </c>
      <c r="L321" t="s">
        <v>254</v>
      </c>
    </row>
    <row r="322" spans="1:12" outlineLevel="2" x14ac:dyDescent="0.3">
      <c r="A322" t="s">
        <v>36</v>
      </c>
      <c r="B322" t="s">
        <v>136</v>
      </c>
      <c r="C322" t="s">
        <v>40</v>
      </c>
      <c r="D322" s="3">
        <v>42753</v>
      </c>
      <c r="E322" t="s">
        <v>56</v>
      </c>
      <c r="F322">
        <v>500</v>
      </c>
      <c r="G322">
        <v>1</v>
      </c>
      <c r="H322">
        <v>0</v>
      </c>
      <c r="I322">
        <v>0</v>
      </c>
      <c r="J322">
        <v>19.0779</v>
      </c>
      <c r="K322" s="1">
        <v>9538.9599999999991</v>
      </c>
      <c r="L322" t="s">
        <v>260</v>
      </c>
    </row>
    <row r="323" spans="1:12" outlineLevel="2" x14ac:dyDescent="0.3">
      <c r="A323" t="s">
        <v>36</v>
      </c>
      <c r="B323" t="s">
        <v>136</v>
      </c>
      <c r="C323" t="s">
        <v>123</v>
      </c>
      <c r="D323" s="3">
        <v>42753</v>
      </c>
      <c r="E323" t="s">
        <v>56</v>
      </c>
      <c r="F323">
        <v>0</v>
      </c>
      <c r="G323">
        <v>1</v>
      </c>
      <c r="H323">
        <v>0</v>
      </c>
      <c r="I323">
        <v>0</v>
      </c>
      <c r="J323">
        <v>0</v>
      </c>
      <c r="K323" s="1">
        <v>-0.01</v>
      </c>
      <c r="L323" t="s">
        <v>260</v>
      </c>
    </row>
    <row r="324" spans="1:12" outlineLevel="2" x14ac:dyDescent="0.3">
      <c r="A324" t="s">
        <v>36</v>
      </c>
      <c r="B324" t="s">
        <v>138</v>
      </c>
      <c r="C324" t="s">
        <v>38</v>
      </c>
      <c r="D324" s="3">
        <v>42753</v>
      </c>
      <c r="E324" t="s">
        <v>39</v>
      </c>
      <c r="F324">
        <v>3909</v>
      </c>
      <c r="G324">
        <v>1</v>
      </c>
      <c r="H324">
        <v>0</v>
      </c>
      <c r="I324">
        <v>0</v>
      </c>
      <c r="J324">
        <v>19.0779</v>
      </c>
      <c r="K324" s="1">
        <v>74575.61</v>
      </c>
      <c r="L324" t="s">
        <v>261</v>
      </c>
    </row>
    <row r="325" spans="1:12" outlineLevel="2" x14ac:dyDescent="0.3">
      <c r="A325" t="s">
        <v>36</v>
      </c>
      <c r="B325" t="s">
        <v>138</v>
      </c>
      <c r="C325" t="s">
        <v>63</v>
      </c>
      <c r="D325" s="3">
        <v>42753</v>
      </c>
      <c r="E325" t="s">
        <v>56</v>
      </c>
      <c r="F325">
        <v>-500</v>
      </c>
      <c r="G325">
        <v>1</v>
      </c>
      <c r="H325">
        <v>0</v>
      </c>
      <c r="I325">
        <v>0</v>
      </c>
      <c r="J325">
        <v>19.0779</v>
      </c>
      <c r="K325" s="1">
        <v>-9538.9599999999991</v>
      </c>
      <c r="L325" t="s">
        <v>260</v>
      </c>
    </row>
    <row r="326" spans="1:12" outlineLevel="2" x14ac:dyDescent="0.3">
      <c r="A326" t="s">
        <v>36</v>
      </c>
      <c r="B326" t="s">
        <v>138</v>
      </c>
      <c r="C326" t="s">
        <v>40</v>
      </c>
      <c r="D326" s="3">
        <v>42753</v>
      </c>
      <c r="E326" t="s">
        <v>56</v>
      </c>
      <c r="F326">
        <v>4409</v>
      </c>
      <c r="G326">
        <v>1</v>
      </c>
      <c r="H326">
        <v>0</v>
      </c>
      <c r="I326">
        <v>0</v>
      </c>
      <c r="J326">
        <v>19.0779</v>
      </c>
      <c r="K326" s="1">
        <v>84114.57</v>
      </c>
      <c r="L326" t="s">
        <v>259</v>
      </c>
    </row>
    <row r="327" spans="1:12" outlineLevel="2" x14ac:dyDescent="0.3">
      <c r="A327" t="s">
        <v>36</v>
      </c>
      <c r="B327" t="s">
        <v>138</v>
      </c>
      <c r="C327" t="s">
        <v>38</v>
      </c>
      <c r="D327" s="3">
        <v>42753</v>
      </c>
      <c r="E327" t="s">
        <v>56</v>
      </c>
      <c r="F327">
        <v>-3909</v>
      </c>
      <c r="G327">
        <v>1</v>
      </c>
      <c r="H327">
        <v>0</v>
      </c>
      <c r="I327">
        <v>0</v>
      </c>
      <c r="J327">
        <v>19.0779</v>
      </c>
      <c r="K327" s="1">
        <v>-74575.61</v>
      </c>
      <c r="L327" t="s">
        <v>261</v>
      </c>
    </row>
    <row r="328" spans="1:12" outlineLevel="2" x14ac:dyDescent="0.3">
      <c r="A328" t="s">
        <v>36</v>
      </c>
      <c r="B328" t="s">
        <v>147</v>
      </c>
      <c r="C328" t="s">
        <v>40</v>
      </c>
      <c r="D328" s="3">
        <v>42753</v>
      </c>
      <c r="E328" t="s">
        <v>56</v>
      </c>
      <c r="F328">
        <v>3430</v>
      </c>
      <c r="G328">
        <v>1</v>
      </c>
      <c r="H328">
        <v>0</v>
      </c>
      <c r="I328">
        <v>0</v>
      </c>
      <c r="J328">
        <v>16.5611</v>
      </c>
      <c r="K328" s="1">
        <v>56804.47</v>
      </c>
      <c r="L328" t="s">
        <v>263</v>
      </c>
    </row>
    <row r="329" spans="1:12" outlineLevel="2" x14ac:dyDescent="0.3">
      <c r="A329" t="s">
        <v>36</v>
      </c>
      <c r="B329" t="s">
        <v>148</v>
      </c>
      <c r="C329" t="s">
        <v>40</v>
      </c>
      <c r="D329" s="3">
        <v>42753</v>
      </c>
      <c r="E329" t="s">
        <v>56</v>
      </c>
      <c r="F329">
        <v>6589</v>
      </c>
      <c r="G329">
        <v>1</v>
      </c>
      <c r="H329">
        <v>0</v>
      </c>
      <c r="I329">
        <v>0</v>
      </c>
      <c r="J329">
        <v>16.156600000000001</v>
      </c>
      <c r="K329" s="1">
        <v>106456.09</v>
      </c>
      <c r="L329" t="s">
        <v>263</v>
      </c>
    </row>
    <row r="330" spans="1:12" outlineLevel="2" x14ac:dyDescent="0.3">
      <c r="A330" t="s">
        <v>36</v>
      </c>
      <c r="B330" t="s">
        <v>149</v>
      </c>
      <c r="C330" t="s">
        <v>40</v>
      </c>
      <c r="D330" s="3">
        <v>42753</v>
      </c>
      <c r="E330" t="s">
        <v>56</v>
      </c>
      <c r="F330">
        <v>2500</v>
      </c>
      <c r="G330">
        <v>1</v>
      </c>
      <c r="H330">
        <v>0</v>
      </c>
      <c r="I330">
        <v>0</v>
      </c>
      <c r="J330">
        <v>16.156600000000001</v>
      </c>
      <c r="K330" s="1">
        <v>40391.589999999997</v>
      </c>
      <c r="L330" t="s">
        <v>263</v>
      </c>
    </row>
    <row r="331" spans="1:12" outlineLevel="2" x14ac:dyDescent="0.3">
      <c r="A331" t="s">
        <v>36</v>
      </c>
      <c r="B331" t="s">
        <v>150</v>
      </c>
      <c r="C331" t="s">
        <v>38</v>
      </c>
      <c r="D331" s="3">
        <v>42753</v>
      </c>
      <c r="E331" t="s">
        <v>39</v>
      </c>
      <c r="F331">
        <v>-2500</v>
      </c>
      <c r="G331">
        <v>1</v>
      </c>
      <c r="H331">
        <v>0</v>
      </c>
      <c r="I331">
        <v>0</v>
      </c>
      <c r="J331">
        <v>18.164999999999999</v>
      </c>
      <c r="K331" s="1">
        <v>-45412.5</v>
      </c>
      <c r="L331" t="s">
        <v>264</v>
      </c>
    </row>
    <row r="332" spans="1:12" outlineLevel="2" x14ac:dyDescent="0.3">
      <c r="A332" t="s">
        <v>36</v>
      </c>
      <c r="B332" t="s">
        <v>150</v>
      </c>
      <c r="C332" t="s">
        <v>38</v>
      </c>
      <c r="D332" s="3">
        <v>42753</v>
      </c>
      <c r="E332" t="s">
        <v>39</v>
      </c>
      <c r="F332">
        <v>-500</v>
      </c>
      <c r="G332">
        <v>1</v>
      </c>
      <c r="H332">
        <v>0</v>
      </c>
      <c r="I332">
        <v>0</v>
      </c>
      <c r="J332">
        <v>18.164999999999999</v>
      </c>
      <c r="K332" s="1">
        <v>-9082.5</v>
      </c>
      <c r="L332" t="s">
        <v>181</v>
      </c>
    </row>
    <row r="333" spans="1:12" outlineLevel="2" x14ac:dyDescent="0.3">
      <c r="A333" t="s">
        <v>36</v>
      </c>
      <c r="B333" t="s">
        <v>150</v>
      </c>
      <c r="C333" t="s">
        <v>63</v>
      </c>
      <c r="D333" s="3">
        <v>42753</v>
      </c>
      <c r="E333" t="s">
        <v>41</v>
      </c>
      <c r="F333">
        <v>-8500</v>
      </c>
      <c r="G333">
        <v>1</v>
      </c>
      <c r="H333">
        <v>0</v>
      </c>
      <c r="I333">
        <v>0</v>
      </c>
      <c r="J333">
        <v>17.5746</v>
      </c>
      <c r="K333" s="1">
        <v>-149384.1</v>
      </c>
      <c r="L333" t="s">
        <v>265</v>
      </c>
    </row>
    <row r="334" spans="1:12" outlineLevel="2" x14ac:dyDescent="0.3">
      <c r="A334" t="s">
        <v>36</v>
      </c>
      <c r="B334" t="s">
        <v>150</v>
      </c>
      <c r="C334" t="s">
        <v>38</v>
      </c>
      <c r="D334" s="3">
        <v>42753</v>
      </c>
      <c r="E334" t="s">
        <v>46</v>
      </c>
      <c r="F334">
        <v>500</v>
      </c>
      <c r="G334">
        <v>1</v>
      </c>
      <c r="H334">
        <v>0</v>
      </c>
      <c r="I334">
        <v>0</v>
      </c>
      <c r="J334">
        <v>18.164999999999999</v>
      </c>
      <c r="K334" s="1">
        <v>9082.5</v>
      </c>
      <c r="L334" t="s">
        <v>181</v>
      </c>
    </row>
    <row r="335" spans="1:12" outlineLevel="2" x14ac:dyDescent="0.3">
      <c r="A335" t="s">
        <v>36</v>
      </c>
      <c r="B335" t="s">
        <v>150</v>
      </c>
      <c r="C335" t="s">
        <v>63</v>
      </c>
      <c r="D335" s="3">
        <v>42753</v>
      </c>
      <c r="E335" t="s">
        <v>56</v>
      </c>
      <c r="F335">
        <v>-2500</v>
      </c>
      <c r="G335">
        <v>1</v>
      </c>
      <c r="H335">
        <v>0</v>
      </c>
      <c r="I335">
        <v>0</v>
      </c>
      <c r="J335">
        <v>16.156600000000001</v>
      </c>
      <c r="K335" s="1">
        <v>-40391.589999999997</v>
      </c>
      <c r="L335" t="s">
        <v>263</v>
      </c>
    </row>
    <row r="336" spans="1:12" outlineLevel="2" x14ac:dyDescent="0.3">
      <c r="A336" t="s">
        <v>36</v>
      </c>
      <c r="B336" t="s">
        <v>150</v>
      </c>
      <c r="C336" t="s">
        <v>63</v>
      </c>
      <c r="D336" s="3">
        <v>42753</v>
      </c>
      <c r="E336" t="s">
        <v>56</v>
      </c>
      <c r="F336">
        <v>-6589</v>
      </c>
      <c r="G336">
        <v>1</v>
      </c>
      <c r="H336">
        <v>0</v>
      </c>
      <c r="I336">
        <v>0</v>
      </c>
      <c r="J336">
        <v>16.156600000000001</v>
      </c>
      <c r="K336" s="1">
        <v>-106456.09</v>
      </c>
      <c r="L336" t="s">
        <v>263</v>
      </c>
    </row>
    <row r="337" spans="1:12" outlineLevel="2" x14ac:dyDescent="0.3">
      <c r="A337" t="s">
        <v>36</v>
      </c>
      <c r="B337" t="s">
        <v>150</v>
      </c>
      <c r="C337" t="s">
        <v>38</v>
      </c>
      <c r="D337" s="3">
        <v>42753</v>
      </c>
      <c r="E337" t="s">
        <v>56</v>
      </c>
      <c r="F337">
        <v>2500</v>
      </c>
      <c r="G337">
        <v>1</v>
      </c>
      <c r="H337">
        <v>0</v>
      </c>
      <c r="I337">
        <v>0</v>
      </c>
      <c r="J337">
        <v>18.164999999999999</v>
      </c>
      <c r="K337" s="1">
        <v>45412.5</v>
      </c>
      <c r="L337" t="s">
        <v>264</v>
      </c>
    </row>
    <row r="338" spans="1:12" outlineLevel="2" x14ac:dyDescent="0.3">
      <c r="A338" t="s">
        <v>36</v>
      </c>
      <c r="B338" t="s">
        <v>153</v>
      </c>
      <c r="C338" t="s">
        <v>40</v>
      </c>
      <c r="D338" s="3">
        <v>42753</v>
      </c>
      <c r="E338" t="s">
        <v>41</v>
      </c>
      <c r="F338">
        <v>8500</v>
      </c>
      <c r="G338">
        <v>1</v>
      </c>
      <c r="H338">
        <v>0</v>
      </c>
      <c r="I338">
        <v>0</v>
      </c>
      <c r="J338">
        <v>17.5746</v>
      </c>
      <c r="K338" s="1">
        <v>149384.1</v>
      </c>
      <c r="L338" t="s">
        <v>265</v>
      </c>
    </row>
    <row r="339" spans="1:12" outlineLevel="2" x14ac:dyDescent="0.3">
      <c r="A339" t="s">
        <v>36</v>
      </c>
      <c r="B339" t="s">
        <v>153</v>
      </c>
      <c r="C339" t="s">
        <v>63</v>
      </c>
      <c r="D339" s="3">
        <v>42753</v>
      </c>
      <c r="E339" t="s">
        <v>56</v>
      </c>
      <c r="F339">
        <v>-3430</v>
      </c>
      <c r="G339">
        <v>1</v>
      </c>
      <c r="H339">
        <v>0</v>
      </c>
      <c r="I339">
        <v>0</v>
      </c>
      <c r="J339">
        <v>16.5611</v>
      </c>
      <c r="K339" s="1">
        <v>-56804.47</v>
      </c>
      <c r="L339" t="s">
        <v>263</v>
      </c>
    </row>
    <row r="340" spans="1:12" outlineLevel="2" x14ac:dyDescent="0.3">
      <c r="A340" t="s">
        <v>36</v>
      </c>
      <c r="B340" t="s">
        <v>165</v>
      </c>
      <c r="C340" t="s">
        <v>63</v>
      </c>
      <c r="D340" s="3">
        <v>42753</v>
      </c>
      <c r="E340" t="s">
        <v>39</v>
      </c>
      <c r="F340">
        <v>-236</v>
      </c>
      <c r="G340">
        <v>32.151000000000003</v>
      </c>
      <c r="H340">
        <v>0</v>
      </c>
      <c r="I340">
        <v>0</v>
      </c>
      <c r="J340">
        <v>565.87459999999999</v>
      </c>
      <c r="K340" s="1">
        <v>-133546.41</v>
      </c>
      <c r="L340" t="s">
        <v>197</v>
      </c>
    </row>
    <row r="341" spans="1:12" outlineLevel="2" x14ac:dyDescent="0.3">
      <c r="A341" t="s">
        <v>36</v>
      </c>
      <c r="B341" t="s">
        <v>166</v>
      </c>
      <c r="C341" t="s">
        <v>40</v>
      </c>
      <c r="D341" s="3">
        <v>42753</v>
      </c>
      <c r="E341" t="s">
        <v>39</v>
      </c>
      <c r="F341">
        <v>236</v>
      </c>
      <c r="G341">
        <v>32.151000000000003</v>
      </c>
      <c r="H341">
        <v>0</v>
      </c>
      <c r="I341">
        <v>0</v>
      </c>
      <c r="J341">
        <v>565.87459999999999</v>
      </c>
      <c r="K341" s="1">
        <v>133546.41</v>
      </c>
      <c r="L341" t="s">
        <v>197</v>
      </c>
    </row>
    <row r="342" spans="1:12" outlineLevel="1" x14ac:dyDescent="0.3">
      <c r="D342" s="7" t="s">
        <v>280</v>
      </c>
      <c r="K342" s="1">
        <f>SUM(K279:K341)</f>
        <v>-1.0000000009313226E-2</v>
      </c>
    </row>
    <row r="343" spans="1:12" outlineLevel="2" x14ac:dyDescent="0.3">
      <c r="A343" t="s">
        <v>36</v>
      </c>
      <c r="B343" t="s">
        <v>64</v>
      </c>
      <c r="C343" t="s">
        <v>63</v>
      </c>
      <c r="D343" s="3">
        <v>42754</v>
      </c>
      <c r="E343" t="s">
        <v>39</v>
      </c>
      <c r="F343">
        <v>-10</v>
      </c>
      <c r="G343">
        <v>100</v>
      </c>
      <c r="H343">
        <v>0</v>
      </c>
      <c r="I343">
        <v>0</v>
      </c>
      <c r="J343">
        <v>1732.4555</v>
      </c>
      <c r="K343" s="1">
        <v>-17324.560000000001</v>
      </c>
      <c r="L343" t="s">
        <v>198</v>
      </c>
    </row>
    <row r="344" spans="1:12" outlineLevel="2" x14ac:dyDescent="0.3">
      <c r="A344" t="s">
        <v>36</v>
      </c>
      <c r="B344" t="s">
        <v>79</v>
      </c>
      <c r="C344" t="s">
        <v>40</v>
      </c>
      <c r="D344" s="3">
        <v>42754</v>
      </c>
      <c r="E344" t="s">
        <v>39</v>
      </c>
      <c r="F344">
        <v>1000</v>
      </c>
      <c r="G344">
        <v>1</v>
      </c>
      <c r="H344">
        <v>0</v>
      </c>
      <c r="I344">
        <v>0</v>
      </c>
      <c r="J344">
        <v>17.3246</v>
      </c>
      <c r="K344" s="1">
        <v>17324.560000000001</v>
      </c>
      <c r="L344" t="s">
        <v>198</v>
      </c>
    </row>
    <row r="345" spans="1:12" outlineLevel="2" x14ac:dyDescent="0.3">
      <c r="A345" t="s">
        <v>36</v>
      </c>
      <c r="B345" t="s">
        <v>79</v>
      </c>
      <c r="C345" t="s">
        <v>40</v>
      </c>
      <c r="D345" s="3">
        <v>42754</v>
      </c>
      <c r="E345" t="s">
        <v>39</v>
      </c>
      <c r="F345">
        <v>995.4</v>
      </c>
      <c r="G345">
        <v>1</v>
      </c>
      <c r="H345">
        <v>0</v>
      </c>
      <c r="I345">
        <v>0</v>
      </c>
      <c r="J345">
        <v>16.345600000000001</v>
      </c>
      <c r="K345" s="1">
        <v>16270.44</v>
      </c>
      <c r="L345" t="s">
        <v>198</v>
      </c>
    </row>
    <row r="346" spans="1:12" outlineLevel="2" x14ac:dyDescent="0.3">
      <c r="A346" t="s">
        <v>36</v>
      </c>
      <c r="B346" t="s">
        <v>79</v>
      </c>
      <c r="C346" t="s">
        <v>38</v>
      </c>
      <c r="D346" s="3">
        <v>42754</v>
      </c>
      <c r="E346" t="s">
        <v>39</v>
      </c>
      <c r="F346">
        <v>1</v>
      </c>
      <c r="G346">
        <v>1</v>
      </c>
      <c r="H346">
        <v>0</v>
      </c>
      <c r="I346">
        <v>0</v>
      </c>
      <c r="J346">
        <v>17.61</v>
      </c>
      <c r="K346" s="1">
        <v>17.61</v>
      </c>
      <c r="L346" t="s">
        <v>209</v>
      </c>
    </row>
    <row r="347" spans="1:12" outlineLevel="2" x14ac:dyDescent="0.3">
      <c r="A347" t="s">
        <v>36</v>
      </c>
      <c r="B347" t="s">
        <v>79</v>
      </c>
      <c r="C347" t="s">
        <v>38</v>
      </c>
      <c r="D347" s="3">
        <v>42754</v>
      </c>
      <c r="E347" t="s">
        <v>80</v>
      </c>
      <c r="F347">
        <v>-1</v>
      </c>
      <c r="G347">
        <v>1</v>
      </c>
      <c r="H347">
        <v>0</v>
      </c>
      <c r="I347">
        <v>0</v>
      </c>
      <c r="J347">
        <v>17.61</v>
      </c>
      <c r="K347" s="1">
        <v>-17.61</v>
      </c>
      <c r="L347" t="s">
        <v>209</v>
      </c>
    </row>
    <row r="348" spans="1:12" outlineLevel="2" x14ac:dyDescent="0.3">
      <c r="A348" t="s">
        <v>36</v>
      </c>
      <c r="B348" t="s">
        <v>82</v>
      </c>
      <c r="C348" t="s">
        <v>38</v>
      </c>
      <c r="D348" s="3">
        <v>42754</v>
      </c>
      <c r="E348" t="s">
        <v>39</v>
      </c>
      <c r="F348">
        <v>976.06</v>
      </c>
      <c r="G348">
        <v>1</v>
      </c>
      <c r="H348">
        <v>0</v>
      </c>
      <c r="I348">
        <v>0</v>
      </c>
      <c r="J348">
        <v>16.444800000000001</v>
      </c>
      <c r="K348" s="1">
        <v>16051.12</v>
      </c>
      <c r="L348" t="s">
        <v>209</v>
      </c>
    </row>
    <row r="349" spans="1:12" outlineLevel="2" x14ac:dyDescent="0.3">
      <c r="A349" t="s">
        <v>36</v>
      </c>
      <c r="B349" t="s">
        <v>82</v>
      </c>
      <c r="C349" t="s">
        <v>38</v>
      </c>
      <c r="D349" s="3">
        <v>42754</v>
      </c>
      <c r="E349" t="s">
        <v>46</v>
      </c>
      <c r="F349">
        <v>-976.06</v>
      </c>
      <c r="G349">
        <v>1</v>
      </c>
      <c r="H349">
        <v>0</v>
      </c>
      <c r="I349">
        <v>0</v>
      </c>
      <c r="J349">
        <v>16.444800000000001</v>
      </c>
      <c r="K349" s="1">
        <v>-16051.12</v>
      </c>
      <c r="L349" t="s">
        <v>209</v>
      </c>
    </row>
    <row r="350" spans="1:12" outlineLevel="2" x14ac:dyDescent="0.3">
      <c r="A350" t="s">
        <v>36</v>
      </c>
      <c r="B350" t="s">
        <v>86</v>
      </c>
      <c r="C350" t="s">
        <v>63</v>
      </c>
      <c r="D350" s="3">
        <v>42754</v>
      </c>
      <c r="E350" t="s">
        <v>39</v>
      </c>
      <c r="F350">
        <v>-995.4</v>
      </c>
      <c r="G350">
        <v>1</v>
      </c>
      <c r="H350">
        <v>0</v>
      </c>
      <c r="I350">
        <v>0</v>
      </c>
      <c r="J350">
        <v>16.345600000000001</v>
      </c>
      <c r="K350" s="1">
        <v>-16270.44</v>
      </c>
      <c r="L350" t="s">
        <v>198</v>
      </c>
    </row>
    <row r="351" spans="1:12" outlineLevel="2" x14ac:dyDescent="0.3">
      <c r="A351" t="s">
        <v>36</v>
      </c>
      <c r="B351" t="s">
        <v>133</v>
      </c>
      <c r="C351" t="s">
        <v>38</v>
      </c>
      <c r="D351" s="3">
        <v>42754</v>
      </c>
      <c r="E351" t="s">
        <v>39</v>
      </c>
      <c r="F351">
        <v>-300</v>
      </c>
      <c r="G351">
        <v>1</v>
      </c>
      <c r="H351">
        <v>0</v>
      </c>
      <c r="I351">
        <v>0</v>
      </c>
      <c r="J351">
        <v>19.664999999999999</v>
      </c>
      <c r="K351" s="1">
        <v>-5899.5</v>
      </c>
      <c r="L351" t="s">
        <v>253</v>
      </c>
    </row>
    <row r="352" spans="1:12" outlineLevel="2" x14ac:dyDescent="0.3">
      <c r="A352" t="s">
        <v>36</v>
      </c>
      <c r="B352" t="s">
        <v>133</v>
      </c>
      <c r="C352" t="s">
        <v>38</v>
      </c>
      <c r="D352" s="3">
        <v>42754</v>
      </c>
      <c r="E352" t="s">
        <v>44</v>
      </c>
      <c r="F352">
        <v>300</v>
      </c>
      <c r="G352">
        <v>1</v>
      </c>
      <c r="H352">
        <v>0</v>
      </c>
      <c r="I352">
        <v>0</v>
      </c>
      <c r="J352">
        <v>19.664999999999999</v>
      </c>
      <c r="K352" s="1">
        <v>5899.5</v>
      </c>
      <c r="L352" t="s">
        <v>253</v>
      </c>
    </row>
    <row r="353" spans="1:12" outlineLevel="2" x14ac:dyDescent="0.3">
      <c r="A353" t="s">
        <v>36</v>
      </c>
      <c r="B353" t="s">
        <v>136</v>
      </c>
      <c r="C353" t="s">
        <v>63</v>
      </c>
      <c r="D353" s="3">
        <v>42754</v>
      </c>
      <c r="E353" t="s">
        <v>39</v>
      </c>
      <c r="F353">
        <v>-250</v>
      </c>
      <c r="G353">
        <v>1</v>
      </c>
      <c r="H353">
        <v>0</v>
      </c>
      <c r="I353">
        <v>0</v>
      </c>
      <c r="J353">
        <v>17.9788</v>
      </c>
      <c r="K353" s="1">
        <v>-4494.7</v>
      </c>
      <c r="L353" t="s">
        <v>198</v>
      </c>
    </row>
    <row r="354" spans="1:12" outlineLevel="2" x14ac:dyDescent="0.3">
      <c r="A354" t="s">
        <v>36</v>
      </c>
      <c r="B354" t="s">
        <v>138</v>
      </c>
      <c r="C354" t="s">
        <v>40</v>
      </c>
      <c r="D354" s="3">
        <v>42754</v>
      </c>
      <c r="E354" t="s">
        <v>39</v>
      </c>
      <c r="F354">
        <v>250</v>
      </c>
      <c r="G354">
        <v>1</v>
      </c>
      <c r="H354">
        <v>0</v>
      </c>
      <c r="I354">
        <v>0</v>
      </c>
      <c r="J354">
        <v>17.9788</v>
      </c>
      <c r="K354" s="1">
        <v>4494.7</v>
      </c>
      <c r="L354" t="s">
        <v>198</v>
      </c>
    </row>
    <row r="355" spans="1:12" outlineLevel="1" x14ac:dyDescent="0.3">
      <c r="D355" s="7" t="s">
        <v>281</v>
      </c>
      <c r="K355" s="1">
        <f>SUM(K343:K354)</f>
        <v>0</v>
      </c>
    </row>
    <row r="356" spans="1:12" outlineLevel="2" x14ac:dyDescent="0.3">
      <c r="A356" t="s">
        <v>36</v>
      </c>
      <c r="B356" t="s">
        <v>69</v>
      </c>
      <c r="C356" t="s">
        <v>63</v>
      </c>
      <c r="D356" s="3">
        <v>42755</v>
      </c>
      <c r="E356" t="s">
        <v>70</v>
      </c>
      <c r="F356">
        <v>-8406.2000000000007</v>
      </c>
      <c r="G356">
        <v>1</v>
      </c>
      <c r="H356">
        <v>0</v>
      </c>
      <c r="I356">
        <v>0</v>
      </c>
      <c r="J356">
        <v>16.108799999999999</v>
      </c>
      <c r="K356" s="1">
        <v>-135413.78</v>
      </c>
      <c r="L356" t="s">
        <v>202</v>
      </c>
    </row>
    <row r="357" spans="1:12" outlineLevel="2" x14ac:dyDescent="0.3">
      <c r="A357" t="s">
        <v>36</v>
      </c>
      <c r="B357" t="s">
        <v>79</v>
      </c>
      <c r="C357" t="s">
        <v>63</v>
      </c>
      <c r="D357" s="3">
        <v>42755</v>
      </c>
      <c r="E357" t="s">
        <v>39</v>
      </c>
      <c r="F357">
        <v>-995.4</v>
      </c>
      <c r="G357">
        <v>1</v>
      </c>
      <c r="H357">
        <v>0</v>
      </c>
      <c r="I357">
        <v>0</v>
      </c>
      <c r="J357">
        <v>16.5059</v>
      </c>
      <c r="K357" s="1">
        <v>-16429.96</v>
      </c>
      <c r="L357" t="s">
        <v>210</v>
      </c>
    </row>
    <row r="358" spans="1:12" outlineLevel="2" x14ac:dyDescent="0.3">
      <c r="A358" t="s">
        <v>36</v>
      </c>
      <c r="B358" t="s">
        <v>79</v>
      </c>
      <c r="C358" t="s">
        <v>63</v>
      </c>
      <c r="D358" s="3">
        <v>42755</v>
      </c>
      <c r="E358" t="s">
        <v>39</v>
      </c>
      <c r="F358">
        <v>-995.4</v>
      </c>
      <c r="G358">
        <v>1</v>
      </c>
      <c r="H358">
        <v>0</v>
      </c>
      <c r="I358">
        <v>0</v>
      </c>
      <c r="J358">
        <v>16.5059</v>
      </c>
      <c r="K358" s="1">
        <v>-16429.96</v>
      </c>
      <c r="L358" t="s">
        <v>211</v>
      </c>
    </row>
    <row r="359" spans="1:12" outlineLevel="2" x14ac:dyDescent="0.3">
      <c r="A359" t="s">
        <v>36</v>
      </c>
      <c r="B359" t="s">
        <v>82</v>
      </c>
      <c r="C359" t="s">
        <v>38</v>
      </c>
      <c r="D359" s="3">
        <v>42755</v>
      </c>
      <c r="E359" t="s">
        <v>39</v>
      </c>
      <c r="F359">
        <v>1007.86</v>
      </c>
      <c r="G359">
        <v>1</v>
      </c>
      <c r="H359">
        <v>0</v>
      </c>
      <c r="I359">
        <v>0</v>
      </c>
      <c r="J359">
        <v>16.480599999999999</v>
      </c>
      <c r="K359" s="1">
        <v>16610.13</v>
      </c>
      <c r="L359" t="s">
        <v>219</v>
      </c>
    </row>
    <row r="360" spans="1:12" outlineLevel="2" x14ac:dyDescent="0.3">
      <c r="A360" t="s">
        <v>36</v>
      </c>
      <c r="B360" t="s">
        <v>82</v>
      </c>
      <c r="C360" t="s">
        <v>38</v>
      </c>
      <c r="D360" s="3">
        <v>42755</v>
      </c>
      <c r="E360" t="s">
        <v>47</v>
      </c>
      <c r="F360">
        <v>-1007.86</v>
      </c>
      <c r="G360">
        <v>1</v>
      </c>
      <c r="H360">
        <v>0</v>
      </c>
      <c r="I360">
        <v>0</v>
      </c>
      <c r="J360">
        <v>16.480599999999999</v>
      </c>
      <c r="K360" s="1">
        <v>-16610.13</v>
      </c>
      <c r="L360" t="s">
        <v>219</v>
      </c>
    </row>
    <row r="361" spans="1:12" outlineLevel="2" x14ac:dyDescent="0.3">
      <c r="A361" t="s">
        <v>36</v>
      </c>
      <c r="B361" t="s">
        <v>86</v>
      </c>
      <c r="C361" t="s">
        <v>40</v>
      </c>
      <c r="D361" s="3">
        <v>42755</v>
      </c>
      <c r="E361" t="s">
        <v>39</v>
      </c>
      <c r="F361">
        <v>995.4</v>
      </c>
      <c r="G361">
        <v>1</v>
      </c>
      <c r="H361">
        <v>0</v>
      </c>
      <c r="I361">
        <v>0</v>
      </c>
      <c r="J361">
        <v>16.5059</v>
      </c>
      <c r="K361" s="1">
        <v>16429.96</v>
      </c>
      <c r="L361" t="s">
        <v>210</v>
      </c>
    </row>
    <row r="362" spans="1:12" outlineLevel="2" x14ac:dyDescent="0.3">
      <c r="A362" t="s">
        <v>36</v>
      </c>
      <c r="B362" t="s">
        <v>86</v>
      </c>
      <c r="C362" t="s">
        <v>40</v>
      </c>
      <c r="D362" s="3">
        <v>42755</v>
      </c>
      <c r="E362" t="s">
        <v>39</v>
      </c>
      <c r="F362">
        <v>995.4</v>
      </c>
      <c r="G362">
        <v>1</v>
      </c>
      <c r="H362">
        <v>0</v>
      </c>
      <c r="I362">
        <v>0</v>
      </c>
      <c r="J362">
        <v>16.5059</v>
      </c>
      <c r="K362" s="1">
        <v>16429.96</v>
      </c>
      <c r="L362" t="s">
        <v>211</v>
      </c>
    </row>
    <row r="363" spans="1:12" outlineLevel="2" x14ac:dyDescent="0.3">
      <c r="A363" t="s">
        <v>36</v>
      </c>
      <c r="B363" t="s">
        <v>94</v>
      </c>
      <c r="C363" t="s">
        <v>38</v>
      </c>
      <c r="D363" s="3">
        <v>42755</v>
      </c>
      <c r="E363" t="s">
        <v>39</v>
      </c>
      <c r="F363">
        <v>-21</v>
      </c>
      <c r="G363">
        <v>5</v>
      </c>
      <c r="H363">
        <v>0</v>
      </c>
      <c r="I363">
        <v>0</v>
      </c>
      <c r="J363">
        <v>82.4</v>
      </c>
      <c r="K363" s="1">
        <v>-1730.4</v>
      </c>
      <c r="L363" t="s">
        <v>237</v>
      </c>
    </row>
    <row r="364" spans="1:12" outlineLevel="2" x14ac:dyDescent="0.3">
      <c r="A364" t="s">
        <v>36</v>
      </c>
      <c r="B364" t="s">
        <v>94</v>
      </c>
      <c r="C364" t="s">
        <v>38</v>
      </c>
      <c r="D364" s="3">
        <v>42755</v>
      </c>
      <c r="E364" t="s">
        <v>56</v>
      </c>
      <c r="F364">
        <v>21</v>
      </c>
      <c r="G364">
        <v>5</v>
      </c>
      <c r="H364">
        <v>0</v>
      </c>
      <c r="I364">
        <v>0</v>
      </c>
      <c r="J364">
        <v>82.4</v>
      </c>
      <c r="K364" s="1">
        <v>1730.4</v>
      </c>
      <c r="L364" t="s">
        <v>237</v>
      </c>
    </row>
    <row r="365" spans="1:12" outlineLevel="2" x14ac:dyDescent="0.3">
      <c r="A365" t="s">
        <v>36</v>
      </c>
      <c r="B365" t="s">
        <v>95</v>
      </c>
      <c r="C365" t="s">
        <v>38</v>
      </c>
      <c r="D365" s="3">
        <v>42755</v>
      </c>
      <c r="E365" t="s">
        <v>39</v>
      </c>
      <c r="F365">
        <v>800</v>
      </c>
      <c r="G365">
        <v>5</v>
      </c>
      <c r="H365">
        <v>0</v>
      </c>
      <c r="I365">
        <v>0</v>
      </c>
      <c r="J365">
        <v>85.35</v>
      </c>
      <c r="K365" s="1">
        <v>68280</v>
      </c>
      <c r="L365" t="s">
        <v>219</v>
      </c>
    </row>
    <row r="366" spans="1:12" outlineLevel="2" x14ac:dyDescent="0.3">
      <c r="A366" t="s">
        <v>36</v>
      </c>
      <c r="B366" t="s">
        <v>95</v>
      </c>
      <c r="C366" t="s">
        <v>40</v>
      </c>
      <c r="D366" s="3">
        <v>42755</v>
      </c>
      <c r="E366" t="s">
        <v>47</v>
      </c>
      <c r="F366">
        <v>800</v>
      </c>
      <c r="G366">
        <v>5</v>
      </c>
      <c r="H366">
        <v>0</v>
      </c>
      <c r="I366">
        <v>0</v>
      </c>
      <c r="J366">
        <v>85.35</v>
      </c>
      <c r="K366" s="1">
        <v>68280</v>
      </c>
      <c r="L366" t="s">
        <v>239</v>
      </c>
    </row>
    <row r="367" spans="1:12" outlineLevel="2" x14ac:dyDescent="0.3">
      <c r="A367" t="s">
        <v>36</v>
      </c>
      <c r="B367" t="s">
        <v>95</v>
      </c>
      <c r="C367" t="s">
        <v>38</v>
      </c>
      <c r="D367" s="3">
        <v>42755</v>
      </c>
      <c r="E367" t="s">
        <v>47</v>
      </c>
      <c r="F367">
        <v>-800</v>
      </c>
      <c r="G367">
        <v>5</v>
      </c>
      <c r="H367">
        <v>0</v>
      </c>
      <c r="I367">
        <v>0</v>
      </c>
      <c r="J367">
        <v>85.35</v>
      </c>
      <c r="K367" s="1">
        <v>-68280</v>
      </c>
      <c r="L367" t="s">
        <v>219</v>
      </c>
    </row>
    <row r="368" spans="1:12" outlineLevel="2" x14ac:dyDescent="0.3">
      <c r="A368" t="s">
        <v>36</v>
      </c>
      <c r="B368" t="s">
        <v>109</v>
      </c>
      <c r="C368" t="s">
        <v>38</v>
      </c>
      <c r="D368" s="3">
        <v>42755</v>
      </c>
      <c r="E368" t="s">
        <v>39</v>
      </c>
      <c r="F368">
        <v>-1000</v>
      </c>
      <c r="G368">
        <v>1</v>
      </c>
      <c r="H368">
        <v>0</v>
      </c>
      <c r="I368">
        <v>0</v>
      </c>
      <c r="J368">
        <v>18.664999999999999</v>
      </c>
      <c r="K368" s="1">
        <v>-18665</v>
      </c>
      <c r="L368" t="s">
        <v>219</v>
      </c>
    </row>
    <row r="369" spans="1:12" outlineLevel="2" x14ac:dyDescent="0.3">
      <c r="A369" t="s">
        <v>36</v>
      </c>
      <c r="B369" t="s">
        <v>109</v>
      </c>
      <c r="C369" t="s">
        <v>38</v>
      </c>
      <c r="D369" s="3">
        <v>42755</v>
      </c>
      <c r="E369" t="s">
        <v>39</v>
      </c>
      <c r="F369">
        <v>-10000</v>
      </c>
      <c r="G369">
        <v>1</v>
      </c>
      <c r="H369">
        <v>0</v>
      </c>
      <c r="I369">
        <v>0</v>
      </c>
      <c r="J369">
        <v>18.664999999999999</v>
      </c>
      <c r="K369" s="1">
        <v>-186650</v>
      </c>
      <c r="L369" t="s">
        <v>219</v>
      </c>
    </row>
    <row r="370" spans="1:12" outlineLevel="2" x14ac:dyDescent="0.3">
      <c r="A370" t="s">
        <v>36</v>
      </c>
      <c r="B370" t="s">
        <v>109</v>
      </c>
      <c r="C370" t="s">
        <v>38</v>
      </c>
      <c r="D370" s="3">
        <v>42755</v>
      </c>
      <c r="E370" t="s">
        <v>42</v>
      </c>
      <c r="F370">
        <v>10000</v>
      </c>
      <c r="G370">
        <v>1</v>
      </c>
      <c r="H370">
        <v>0</v>
      </c>
      <c r="I370">
        <v>0</v>
      </c>
      <c r="J370">
        <v>18.664999999999999</v>
      </c>
      <c r="K370" s="1">
        <v>186650</v>
      </c>
      <c r="L370" t="s">
        <v>219</v>
      </c>
    </row>
    <row r="371" spans="1:12" outlineLevel="2" x14ac:dyDescent="0.3">
      <c r="A371" t="s">
        <v>36</v>
      </c>
      <c r="B371" t="s">
        <v>109</v>
      </c>
      <c r="C371" t="s">
        <v>38</v>
      </c>
      <c r="D371" s="3">
        <v>42755</v>
      </c>
      <c r="E371" t="s">
        <v>43</v>
      </c>
      <c r="F371">
        <v>1000</v>
      </c>
      <c r="G371">
        <v>1</v>
      </c>
      <c r="H371">
        <v>0</v>
      </c>
      <c r="I371">
        <v>0</v>
      </c>
      <c r="J371">
        <v>18.664999999999999</v>
      </c>
      <c r="K371" s="1">
        <v>18665</v>
      </c>
      <c r="L371" t="s">
        <v>219</v>
      </c>
    </row>
    <row r="372" spans="1:12" outlineLevel="2" x14ac:dyDescent="0.3">
      <c r="A372" t="s">
        <v>36</v>
      </c>
      <c r="B372" t="s">
        <v>126</v>
      </c>
      <c r="C372" t="s">
        <v>38</v>
      </c>
      <c r="D372" s="3">
        <v>42755</v>
      </c>
      <c r="E372" t="s">
        <v>39</v>
      </c>
      <c r="F372">
        <v>-14000</v>
      </c>
      <c r="G372">
        <v>1</v>
      </c>
      <c r="H372">
        <v>0</v>
      </c>
      <c r="I372">
        <v>0</v>
      </c>
      <c r="J372">
        <v>18.399999999999999</v>
      </c>
      <c r="K372" s="1">
        <v>-257600</v>
      </c>
      <c r="L372" t="s">
        <v>219</v>
      </c>
    </row>
    <row r="373" spans="1:12" outlineLevel="2" x14ac:dyDescent="0.3">
      <c r="A373" t="s">
        <v>36</v>
      </c>
      <c r="B373" t="s">
        <v>126</v>
      </c>
      <c r="C373" t="s">
        <v>38</v>
      </c>
      <c r="D373" s="3">
        <v>42755</v>
      </c>
      <c r="E373" t="s">
        <v>42</v>
      </c>
      <c r="F373">
        <v>14000</v>
      </c>
      <c r="G373">
        <v>1</v>
      </c>
      <c r="H373">
        <v>0</v>
      </c>
      <c r="I373">
        <v>0</v>
      </c>
      <c r="J373">
        <v>18.399999999999999</v>
      </c>
      <c r="K373" s="1">
        <v>257600</v>
      </c>
      <c r="L373" t="s">
        <v>219</v>
      </c>
    </row>
    <row r="374" spans="1:12" outlineLevel="2" x14ac:dyDescent="0.3">
      <c r="A374" t="s">
        <v>36</v>
      </c>
      <c r="B374" t="s">
        <v>136</v>
      </c>
      <c r="C374" t="s">
        <v>38</v>
      </c>
      <c r="D374" s="3">
        <v>42755</v>
      </c>
      <c r="E374" t="s">
        <v>39</v>
      </c>
      <c r="F374">
        <v>-20000</v>
      </c>
      <c r="G374">
        <v>1</v>
      </c>
      <c r="H374">
        <v>0</v>
      </c>
      <c r="I374">
        <v>0</v>
      </c>
      <c r="J374">
        <v>17.9788</v>
      </c>
      <c r="K374" s="1">
        <v>-359575.74</v>
      </c>
      <c r="L374" t="s">
        <v>219</v>
      </c>
    </row>
    <row r="375" spans="1:12" outlineLevel="2" x14ac:dyDescent="0.3">
      <c r="A375" t="s">
        <v>36</v>
      </c>
      <c r="B375" t="s">
        <v>136</v>
      </c>
      <c r="C375" t="s">
        <v>38</v>
      </c>
      <c r="D375" s="3">
        <v>42755</v>
      </c>
      <c r="E375" t="s">
        <v>42</v>
      </c>
      <c r="F375">
        <v>20000</v>
      </c>
      <c r="G375">
        <v>1</v>
      </c>
      <c r="H375">
        <v>0</v>
      </c>
      <c r="I375">
        <v>0</v>
      </c>
      <c r="J375">
        <v>17.9788</v>
      </c>
      <c r="K375" s="1">
        <v>359575.74</v>
      </c>
      <c r="L375" t="s">
        <v>219</v>
      </c>
    </row>
    <row r="376" spans="1:12" outlineLevel="2" x14ac:dyDescent="0.3">
      <c r="A376" t="s">
        <v>36</v>
      </c>
      <c r="B376" t="s">
        <v>138</v>
      </c>
      <c r="C376" t="s">
        <v>38</v>
      </c>
      <c r="D376" s="3">
        <v>42755</v>
      </c>
      <c r="E376" t="s">
        <v>39</v>
      </c>
      <c r="F376">
        <v>-15000</v>
      </c>
      <c r="G376">
        <v>1</v>
      </c>
      <c r="H376">
        <v>0</v>
      </c>
      <c r="I376">
        <v>0</v>
      </c>
      <c r="J376">
        <v>19.1082</v>
      </c>
      <c r="K376" s="1">
        <v>-286622.88</v>
      </c>
      <c r="L376" t="s">
        <v>219</v>
      </c>
    </row>
    <row r="377" spans="1:12" outlineLevel="2" x14ac:dyDescent="0.3">
      <c r="A377" t="s">
        <v>36</v>
      </c>
      <c r="B377" t="s">
        <v>138</v>
      </c>
      <c r="C377" t="s">
        <v>38</v>
      </c>
      <c r="D377" s="3">
        <v>42755</v>
      </c>
      <c r="E377" t="s">
        <v>42</v>
      </c>
      <c r="F377">
        <v>15000</v>
      </c>
      <c r="G377">
        <v>1</v>
      </c>
      <c r="H377">
        <v>0</v>
      </c>
      <c r="I377">
        <v>0</v>
      </c>
      <c r="J377">
        <v>19.1082</v>
      </c>
      <c r="K377" s="1">
        <v>286622.88</v>
      </c>
      <c r="L377" t="s">
        <v>219</v>
      </c>
    </row>
    <row r="378" spans="1:12" outlineLevel="2" x14ac:dyDescent="0.3">
      <c r="A378" t="s">
        <v>36</v>
      </c>
      <c r="B378" t="s">
        <v>150</v>
      </c>
      <c r="C378" t="s">
        <v>38</v>
      </c>
      <c r="D378" s="3">
        <v>42755</v>
      </c>
      <c r="E378" t="s">
        <v>39</v>
      </c>
      <c r="F378">
        <v>-20000</v>
      </c>
      <c r="G378">
        <v>1</v>
      </c>
      <c r="H378">
        <v>0</v>
      </c>
      <c r="I378">
        <v>0</v>
      </c>
      <c r="J378">
        <v>18.164999999999999</v>
      </c>
      <c r="K378" s="1">
        <v>-363300</v>
      </c>
      <c r="L378" t="s">
        <v>219</v>
      </c>
    </row>
    <row r="379" spans="1:12" outlineLevel="2" x14ac:dyDescent="0.3">
      <c r="A379" t="s">
        <v>36</v>
      </c>
      <c r="B379" t="s">
        <v>150</v>
      </c>
      <c r="C379" t="s">
        <v>38</v>
      </c>
      <c r="D379" s="3">
        <v>42755</v>
      </c>
      <c r="E379" t="s">
        <v>42</v>
      </c>
      <c r="F379">
        <v>20000</v>
      </c>
      <c r="G379">
        <v>1</v>
      </c>
      <c r="H379">
        <v>0</v>
      </c>
      <c r="I379">
        <v>0</v>
      </c>
      <c r="J379">
        <v>18.164999999999999</v>
      </c>
      <c r="K379" s="1">
        <v>363300</v>
      </c>
      <c r="L379" t="s">
        <v>219</v>
      </c>
    </row>
    <row r="380" spans="1:12" outlineLevel="1" x14ac:dyDescent="0.3">
      <c r="D380" s="7" t="s">
        <v>282</v>
      </c>
      <c r="K380" s="1">
        <f>SUM(K356:K379)</f>
        <v>-67133.780000000028</v>
      </c>
    </row>
    <row r="381" spans="1:12" outlineLevel="2" x14ac:dyDescent="0.3">
      <c r="A381" t="s">
        <v>36</v>
      </c>
      <c r="B381" t="s">
        <v>37</v>
      </c>
      <c r="C381" t="s">
        <v>38</v>
      </c>
      <c r="D381" s="3">
        <v>42758</v>
      </c>
      <c r="E381" t="s">
        <v>39</v>
      </c>
      <c r="F381">
        <v>-5000</v>
      </c>
      <c r="G381">
        <v>1</v>
      </c>
      <c r="H381">
        <v>0</v>
      </c>
      <c r="I381">
        <v>0</v>
      </c>
      <c r="J381">
        <v>17.153700000000001</v>
      </c>
      <c r="K381" s="1">
        <v>-85768.41</v>
      </c>
      <c r="L381" t="s">
        <v>182</v>
      </c>
    </row>
    <row r="382" spans="1:12" outlineLevel="2" x14ac:dyDescent="0.3">
      <c r="A382" t="s">
        <v>36</v>
      </c>
      <c r="B382" t="s">
        <v>37</v>
      </c>
      <c r="C382" t="s">
        <v>38</v>
      </c>
      <c r="D382" s="3">
        <v>42758</v>
      </c>
      <c r="E382" t="s">
        <v>43</v>
      </c>
      <c r="F382">
        <v>5000</v>
      </c>
      <c r="G382">
        <v>1</v>
      </c>
      <c r="H382">
        <v>0</v>
      </c>
      <c r="I382">
        <v>0</v>
      </c>
      <c r="J382">
        <v>17.153700000000001</v>
      </c>
      <c r="K382" s="1">
        <v>85768.41</v>
      </c>
      <c r="L382" t="s">
        <v>182</v>
      </c>
    </row>
    <row r="383" spans="1:12" outlineLevel="2" x14ac:dyDescent="0.3">
      <c r="A383" t="s">
        <v>36</v>
      </c>
      <c r="B383" t="s">
        <v>48</v>
      </c>
      <c r="C383" t="s">
        <v>38</v>
      </c>
      <c r="D383" s="3">
        <v>42758</v>
      </c>
      <c r="E383" t="s">
        <v>49</v>
      </c>
      <c r="F383">
        <v>20000</v>
      </c>
      <c r="G383">
        <v>0.1</v>
      </c>
      <c r="H383">
        <v>0</v>
      </c>
      <c r="I383">
        <v>0</v>
      </c>
      <c r="J383">
        <v>2.2646000000000002</v>
      </c>
      <c r="K383" s="1">
        <v>45292.6</v>
      </c>
      <c r="L383" t="s">
        <v>182</v>
      </c>
    </row>
    <row r="384" spans="1:12" outlineLevel="2" x14ac:dyDescent="0.3">
      <c r="A384" t="s">
        <v>36</v>
      </c>
      <c r="B384" t="s">
        <v>48</v>
      </c>
      <c r="C384" t="s">
        <v>50</v>
      </c>
      <c r="D384" s="3">
        <v>42758</v>
      </c>
      <c r="E384" t="s">
        <v>49</v>
      </c>
      <c r="F384">
        <v>0</v>
      </c>
      <c r="G384">
        <v>0.1</v>
      </c>
      <c r="H384">
        <v>0</v>
      </c>
      <c r="I384">
        <v>0</v>
      </c>
      <c r="J384">
        <v>0</v>
      </c>
      <c r="K384" s="1">
        <v>-13.3</v>
      </c>
      <c r="L384" t="s">
        <v>182</v>
      </c>
    </row>
    <row r="385" spans="1:12" outlineLevel="2" x14ac:dyDescent="0.3">
      <c r="A385" t="s">
        <v>36</v>
      </c>
      <c r="B385" t="s">
        <v>48</v>
      </c>
      <c r="C385" t="s">
        <v>40</v>
      </c>
      <c r="D385" s="3">
        <v>42758</v>
      </c>
      <c r="E385" t="s">
        <v>51</v>
      </c>
      <c r="F385">
        <v>20000</v>
      </c>
      <c r="G385">
        <v>0.1</v>
      </c>
      <c r="H385">
        <v>0</v>
      </c>
      <c r="I385">
        <v>0</v>
      </c>
      <c r="J385">
        <v>2.2646000000000002</v>
      </c>
      <c r="K385" s="1">
        <v>45292.6</v>
      </c>
      <c r="L385" t="s">
        <v>184</v>
      </c>
    </row>
    <row r="386" spans="1:12" outlineLevel="2" x14ac:dyDescent="0.3">
      <c r="A386" t="s">
        <v>36</v>
      </c>
      <c r="B386" t="s">
        <v>48</v>
      </c>
      <c r="C386" t="s">
        <v>38</v>
      </c>
      <c r="D386" s="3">
        <v>42758</v>
      </c>
      <c r="E386" t="s">
        <v>51</v>
      </c>
      <c r="F386">
        <v>-20000</v>
      </c>
      <c r="G386">
        <v>0.1</v>
      </c>
      <c r="H386">
        <v>0</v>
      </c>
      <c r="I386">
        <v>0</v>
      </c>
      <c r="J386">
        <v>2.2646000000000002</v>
      </c>
      <c r="K386" s="1">
        <v>-45292.6</v>
      </c>
      <c r="L386" t="s">
        <v>182</v>
      </c>
    </row>
    <row r="387" spans="1:12" outlineLevel="2" x14ac:dyDescent="0.3">
      <c r="A387" t="s">
        <v>36</v>
      </c>
      <c r="B387" t="s">
        <v>57</v>
      </c>
      <c r="C387" t="s">
        <v>40</v>
      </c>
      <c r="D387" s="3">
        <v>42758</v>
      </c>
      <c r="E387" t="s">
        <v>51</v>
      </c>
      <c r="F387">
        <v>30000</v>
      </c>
      <c r="G387">
        <v>1</v>
      </c>
      <c r="H387">
        <v>0</v>
      </c>
      <c r="I387">
        <v>0</v>
      </c>
      <c r="J387">
        <v>16.880600000000001</v>
      </c>
      <c r="K387" s="1">
        <v>506417.69</v>
      </c>
      <c r="L387" t="s">
        <v>184</v>
      </c>
    </row>
    <row r="388" spans="1:12" outlineLevel="2" x14ac:dyDescent="0.3">
      <c r="A388" t="s">
        <v>36</v>
      </c>
      <c r="B388" t="s">
        <v>72</v>
      </c>
      <c r="C388" t="s">
        <v>38</v>
      </c>
      <c r="D388" s="3">
        <v>42758</v>
      </c>
      <c r="E388" t="s">
        <v>74</v>
      </c>
      <c r="F388">
        <v>-2000</v>
      </c>
      <c r="G388">
        <v>1</v>
      </c>
      <c r="H388">
        <v>0</v>
      </c>
      <c r="I388">
        <v>0</v>
      </c>
      <c r="J388">
        <v>19.636099999999999</v>
      </c>
      <c r="K388" s="1">
        <v>-39272.19</v>
      </c>
      <c r="L388" t="s">
        <v>182</v>
      </c>
    </row>
    <row r="389" spans="1:12" outlineLevel="2" x14ac:dyDescent="0.3">
      <c r="A389" t="s">
        <v>36</v>
      </c>
      <c r="B389" t="s">
        <v>72</v>
      </c>
      <c r="C389" t="s">
        <v>63</v>
      </c>
      <c r="D389" s="3">
        <v>42758</v>
      </c>
      <c r="E389" t="s">
        <v>51</v>
      </c>
      <c r="F389">
        <v>-2000</v>
      </c>
      <c r="G389">
        <v>1</v>
      </c>
      <c r="H389">
        <v>0</v>
      </c>
      <c r="I389">
        <v>0</v>
      </c>
      <c r="J389">
        <v>19.636099999999999</v>
      </c>
      <c r="K389" s="1">
        <v>-39272.199999999997</v>
      </c>
      <c r="L389" t="s">
        <v>184</v>
      </c>
    </row>
    <row r="390" spans="1:12" outlineLevel="2" x14ac:dyDescent="0.3">
      <c r="A390" t="s">
        <v>36</v>
      </c>
      <c r="B390" t="s">
        <v>72</v>
      </c>
      <c r="C390" t="s">
        <v>38</v>
      </c>
      <c r="D390" s="3">
        <v>42758</v>
      </c>
      <c r="E390" t="s">
        <v>51</v>
      </c>
      <c r="F390">
        <v>2000</v>
      </c>
      <c r="G390">
        <v>1</v>
      </c>
      <c r="H390">
        <v>0</v>
      </c>
      <c r="I390">
        <v>0</v>
      </c>
      <c r="J390">
        <v>19.636099999999999</v>
      </c>
      <c r="K390" s="1">
        <v>39272.19</v>
      </c>
      <c r="L390" t="s">
        <v>182</v>
      </c>
    </row>
    <row r="391" spans="1:12" outlineLevel="2" x14ac:dyDescent="0.3">
      <c r="A391" t="s">
        <v>36</v>
      </c>
      <c r="B391" t="s">
        <v>72</v>
      </c>
      <c r="C391" t="s">
        <v>50</v>
      </c>
      <c r="D391" s="3">
        <v>42758</v>
      </c>
      <c r="E391" t="s">
        <v>51</v>
      </c>
      <c r="F391">
        <v>0</v>
      </c>
      <c r="G391">
        <v>1</v>
      </c>
      <c r="H391">
        <v>0</v>
      </c>
      <c r="I391">
        <v>0</v>
      </c>
      <c r="J391">
        <v>0</v>
      </c>
      <c r="K391" s="1">
        <v>0.01</v>
      </c>
      <c r="L391" t="s">
        <v>182</v>
      </c>
    </row>
    <row r="392" spans="1:12" outlineLevel="2" x14ac:dyDescent="0.3">
      <c r="A392" t="s">
        <v>36</v>
      </c>
      <c r="B392" t="s">
        <v>82</v>
      </c>
      <c r="C392" t="s">
        <v>38</v>
      </c>
      <c r="D392" s="3">
        <v>42758</v>
      </c>
      <c r="E392" t="s">
        <v>74</v>
      </c>
      <c r="F392">
        <v>-10000</v>
      </c>
      <c r="G392">
        <v>1</v>
      </c>
      <c r="H392">
        <v>0</v>
      </c>
      <c r="I392">
        <v>0</v>
      </c>
      <c r="J392">
        <v>16.083400000000001</v>
      </c>
      <c r="K392" s="1">
        <v>-160833.88</v>
      </c>
      <c r="L392" t="s">
        <v>182</v>
      </c>
    </row>
    <row r="393" spans="1:12" outlineLevel="2" x14ac:dyDescent="0.3">
      <c r="A393" t="s">
        <v>36</v>
      </c>
      <c r="B393" t="s">
        <v>82</v>
      </c>
      <c r="C393" t="s">
        <v>63</v>
      </c>
      <c r="D393" s="3">
        <v>42758</v>
      </c>
      <c r="E393" t="s">
        <v>51</v>
      </c>
      <c r="F393">
        <v>-30000</v>
      </c>
      <c r="G393">
        <v>1</v>
      </c>
      <c r="H393">
        <v>0</v>
      </c>
      <c r="I393">
        <v>0</v>
      </c>
      <c r="J393">
        <v>16.480599999999999</v>
      </c>
      <c r="K393" s="1">
        <v>-494417.69</v>
      </c>
      <c r="L393" t="s">
        <v>184</v>
      </c>
    </row>
    <row r="394" spans="1:12" outlineLevel="2" x14ac:dyDescent="0.3">
      <c r="A394" t="s">
        <v>36</v>
      </c>
      <c r="B394" t="s">
        <v>82</v>
      </c>
      <c r="C394" t="s">
        <v>38</v>
      </c>
      <c r="D394" s="3">
        <v>42758</v>
      </c>
      <c r="E394" t="s">
        <v>51</v>
      </c>
      <c r="F394">
        <v>10000</v>
      </c>
      <c r="G394">
        <v>1</v>
      </c>
      <c r="H394">
        <v>0</v>
      </c>
      <c r="I394">
        <v>0</v>
      </c>
      <c r="J394">
        <v>16.083400000000001</v>
      </c>
      <c r="K394" s="1">
        <v>160833.88</v>
      </c>
      <c r="L394" t="s">
        <v>182</v>
      </c>
    </row>
    <row r="395" spans="1:12" outlineLevel="2" x14ac:dyDescent="0.3">
      <c r="A395" t="s">
        <v>36</v>
      </c>
      <c r="B395" t="s">
        <v>82</v>
      </c>
      <c r="C395" t="s">
        <v>50</v>
      </c>
      <c r="D395" s="3">
        <v>42758</v>
      </c>
      <c r="E395" t="s">
        <v>51</v>
      </c>
      <c r="F395">
        <v>0</v>
      </c>
      <c r="G395">
        <v>1</v>
      </c>
      <c r="H395">
        <v>0</v>
      </c>
      <c r="I395">
        <v>0</v>
      </c>
      <c r="J395">
        <v>0</v>
      </c>
      <c r="K395" s="1">
        <v>3972.02</v>
      </c>
      <c r="L395" t="s">
        <v>182</v>
      </c>
    </row>
    <row r="396" spans="1:12" outlineLevel="2" x14ac:dyDescent="0.3">
      <c r="A396" t="s">
        <v>36</v>
      </c>
      <c r="B396" t="s">
        <v>82</v>
      </c>
      <c r="C396" t="s">
        <v>38</v>
      </c>
      <c r="D396" s="3">
        <v>42758</v>
      </c>
      <c r="E396" t="s">
        <v>84</v>
      </c>
      <c r="F396">
        <v>156542.22</v>
      </c>
      <c r="G396">
        <v>1</v>
      </c>
      <c r="H396">
        <v>0</v>
      </c>
      <c r="I396">
        <v>0</v>
      </c>
      <c r="J396">
        <v>16.7376</v>
      </c>
      <c r="K396" s="1">
        <v>2620135.84</v>
      </c>
      <c r="L396" t="s">
        <v>229</v>
      </c>
    </row>
    <row r="397" spans="1:12" outlineLevel="2" x14ac:dyDescent="0.3">
      <c r="A397" t="s">
        <v>36</v>
      </c>
      <c r="B397" t="s">
        <v>82</v>
      </c>
      <c r="C397" t="s">
        <v>38</v>
      </c>
      <c r="D397" s="3">
        <v>42758</v>
      </c>
      <c r="E397" t="s">
        <v>47</v>
      </c>
      <c r="F397">
        <v>-156542.22</v>
      </c>
      <c r="G397">
        <v>1</v>
      </c>
      <c r="H397">
        <v>0</v>
      </c>
      <c r="I397">
        <v>0</v>
      </c>
      <c r="J397">
        <v>16.7376</v>
      </c>
      <c r="K397" s="1">
        <v>-2620135.84</v>
      </c>
      <c r="L397" t="s">
        <v>229</v>
      </c>
    </row>
    <row r="398" spans="1:12" outlineLevel="2" x14ac:dyDescent="0.3">
      <c r="A398" t="s">
        <v>36</v>
      </c>
      <c r="B398" t="s">
        <v>86</v>
      </c>
      <c r="C398" t="s">
        <v>38</v>
      </c>
      <c r="D398" s="3">
        <v>42758</v>
      </c>
      <c r="E398" t="s">
        <v>84</v>
      </c>
      <c r="F398">
        <v>598273.5</v>
      </c>
      <c r="G398">
        <v>1</v>
      </c>
      <c r="H398">
        <v>0</v>
      </c>
      <c r="I398">
        <v>0</v>
      </c>
      <c r="J398">
        <v>17.015000000000001</v>
      </c>
      <c r="K398" s="1">
        <v>10179623.6</v>
      </c>
      <c r="L398" t="s">
        <v>229</v>
      </c>
    </row>
    <row r="399" spans="1:12" outlineLevel="2" x14ac:dyDescent="0.3">
      <c r="A399" t="s">
        <v>36</v>
      </c>
      <c r="B399" t="s">
        <v>86</v>
      </c>
      <c r="C399" t="s">
        <v>38</v>
      </c>
      <c r="D399" s="3">
        <v>42758</v>
      </c>
      <c r="E399" t="s">
        <v>47</v>
      </c>
      <c r="F399">
        <v>-598273.5</v>
      </c>
      <c r="G399">
        <v>1</v>
      </c>
      <c r="H399">
        <v>0</v>
      </c>
      <c r="I399">
        <v>0</v>
      </c>
      <c r="J399">
        <v>17.015000000000001</v>
      </c>
      <c r="K399" s="1">
        <v>-10179623.6</v>
      </c>
      <c r="L399" t="s">
        <v>229</v>
      </c>
    </row>
    <row r="400" spans="1:12" outlineLevel="2" x14ac:dyDescent="0.3">
      <c r="A400" t="s">
        <v>36</v>
      </c>
      <c r="B400" t="s">
        <v>109</v>
      </c>
      <c r="C400" t="s">
        <v>38</v>
      </c>
      <c r="D400" s="3">
        <v>42758</v>
      </c>
      <c r="E400" t="s">
        <v>39</v>
      </c>
      <c r="F400">
        <v>-5000</v>
      </c>
      <c r="G400">
        <v>1</v>
      </c>
      <c r="H400">
        <v>0</v>
      </c>
      <c r="I400">
        <v>0</v>
      </c>
      <c r="J400">
        <v>18.664999999999999</v>
      </c>
      <c r="K400" s="1">
        <v>-93325</v>
      </c>
      <c r="L400" t="s">
        <v>182</v>
      </c>
    </row>
    <row r="401" spans="1:12" outlineLevel="2" x14ac:dyDescent="0.3">
      <c r="A401" t="s">
        <v>36</v>
      </c>
      <c r="B401" t="s">
        <v>109</v>
      </c>
      <c r="C401" t="s">
        <v>38</v>
      </c>
      <c r="D401" s="3">
        <v>42758</v>
      </c>
      <c r="E401" t="s">
        <v>41</v>
      </c>
      <c r="F401">
        <v>10000</v>
      </c>
      <c r="G401">
        <v>1</v>
      </c>
      <c r="H401">
        <v>0</v>
      </c>
      <c r="I401">
        <v>0</v>
      </c>
      <c r="J401">
        <v>18.664999999999999</v>
      </c>
      <c r="K401" s="1">
        <v>186650</v>
      </c>
      <c r="L401" t="s">
        <v>182</v>
      </c>
    </row>
    <row r="402" spans="1:12" outlineLevel="2" x14ac:dyDescent="0.3">
      <c r="A402" t="s">
        <v>36</v>
      </c>
      <c r="B402" t="s">
        <v>109</v>
      </c>
      <c r="C402" t="s">
        <v>38</v>
      </c>
      <c r="D402" s="3">
        <v>42758</v>
      </c>
      <c r="E402" t="s">
        <v>42</v>
      </c>
      <c r="F402">
        <v>-10000</v>
      </c>
      <c r="G402">
        <v>1</v>
      </c>
      <c r="H402">
        <v>0</v>
      </c>
      <c r="I402">
        <v>0</v>
      </c>
      <c r="J402">
        <v>18.664999999999999</v>
      </c>
      <c r="K402" s="1">
        <v>-186650</v>
      </c>
      <c r="L402" t="s">
        <v>182</v>
      </c>
    </row>
    <row r="403" spans="1:12" outlineLevel="2" x14ac:dyDescent="0.3">
      <c r="A403" t="s">
        <v>36</v>
      </c>
      <c r="B403" t="s">
        <v>109</v>
      </c>
      <c r="C403" t="s">
        <v>38</v>
      </c>
      <c r="D403" s="3">
        <v>42758</v>
      </c>
      <c r="E403" t="s">
        <v>113</v>
      </c>
      <c r="F403">
        <v>5000</v>
      </c>
      <c r="G403">
        <v>1</v>
      </c>
      <c r="H403">
        <v>0</v>
      </c>
      <c r="I403">
        <v>0</v>
      </c>
      <c r="J403">
        <v>18.664999999999999</v>
      </c>
      <c r="K403" s="1">
        <v>93325</v>
      </c>
      <c r="L403" t="s">
        <v>182</v>
      </c>
    </row>
    <row r="404" spans="1:12" outlineLevel="2" x14ac:dyDescent="0.3">
      <c r="A404" t="s">
        <v>36</v>
      </c>
      <c r="B404" t="s">
        <v>126</v>
      </c>
      <c r="C404" t="s">
        <v>38</v>
      </c>
      <c r="D404" s="3">
        <v>42758</v>
      </c>
      <c r="E404" t="s">
        <v>39</v>
      </c>
      <c r="F404">
        <v>60000</v>
      </c>
      <c r="G404">
        <v>1</v>
      </c>
      <c r="H404">
        <v>0</v>
      </c>
      <c r="I404">
        <v>0</v>
      </c>
      <c r="J404">
        <v>18.34</v>
      </c>
      <c r="K404" s="1">
        <v>1100400</v>
      </c>
      <c r="L404" t="s">
        <v>182</v>
      </c>
    </row>
    <row r="405" spans="1:12" outlineLevel="2" x14ac:dyDescent="0.3">
      <c r="A405" t="s">
        <v>36</v>
      </c>
      <c r="B405" t="s">
        <v>126</v>
      </c>
      <c r="C405" t="s">
        <v>38</v>
      </c>
      <c r="D405" s="3">
        <v>42758</v>
      </c>
      <c r="E405" t="s">
        <v>41</v>
      </c>
      <c r="F405">
        <v>14000</v>
      </c>
      <c r="G405">
        <v>1</v>
      </c>
      <c r="H405">
        <v>0</v>
      </c>
      <c r="I405">
        <v>0</v>
      </c>
      <c r="J405">
        <v>18.399999999999999</v>
      </c>
      <c r="K405" s="1">
        <v>257600</v>
      </c>
      <c r="L405" t="s">
        <v>182</v>
      </c>
    </row>
    <row r="406" spans="1:12" outlineLevel="2" x14ac:dyDescent="0.3">
      <c r="A406" t="s">
        <v>36</v>
      </c>
      <c r="B406" t="s">
        <v>126</v>
      </c>
      <c r="C406" t="s">
        <v>38</v>
      </c>
      <c r="D406" s="3">
        <v>42758</v>
      </c>
      <c r="E406" t="s">
        <v>42</v>
      </c>
      <c r="F406">
        <v>-14000</v>
      </c>
      <c r="G406">
        <v>1</v>
      </c>
      <c r="H406">
        <v>0</v>
      </c>
      <c r="I406">
        <v>0</v>
      </c>
      <c r="J406">
        <v>18.399999999999999</v>
      </c>
      <c r="K406" s="1">
        <v>-257600</v>
      </c>
      <c r="L406" t="s">
        <v>182</v>
      </c>
    </row>
    <row r="407" spans="1:12" outlineLevel="2" x14ac:dyDescent="0.3">
      <c r="A407" t="s">
        <v>36</v>
      </c>
      <c r="B407" t="s">
        <v>126</v>
      </c>
      <c r="C407" t="s">
        <v>38</v>
      </c>
      <c r="D407" s="3">
        <v>42758</v>
      </c>
      <c r="E407" t="s">
        <v>76</v>
      </c>
      <c r="F407">
        <v>-60000</v>
      </c>
      <c r="G407">
        <v>1</v>
      </c>
      <c r="H407">
        <v>0</v>
      </c>
      <c r="I407">
        <v>0</v>
      </c>
      <c r="J407">
        <v>18.34</v>
      </c>
      <c r="K407" s="1">
        <v>-1100400</v>
      </c>
      <c r="L407" t="s">
        <v>182</v>
      </c>
    </row>
    <row r="408" spans="1:12" outlineLevel="2" x14ac:dyDescent="0.3">
      <c r="A408" t="s">
        <v>36</v>
      </c>
      <c r="B408" t="s">
        <v>136</v>
      </c>
      <c r="C408" t="s">
        <v>38</v>
      </c>
      <c r="D408" s="3">
        <v>42758</v>
      </c>
      <c r="E408" t="s">
        <v>41</v>
      </c>
      <c r="F408">
        <v>20000</v>
      </c>
      <c r="G408">
        <v>1</v>
      </c>
      <c r="H408">
        <v>0</v>
      </c>
      <c r="I408">
        <v>0</v>
      </c>
      <c r="J408">
        <v>17.9788</v>
      </c>
      <c r="K408" s="1">
        <v>359575.74</v>
      </c>
      <c r="L408" t="s">
        <v>182</v>
      </c>
    </row>
    <row r="409" spans="1:12" outlineLevel="2" x14ac:dyDescent="0.3">
      <c r="A409" t="s">
        <v>36</v>
      </c>
      <c r="B409" t="s">
        <v>136</v>
      </c>
      <c r="C409" t="s">
        <v>50</v>
      </c>
      <c r="D409" s="3">
        <v>42758</v>
      </c>
      <c r="E409" t="s">
        <v>41</v>
      </c>
      <c r="F409">
        <v>0</v>
      </c>
      <c r="G409">
        <v>1</v>
      </c>
      <c r="H409">
        <v>0</v>
      </c>
      <c r="I409">
        <v>0</v>
      </c>
      <c r="J409">
        <v>0</v>
      </c>
      <c r="K409" s="1">
        <v>1218.19</v>
      </c>
      <c r="L409" t="s">
        <v>182</v>
      </c>
    </row>
    <row r="410" spans="1:12" outlineLevel="2" x14ac:dyDescent="0.3">
      <c r="A410" t="s">
        <v>36</v>
      </c>
      <c r="B410" t="s">
        <v>136</v>
      </c>
      <c r="C410" t="s">
        <v>38</v>
      </c>
      <c r="D410" s="3">
        <v>42758</v>
      </c>
      <c r="E410" t="s">
        <v>42</v>
      </c>
      <c r="F410">
        <v>-20000</v>
      </c>
      <c r="G410">
        <v>1</v>
      </c>
      <c r="H410">
        <v>0</v>
      </c>
      <c r="I410">
        <v>0</v>
      </c>
      <c r="J410">
        <v>17.9788</v>
      </c>
      <c r="K410" s="1">
        <v>-359575.74</v>
      </c>
      <c r="L410" t="s">
        <v>182</v>
      </c>
    </row>
    <row r="411" spans="1:12" outlineLevel="2" x14ac:dyDescent="0.3">
      <c r="A411" t="s">
        <v>36</v>
      </c>
      <c r="B411" t="s">
        <v>138</v>
      </c>
      <c r="C411" t="s">
        <v>38</v>
      </c>
      <c r="D411" s="3">
        <v>42758</v>
      </c>
      <c r="E411" t="s">
        <v>41</v>
      </c>
      <c r="F411">
        <v>15000</v>
      </c>
      <c r="G411">
        <v>1</v>
      </c>
      <c r="H411">
        <v>0</v>
      </c>
      <c r="I411">
        <v>0</v>
      </c>
      <c r="J411">
        <v>19.1082</v>
      </c>
      <c r="K411" s="1">
        <v>286622.88</v>
      </c>
      <c r="L411" t="s">
        <v>182</v>
      </c>
    </row>
    <row r="412" spans="1:12" outlineLevel="2" x14ac:dyDescent="0.3">
      <c r="A412" t="s">
        <v>36</v>
      </c>
      <c r="B412" t="s">
        <v>138</v>
      </c>
      <c r="C412" t="s">
        <v>50</v>
      </c>
      <c r="D412" s="3">
        <v>42758</v>
      </c>
      <c r="E412" t="s">
        <v>41</v>
      </c>
      <c r="F412">
        <v>0</v>
      </c>
      <c r="G412">
        <v>1</v>
      </c>
      <c r="H412">
        <v>0</v>
      </c>
      <c r="I412">
        <v>0</v>
      </c>
      <c r="J412">
        <v>0</v>
      </c>
      <c r="K412" s="1">
        <v>-5277.38</v>
      </c>
      <c r="L412" t="s">
        <v>182</v>
      </c>
    </row>
    <row r="413" spans="1:12" outlineLevel="2" x14ac:dyDescent="0.3">
      <c r="A413" t="s">
        <v>36</v>
      </c>
      <c r="B413" t="s">
        <v>138</v>
      </c>
      <c r="C413" t="s">
        <v>38</v>
      </c>
      <c r="D413" s="3">
        <v>42758</v>
      </c>
      <c r="E413" t="s">
        <v>42</v>
      </c>
      <c r="F413">
        <v>-15000</v>
      </c>
      <c r="G413">
        <v>1</v>
      </c>
      <c r="H413">
        <v>0</v>
      </c>
      <c r="I413">
        <v>0</v>
      </c>
      <c r="J413">
        <v>19.1082</v>
      </c>
      <c r="K413" s="1">
        <v>-286622.88</v>
      </c>
      <c r="L413" t="s">
        <v>182</v>
      </c>
    </row>
    <row r="414" spans="1:12" outlineLevel="2" x14ac:dyDescent="0.3">
      <c r="A414" t="s">
        <v>36</v>
      </c>
      <c r="B414" t="s">
        <v>150</v>
      </c>
      <c r="C414" t="s">
        <v>38</v>
      </c>
      <c r="D414" s="3">
        <v>42758</v>
      </c>
      <c r="E414" t="s">
        <v>41</v>
      </c>
      <c r="F414">
        <v>20000</v>
      </c>
      <c r="G414">
        <v>1</v>
      </c>
      <c r="H414">
        <v>0</v>
      </c>
      <c r="I414">
        <v>0</v>
      </c>
      <c r="J414">
        <v>18.164999999999999</v>
      </c>
      <c r="K414" s="1">
        <v>363300</v>
      </c>
      <c r="L414" t="s">
        <v>182</v>
      </c>
    </row>
    <row r="415" spans="1:12" outlineLevel="2" x14ac:dyDescent="0.3">
      <c r="A415" t="s">
        <v>36</v>
      </c>
      <c r="B415" t="s">
        <v>150</v>
      </c>
      <c r="C415" t="s">
        <v>38</v>
      </c>
      <c r="D415" s="3">
        <v>42758</v>
      </c>
      <c r="E415" t="s">
        <v>42</v>
      </c>
      <c r="F415">
        <v>-20000</v>
      </c>
      <c r="G415">
        <v>1</v>
      </c>
      <c r="H415">
        <v>0</v>
      </c>
      <c r="I415">
        <v>0</v>
      </c>
      <c r="J415">
        <v>18.164999999999999</v>
      </c>
      <c r="K415" s="1">
        <v>-363300</v>
      </c>
      <c r="L415" t="s">
        <v>182</v>
      </c>
    </row>
    <row r="416" spans="1:12" outlineLevel="1" x14ac:dyDescent="0.3">
      <c r="D416" s="7" t="s">
        <v>283</v>
      </c>
      <c r="K416" s="1">
        <f>SUM(K381:K415)</f>
        <v>17919.940000000817</v>
      </c>
    </row>
    <row r="417" spans="1:12" outlineLevel="2" x14ac:dyDescent="0.3">
      <c r="A417" t="s">
        <v>36</v>
      </c>
      <c r="B417" t="s">
        <v>64</v>
      </c>
      <c r="C417" t="s">
        <v>63</v>
      </c>
      <c r="D417" s="3">
        <v>42759</v>
      </c>
      <c r="E417" t="s">
        <v>39</v>
      </c>
      <c r="F417">
        <v>-15</v>
      </c>
      <c r="G417">
        <v>100</v>
      </c>
      <c r="H417">
        <v>0</v>
      </c>
      <c r="I417">
        <v>0</v>
      </c>
      <c r="J417">
        <v>1730.2342000000001</v>
      </c>
      <c r="K417" s="1">
        <v>-25953.51</v>
      </c>
      <c r="L417" t="s">
        <v>199</v>
      </c>
    </row>
    <row r="418" spans="1:12" outlineLevel="2" x14ac:dyDescent="0.3">
      <c r="A418" t="s">
        <v>36</v>
      </c>
      <c r="B418" t="s">
        <v>65</v>
      </c>
      <c r="C418" t="s">
        <v>40</v>
      </c>
      <c r="D418" s="3">
        <v>42759</v>
      </c>
      <c r="E418" t="s">
        <v>39</v>
      </c>
      <c r="F418">
        <v>15</v>
      </c>
      <c r="G418">
        <v>100</v>
      </c>
      <c r="H418">
        <v>0</v>
      </c>
      <c r="I418">
        <v>0</v>
      </c>
      <c r="J418">
        <v>1730.2339999999999</v>
      </c>
      <c r="K418" s="1">
        <v>25953.51</v>
      </c>
      <c r="L418" t="s">
        <v>199</v>
      </c>
    </row>
    <row r="419" spans="1:12" outlineLevel="2" x14ac:dyDescent="0.3">
      <c r="A419" t="s">
        <v>36</v>
      </c>
      <c r="B419" t="s">
        <v>65</v>
      </c>
      <c r="C419" t="s">
        <v>40</v>
      </c>
      <c r="D419" s="3">
        <v>42759</v>
      </c>
      <c r="E419" t="s">
        <v>39</v>
      </c>
      <c r="F419">
        <v>7</v>
      </c>
      <c r="G419">
        <v>100</v>
      </c>
      <c r="H419">
        <v>0</v>
      </c>
      <c r="I419">
        <v>0</v>
      </c>
      <c r="J419">
        <v>1652.5714</v>
      </c>
      <c r="K419" s="1">
        <v>11568</v>
      </c>
      <c r="L419" t="s">
        <v>199</v>
      </c>
    </row>
    <row r="420" spans="1:12" outlineLevel="2" x14ac:dyDescent="0.3">
      <c r="A420" t="s">
        <v>36</v>
      </c>
      <c r="B420" t="s">
        <v>79</v>
      </c>
      <c r="C420" t="s">
        <v>63</v>
      </c>
      <c r="D420" s="3">
        <v>42759</v>
      </c>
      <c r="E420" t="s">
        <v>39</v>
      </c>
      <c r="F420">
        <v>-700</v>
      </c>
      <c r="G420">
        <v>1</v>
      </c>
      <c r="H420">
        <v>0</v>
      </c>
      <c r="I420">
        <v>0</v>
      </c>
      <c r="J420">
        <v>16.525700000000001</v>
      </c>
      <c r="K420" s="1">
        <v>-11568</v>
      </c>
      <c r="L420" t="s">
        <v>199</v>
      </c>
    </row>
    <row r="421" spans="1:12" outlineLevel="2" x14ac:dyDescent="0.3">
      <c r="A421" t="s">
        <v>36</v>
      </c>
      <c r="B421" t="s">
        <v>82</v>
      </c>
      <c r="C421" t="s">
        <v>63</v>
      </c>
      <c r="D421" s="3">
        <v>42759</v>
      </c>
      <c r="E421" t="s">
        <v>39</v>
      </c>
      <c r="F421">
        <v>-1982.73</v>
      </c>
      <c r="G421">
        <v>1</v>
      </c>
      <c r="H421">
        <v>0</v>
      </c>
      <c r="I421">
        <v>0</v>
      </c>
      <c r="J421">
        <v>16.456900000000001</v>
      </c>
      <c r="K421" s="1">
        <v>-32629.52</v>
      </c>
      <c r="L421" t="s">
        <v>220</v>
      </c>
    </row>
    <row r="422" spans="1:12" outlineLevel="2" x14ac:dyDescent="0.3">
      <c r="A422" t="s">
        <v>36</v>
      </c>
      <c r="B422" t="s">
        <v>82</v>
      </c>
      <c r="C422" t="s">
        <v>85</v>
      </c>
      <c r="D422" s="3">
        <v>42759</v>
      </c>
      <c r="E422" t="s">
        <v>47</v>
      </c>
      <c r="F422">
        <v>0.16800000000000001</v>
      </c>
      <c r="G422">
        <v>1</v>
      </c>
      <c r="H422">
        <v>0</v>
      </c>
      <c r="I422">
        <v>0</v>
      </c>
      <c r="J422">
        <v>16.7376</v>
      </c>
      <c r="K422" s="1">
        <v>2.81</v>
      </c>
      <c r="L422" t="s">
        <v>233</v>
      </c>
    </row>
    <row r="423" spans="1:12" outlineLevel="2" x14ac:dyDescent="0.3">
      <c r="A423" t="s">
        <v>36</v>
      </c>
      <c r="B423" t="s">
        <v>86</v>
      </c>
      <c r="C423" t="s">
        <v>40</v>
      </c>
      <c r="D423" s="3">
        <v>42759</v>
      </c>
      <c r="E423" t="s">
        <v>39</v>
      </c>
      <c r="F423">
        <v>1982.73</v>
      </c>
      <c r="G423">
        <v>1</v>
      </c>
      <c r="H423">
        <v>0</v>
      </c>
      <c r="I423">
        <v>0</v>
      </c>
      <c r="J423">
        <v>16.456900000000001</v>
      </c>
      <c r="K423" s="1">
        <v>32629.52</v>
      </c>
      <c r="L423" t="s">
        <v>220</v>
      </c>
    </row>
    <row r="424" spans="1:12" outlineLevel="2" x14ac:dyDescent="0.3">
      <c r="A424" t="s">
        <v>36</v>
      </c>
      <c r="B424" t="s">
        <v>120</v>
      </c>
      <c r="C424" t="s">
        <v>63</v>
      </c>
      <c r="D424" s="3">
        <v>42759</v>
      </c>
      <c r="E424" t="s">
        <v>39</v>
      </c>
      <c r="F424">
        <v>-500</v>
      </c>
      <c r="G424">
        <v>1</v>
      </c>
      <c r="H424">
        <v>0</v>
      </c>
      <c r="I424">
        <v>0</v>
      </c>
      <c r="J424">
        <v>18</v>
      </c>
      <c r="K424" s="1">
        <v>-9000</v>
      </c>
      <c r="L424" t="s">
        <v>199</v>
      </c>
    </row>
    <row r="425" spans="1:12" outlineLevel="2" x14ac:dyDescent="0.3">
      <c r="A425" t="s">
        <v>36</v>
      </c>
      <c r="B425" t="s">
        <v>122</v>
      </c>
      <c r="C425" t="s">
        <v>40</v>
      </c>
      <c r="D425" s="3">
        <v>42759</v>
      </c>
      <c r="E425" t="s">
        <v>39</v>
      </c>
      <c r="F425">
        <v>500</v>
      </c>
      <c r="G425">
        <v>1</v>
      </c>
      <c r="H425">
        <v>0</v>
      </c>
      <c r="I425">
        <v>0</v>
      </c>
      <c r="J425">
        <v>18</v>
      </c>
      <c r="K425" s="1">
        <v>9000</v>
      </c>
      <c r="L425" t="s">
        <v>199</v>
      </c>
    </row>
    <row r="426" spans="1:12" outlineLevel="2" x14ac:dyDescent="0.3">
      <c r="A426" t="s">
        <v>36</v>
      </c>
      <c r="B426" t="s">
        <v>135</v>
      </c>
      <c r="C426" t="s">
        <v>40</v>
      </c>
      <c r="D426" s="3">
        <v>42759</v>
      </c>
      <c r="E426" t="s">
        <v>56</v>
      </c>
      <c r="F426">
        <v>8250</v>
      </c>
      <c r="G426">
        <v>1</v>
      </c>
      <c r="H426">
        <v>0</v>
      </c>
      <c r="I426">
        <v>0</v>
      </c>
      <c r="J426">
        <v>17.9788</v>
      </c>
      <c r="K426" s="1">
        <v>148324.99</v>
      </c>
      <c r="L426" t="s">
        <v>256</v>
      </c>
    </row>
    <row r="427" spans="1:12" outlineLevel="2" x14ac:dyDescent="0.3">
      <c r="A427" t="s">
        <v>36</v>
      </c>
      <c r="B427" t="s">
        <v>136</v>
      </c>
      <c r="C427" t="s">
        <v>38</v>
      </c>
      <c r="D427" s="3">
        <v>42759</v>
      </c>
      <c r="E427" t="s">
        <v>39</v>
      </c>
      <c r="F427">
        <v>-8250</v>
      </c>
      <c r="G427">
        <v>1</v>
      </c>
      <c r="H427">
        <v>0</v>
      </c>
      <c r="I427">
        <v>0</v>
      </c>
      <c r="J427">
        <v>17.9788</v>
      </c>
      <c r="K427" s="1">
        <v>-148324.99</v>
      </c>
      <c r="L427" t="s">
        <v>258</v>
      </c>
    </row>
    <row r="428" spans="1:12" outlineLevel="2" x14ac:dyDescent="0.3">
      <c r="A428" t="s">
        <v>36</v>
      </c>
      <c r="B428" t="s">
        <v>136</v>
      </c>
      <c r="C428" t="s">
        <v>63</v>
      </c>
      <c r="D428" s="3">
        <v>42759</v>
      </c>
      <c r="E428" t="s">
        <v>56</v>
      </c>
      <c r="F428">
        <v>-8250</v>
      </c>
      <c r="G428">
        <v>1</v>
      </c>
      <c r="H428">
        <v>0</v>
      </c>
      <c r="I428">
        <v>0</v>
      </c>
      <c r="J428">
        <v>17.9788</v>
      </c>
      <c r="K428" s="1">
        <v>-148324.99</v>
      </c>
      <c r="L428" t="s">
        <v>256</v>
      </c>
    </row>
    <row r="429" spans="1:12" outlineLevel="2" x14ac:dyDescent="0.3">
      <c r="A429" t="s">
        <v>36</v>
      </c>
      <c r="B429" t="s">
        <v>136</v>
      </c>
      <c r="C429" t="s">
        <v>38</v>
      </c>
      <c r="D429" s="3">
        <v>42759</v>
      </c>
      <c r="E429" t="s">
        <v>56</v>
      </c>
      <c r="F429">
        <v>8250</v>
      </c>
      <c r="G429">
        <v>1</v>
      </c>
      <c r="H429">
        <v>0</v>
      </c>
      <c r="I429">
        <v>0</v>
      </c>
      <c r="J429">
        <v>17.9788</v>
      </c>
      <c r="K429" s="1">
        <v>148324.99</v>
      </c>
      <c r="L429" t="s">
        <v>258</v>
      </c>
    </row>
    <row r="430" spans="1:12" outlineLevel="2" x14ac:dyDescent="0.3">
      <c r="A430" t="s">
        <v>36</v>
      </c>
      <c r="B430" t="s">
        <v>140</v>
      </c>
      <c r="C430" t="s">
        <v>38</v>
      </c>
      <c r="D430" s="3">
        <v>42759</v>
      </c>
      <c r="E430" t="s">
        <v>39</v>
      </c>
      <c r="F430">
        <v>-800</v>
      </c>
      <c r="G430">
        <v>1</v>
      </c>
      <c r="H430">
        <v>0</v>
      </c>
      <c r="I430">
        <v>0</v>
      </c>
      <c r="J430">
        <v>18.1096</v>
      </c>
      <c r="K430" s="1">
        <v>-14487.67</v>
      </c>
      <c r="L430" t="s">
        <v>262</v>
      </c>
    </row>
    <row r="431" spans="1:12" outlineLevel="2" x14ac:dyDescent="0.3">
      <c r="A431" t="s">
        <v>36</v>
      </c>
      <c r="B431" t="s">
        <v>140</v>
      </c>
      <c r="C431" t="s">
        <v>38</v>
      </c>
      <c r="D431" s="3">
        <v>42759</v>
      </c>
      <c r="E431" t="s">
        <v>56</v>
      </c>
      <c r="F431">
        <v>800</v>
      </c>
      <c r="G431">
        <v>1</v>
      </c>
      <c r="H431">
        <v>0</v>
      </c>
      <c r="I431">
        <v>0</v>
      </c>
      <c r="J431">
        <v>18.1096</v>
      </c>
      <c r="K431" s="1">
        <v>14487.67</v>
      </c>
      <c r="L431" t="s">
        <v>262</v>
      </c>
    </row>
    <row r="432" spans="1:12" outlineLevel="1" x14ac:dyDescent="0.3">
      <c r="D432" s="7" t="s">
        <v>284</v>
      </c>
      <c r="K432" s="1">
        <f>SUM(K417:K431)</f>
        <v>2.8099999999976717</v>
      </c>
    </row>
    <row r="433" spans="1:12" outlineLevel="2" x14ac:dyDescent="0.3">
      <c r="A433" t="s">
        <v>36</v>
      </c>
      <c r="B433" t="s">
        <v>69</v>
      </c>
      <c r="C433" t="s">
        <v>63</v>
      </c>
      <c r="D433" s="3">
        <v>42760</v>
      </c>
      <c r="E433" t="s">
        <v>70</v>
      </c>
      <c r="F433">
        <v>-9771.23</v>
      </c>
      <c r="G433">
        <v>1</v>
      </c>
      <c r="H433">
        <v>0</v>
      </c>
      <c r="I433">
        <v>0</v>
      </c>
      <c r="J433">
        <v>16.108799999999999</v>
      </c>
      <c r="K433" s="1">
        <v>-157402.76</v>
      </c>
      <c r="L433" t="s">
        <v>203</v>
      </c>
    </row>
    <row r="434" spans="1:12" outlineLevel="2" x14ac:dyDescent="0.3">
      <c r="A434" t="s">
        <v>36</v>
      </c>
      <c r="B434" t="s">
        <v>69</v>
      </c>
      <c r="C434" t="s">
        <v>63</v>
      </c>
      <c r="D434" s="3">
        <v>42760</v>
      </c>
      <c r="E434" t="s">
        <v>70</v>
      </c>
      <c r="F434">
        <v>-4347.5200000000004</v>
      </c>
      <c r="G434">
        <v>1</v>
      </c>
      <c r="H434">
        <v>0</v>
      </c>
      <c r="I434">
        <v>0</v>
      </c>
      <c r="J434">
        <v>16.108799999999999</v>
      </c>
      <c r="K434" s="1">
        <v>-70033.320000000007</v>
      </c>
      <c r="L434" t="s">
        <v>204</v>
      </c>
    </row>
    <row r="435" spans="1:12" outlineLevel="2" x14ac:dyDescent="0.3">
      <c r="A435" t="s">
        <v>36</v>
      </c>
      <c r="B435" t="s">
        <v>69</v>
      </c>
      <c r="C435" t="s">
        <v>63</v>
      </c>
      <c r="D435" s="3">
        <v>42760</v>
      </c>
      <c r="E435" t="s">
        <v>70</v>
      </c>
      <c r="F435">
        <v>-3842.27</v>
      </c>
      <c r="G435">
        <v>1</v>
      </c>
      <c r="H435">
        <v>0</v>
      </c>
      <c r="I435">
        <v>0</v>
      </c>
      <c r="J435">
        <v>16.108799999999999</v>
      </c>
      <c r="K435" s="1">
        <v>-61894.35</v>
      </c>
      <c r="L435" t="s">
        <v>205</v>
      </c>
    </row>
    <row r="436" spans="1:12" outlineLevel="2" x14ac:dyDescent="0.3">
      <c r="A436" t="s">
        <v>36</v>
      </c>
      <c r="B436" t="s">
        <v>72</v>
      </c>
      <c r="C436" t="s">
        <v>38</v>
      </c>
      <c r="D436" s="3">
        <v>42760</v>
      </c>
      <c r="E436" t="s">
        <v>39</v>
      </c>
      <c r="F436">
        <v>128000</v>
      </c>
      <c r="G436">
        <v>1</v>
      </c>
      <c r="H436">
        <v>0</v>
      </c>
      <c r="I436">
        <v>0</v>
      </c>
      <c r="J436">
        <v>17.105</v>
      </c>
      <c r="K436" s="1">
        <v>2189440</v>
      </c>
      <c r="L436" t="s">
        <v>206</v>
      </c>
    </row>
    <row r="437" spans="1:12" outlineLevel="2" x14ac:dyDescent="0.3">
      <c r="A437" t="s">
        <v>36</v>
      </c>
      <c r="B437" t="s">
        <v>72</v>
      </c>
      <c r="C437" t="s">
        <v>38</v>
      </c>
      <c r="D437" s="3">
        <v>42760</v>
      </c>
      <c r="E437" t="s">
        <v>73</v>
      </c>
      <c r="F437">
        <v>-20000</v>
      </c>
      <c r="G437">
        <v>1</v>
      </c>
      <c r="H437">
        <v>0</v>
      </c>
      <c r="I437">
        <v>0</v>
      </c>
      <c r="J437">
        <v>19.895800000000001</v>
      </c>
      <c r="K437" s="1">
        <v>-397916.67</v>
      </c>
      <c r="L437" t="s">
        <v>206</v>
      </c>
    </row>
    <row r="438" spans="1:12" outlineLevel="2" x14ac:dyDescent="0.3">
      <c r="A438" t="s">
        <v>36</v>
      </c>
      <c r="B438" t="s">
        <v>72</v>
      </c>
      <c r="C438" t="s">
        <v>38</v>
      </c>
      <c r="D438" s="3">
        <v>42760</v>
      </c>
      <c r="E438" t="s">
        <v>74</v>
      </c>
      <c r="F438">
        <v>20000</v>
      </c>
      <c r="G438">
        <v>1</v>
      </c>
      <c r="H438">
        <v>0</v>
      </c>
      <c r="I438">
        <v>0</v>
      </c>
      <c r="J438">
        <v>19.895800000000001</v>
      </c>
      <c r="K438" s="1">
        <v>397916.67</v>
      </c>
      <c r="L438" t="s">
        <v>206</v>
      </c>
    </row>
    <row r="439" spans="1:12" outlineLevel="2" x14ac:dyDescent="0.3">
      <c r="A439" t="s">
        <v>36</v>
      </c>
      <c r="B439" t="s">
        <v>72</v>
      </c>
      <c r="C439" t="s">
        <v>38</v>
      </c>
      <c r="D439" s="3">
        <v>42760</v>
      </c>
      <c r="E439" t="s">
        <v>76</v>
      </c>
      <c r="F439">
        <v>-128000</v>
      </c>
      <c r="G439">
        <v>1</v>
      </c>
      <c r="H439">
        <v>0</v>
      </c>
      <c r="I439">
        <v>0</v>
      </c>
      <c r="J439">
        <v>17.105</v>
      </c>
      <c r="K439" s="1">
        <v>-2189440</v>
      </c>
      <c r="L439" t="s">
        <v>206</v>
      </c>
    </row>
    <row r="440" spans="1:12" outlineLevel="2" x14ac:dyDescent="0.3">
      <c r="A440" t="s">
        <v>36</v>
      </c>
      <c r="B440" t="s">
        <v>79</v>
      </c>
      <c r="C440" t="s">
        <v>63</v>
      </c>
      <c r="D440" s="3">
        <v>42760</v>
      </c>
      <c r="E440" t="s">
        <v>39</v>
      </c>
      <c r="F440">
        <v>-1935.2</v>
      </c>
      <c r="G440">
        <v>1</v>
      </c>
      <c r="H440">
        <v>0</v>
      </c>
      <c r="I440">
        <v>0</v>
      </c>
      <c r="J440">
        <v>16.604800000000001</v>
      </c>
      <c r="K440" s="1">
        <v>-32133.58</v>
      </c>
      <c r="L440" t="s">
        <v>212</v>
      </c>
    </row>
    <row r="441" spans="1:12" outlineLevel="2" x14ac:dyDescent="0.3">
      <c r="A441" t="s">
        <v>36</v>
      </c>
      <c r="B441" t="s">
        <v>79</v>
      </c>
      <c r="C441" t="s">
        <v>38</v>
      </c>
      <c r="D441" s="3">
        <v>42760</v>
      </c>
      <c r="E441" t="s">
        <v>39</v>
      </c>
      <c r="F441">
        <v>-16</v>
      </c>
      <c r="G441">
        <v>1</v>
      </c>
      <c r="H441">
        <v>0</v>
      </c>
      <c r="I441">
        <v>0</v>
      </c>
      <c r="J441">
        <v>16.604800000000001</v>
      </c>
      <c r="K441" s="1">
        <v>-265.68</v>
      </c>
      <c r="L441" t="s">
        <v>213</v>
      </c>
    </row>
    <row r="442" spans="1:12" outlineLevel="2" x14ac:dyDescent="0.3">
      <c r="A442" t="s">
        <v>36</v>
      </c>
      <c r="B442" t="s">
        <v>79</v>
      </c>
      <c r="C442" t="s">
        <v>38</v>
      </c>
      <c r="D442" s="3">
        <v>42760</v>
      </c>
      <c r="E442" t="s">
        <v>56</v>
      </c>
      <c r="F442">
        <v>16</v>
      </c>
      <c r="G442">
        <v>1</v>
      </c>
      <c r="H442">
        <v>0</v>
      </c>
      <c r="I442">
        <v>0</v>
      </c>
      <c r="J442">
        <v>16.604800000000001</v>
      </c>
      <c r="K442" s="1">
        <v>265.68</v>
      </c>
      <c r="L442" t="s">
        <v>213</v>
      </c>
    </row>
    <row r="443" spans="1:12" outlineLevel="2" x14ac:dyDescent="0.3">
      <c r="A443" t="s">
        <v>36</v>
      </c>
      <c r="B443" t="s">
        <v>86</v>
      </c>
      <c r="C443" t="s">
        <v>40</v>
      </c>
      <c r="D443" s="3">
        <v>42760</v>
      </c>
      <c r="E443" t="s">
        <v>39</v>
      </c>
      <c r="F443">
        <v>1935.2</v>
      </c>
      <c r="G443">
        <v>1</v>
      </c>
      <c r="H443">
        <v>0</v>
      </c>
      <c r="I443">
        <v>0</v>
      </c>
      <c r="J443">
        <v>16.604800000000001</v>
      </c>
      <c r="K443" s="1">
        <v>32133.58</v>
      </c>
      <c r="L443" t="s">
        <v>212</v>
      </c>
    </row>
    <row r="444" spans="1:12" outlineLevel="2" x14ac:dyDescent="0.3">
      <c r="A444" t="s">
        <v>36</v>
      </c>
      <c r="B444" t="s">
        <v>160</v>
      </c>
      <c r="C444" t="s">
        <v>38</v>
      </c>
      <c r="D444" s="3">
        <v>42760</v>
      </c>
      <c r="E444" t="s">
        <v>56</v>
      </c>
      <c r="F444">
        <v>-20</v>
      </c>
      <c r="G444">
        <v>1</v>
      </c>
      <c r="H444">
        <v>0</v>
      </c>
      <c r="I444">
        <v>0</v>
      </c>
      <c r="J444">
        <v>16.112500000000001</v>
      </c>
      <c r="K444" s="1">
        <v>-322.25</v>
      </c>
      <c r="L444" t="s">
        <v>268</v>
      </c>
    </row>
    <row r="445" spans="1:12" outlineLevel="2" x14ac:dyDescent="0.3">
      <c r="A445" t="s">
        <v>36</v>
      </c>
      <c r="B445" t="s">
        <v>160</v>
      </c>
      <c r="C445" t="s">
        <v>38</v>
      </c>
      <c r="D445" s="3">
        <v>42760</v>
      </c>
      <c r="E445" t="s">
        <v>161</v>
      </c>
      <c r="F445">
        <v>20</v>
      </c>
      <c r="G445">
        <v>1</v>
      </c>
      <c r="H445">
        <v>0</v>
      </c>
      <c r="I445">
        <v>0</v>
      </c>
      <c r="J445">
        <v>16.112500000000001</v>
      </c>
      <c r="K445" s="1">
        <v>322.25</v>
      </c>
      <c r="L445" t="s">
        <v>268</v>
      </c>
    </row>
    <row r="446" spans="1:12" outlineLevel="1" x14ac:dyDescent="0.3">
      <c r="D446" s="7" t="s">
        <v>285</v>
      </c>
      <c r="K446" s="1">
        <f>SUM(K433:K445)</f>
        <v>-289330.42999999993</v>
      </c>
    </row>
    <row r="447" spans="1:12" outlineLevel="2" x14ac:dyDescent="0.3">
      <c r="A447" t="s">
        <v>36</v>
      </c>
      <c r="B447" t="s">
        <v>57</v>
      </c>
      <c r="C447" t="s">
        <v>38</v>
      </c>
      <c r="D447" s="3">
        <v>42761</v>
      </c>
      <c r="E447" t="s">
        <v>39</v>
      </c>
      <c r="F447">
        <v>30000</v>
      </c>
      <c r="G447">
        <v>1</v>
      </c>
      <c r="H447">
        <v>0</v>
      </c>
      <c r="I447">
        <v>0</v>
      </c>
      <c r="J447">
        <v>16.880600000000001</v>
      </c>
      <c r="K447" s="1">
        <v>506417.69</v>
      </c>
      <c r="L447" t="s">
        <v>187</v>
      </c>
    </row>
    <row r="448" spans="1:12" outlineLevel="2" x14ac:dyDescent="0.3">
      <c r="A448" t="s">
        <v>36</v>
      </c>
      <c r="B448" t="s">
        <v>57</v>
      </c>
      <c r="C448" t="s">
        <v>38</v>
      </c>
      <c r="D448" s="3">
        <v>42761</v>
      </c>
      <c r="E448" t="s">
        <v>51</v>
      </c>
      <c r="F448">
        <v>-30000</v>
      </c>
      <c r="G448">
        <v>1</v>
      </c>
      <c r="H448">
        <v>0</v>
      </c>
      <c r="I448">
        <v>0</v>
      </c>
      <c r="J448">
        <v>16.880600000000001</v>
      </c>
      <c r="K448" s="1">
        <v>-506417.69</v>
      </c>
      <c r="L448" t="s">
        <v>187</v>
      </c>
    </row>
    <row r="449" spans="1:12" outlineLevel="2" x14ac:dyDescent="0.3">
      <c r="A449" t="s">
        <v>36</v>
      </c>
      <c r="B449" t="s">
        <v>59</v>
      </c>
      <c r="C449" t="s">
        <v>38</v>
      </c>
      <c r="D449" s="3">
        <v>42761</v>
      </c>
      <c r="E449" t="s">
        <v>39</v>
      </c>
      <c r="F449">
        <v>1000</v>
      </c>
      <c r="G449">
        <v>10</v>
      </c>
      <c r="H449">
        <v>0</v>
      </c>
      <c r="I449">
        <v>0</v>
      </c>
      <c r="J449">
        <v>156.9</v>
      </c>
      <c r="K449" s="1">
        <v>156900</v>
      </c>
      <c r="L449" t="s">
        <v>187</v>
      </c>
    </row>
    <row r="450" spans="1:12" outlineLevel="2" x14ac:dyDescent="0.3">
      <c r="A450" t="s">
        <v>36</v>
      </c>
      <c r="B450" t="s">
        <v>59</v>
      </c>
      <c r="C450" t="s">
        <v>38</v>
      </c>
      <c r="D450" s="3">
        <v>42761</v>
      </c>
      <c r="E450" t="s">
        <v>47</v>
      </c>
      <c r="F450">
        <v>-1000</v>
      </c>
      <c r="G450">
        <v>10</v>
      </c>
      <c r="H450">
        <v>0</v>
      </c>
      <c r="I450">
        <v>0</v>
      </c>
      <c r="J450">
        <v>156.9</v>
      </c>
      <c r="K450" s="1">
        <v>-156900</v>
      </c>
      <c r="L450" t="s">
        <v>187</v>
      </c>
    </row>
    <row r="451" spans="1:12" outlineLevel="2" x14ac:dyDescent="0.3">
      <c r="A451" t="s">
        <v>36</v>
      </c>
      <c r="B451" t="s">
        <v>77</v>
      </c>
      <c r="C451" t="s">
        <v>38</v>
      </c>
      <c r="D451" s="3">
        <v>42761</v>
      </c>
      <c r="E451" t="s">
        <v>39</v>
      </c>
      <c r="F451">
        <v>-803.75</v>
      </c>
      <c r="G451">
        <v>1</v>
      </c>
      <c r="H451">
        <v>0</v>
      </c>
      <c r="I451">
        <v>0</v>
      </c>
      <c r="J451">
        <v>18.178000000000001</v>
      </c>
      <c r="K451" s="1">
        <v>-14610.56</v>
      </c>
      <c r="L451" t="s">
        <v>187</v>
      </c>
    </row>
    <row r="452" spans="1:12" outlineLevel="2" x14ac:dyDescent="0.3">
      <c r="A452" t="s">
        <v>36</v>
      </c>
      <c r="B452" t="s">
        <v>77</v>
      </c>
      <c r="C452" t="s">
        <v>38</v>
      </c>
      <c r="D452" s="3">
        <v>42761</v>
      </c>
      <c r="E452" t="s">
        <v>78</v>
      </c>
      <c r="F452">
        <v>803.75</v>
      </c>
      <c r="G452">
        <v>1</v>
      </c>
      <c r="H452">
        <v>0</v>
      </c>
      <c r="I452">
        <v>0</v>
      </c>
      <c r="J452">
        <v>18.178000000000001</v>
      </c>
      <c r="K452" s="1">
        <v>14610.56</v>
      </c>
      <c r="L452" t="s">
        <v>187</v>
      </c>
    </row>
    <row r="453" spans="1:12" outlineLevel="2" x14ac:dyDescent="0.3">
      <c r="A453" t="s">
        <v>36</v>
      </c>
      <c r="B453" t="s">
        <v>79</v>
      </c>
      <c r="C453" t="s">
        <v>63</v>
      </c>
      <c r="D453" s="3">
        <v>42761</v>
      </c>
      <c r="E453" t="s">
        <v>55</v>
      </c>
      <c r="F453">
        <v>-1</v>
      </c>
      <c r="G453">
        <v>1</v>
      </c>
      <c r="H453">
        <v>0</v>
      </c>
      <c r="I453">
        <v>0</v>
      </c>
      <c r="J453">
        <v>16.61</v>
      </c>
      <c r="K453" s="1">
        <v>-16.61</v>
      </c>
      <c r="L453" t="s">
        <v>215</v>
      </c>
    </row>
    <row r="454" spans="1:12" outlineLevel="2" x14ac:dyDescent="0.3">
      <c r="A454" t="s">
        <v>36</v>
      </c>
      <c r="B454" t="s">
        <v>79</v>
      </c>
      <c r="C454" t="s">
        <v>38</v>
      </c>
      <c r="D454" s="3">
        <v>42761</v>
      </c>
      <c r="E454" t="s">
        <v>55</v>
      </c>
      <c r="F454">
        <v>1</v>
      </c>
      <c r="G454">
        <v>1</v>
      </c>
      <c r="H454">
        <v>0</v>
      </c>
      <c r="I454">
        <v>0</v>
      </c>
      <c r="J454">
        <v>16.605</v>
      </c>
      <c r="K454" s="1">
        <v>16.61</v>
      </c>
      <c r="L454" t="s">
        <v>216</v>
      </c>
    </row>
    <row r="455" spans="1:12" outlineLevel="2" x14ac:dyDescent="0.3">
      <c r="A455" t="s">
        <v>36</v>
      </c>
      <c r="B455" t="s">
        <v>79</v>
      </c>
      <c r="C455" t="s">
        <v>63</v>
      </c>
      <c r="D455" s="3">
        <v>42761</v>
      </c>
      <c r="E455" t="s">
        <v>56</v>
      </c>
      <c r="F455">
        <v>-15</v>
      </c>
      <c r="G455">
        <v>1</v>
      </c>
      <c r="H455">
        <v>0</v>
      </c>
      <c r="I455">
        <v>0</v>
      </c>
      <c r="J455">
        <v>16.604700000000001</v>
      </c>
      <c r="K455" s="1">
        <v>-249.07</v>
      </c>
      <c r="L455" t="s">
        <v>217</v>
      </c>
    </row>
    <row r="456" spans="1:12" outlineLevel="2" x14ac:dyDescent="0.3">
      <c r="A456" t="s">
        <v>36</v>
      </c>
      <c r="B456" t="s">
        <v>79</v>
      </c>
      <c r="C456" t="s">
        <v>38</v>
      </c>
      <c r="D456" s="3">
        <v>42761</v>
      </c>
      <c r="E456" t="s">
        <v>56</v>
      </c>
      <c r="F456">
        <v>-1</v>
      </c>
      <c r="G456">
        <v>1</v>
      </c>
      <c r="H456">
        <v>0</v>
      </c>
      <c r="I456">
        <v>0</v>
      </c>
      <c r="J456">
        <v>16.605</v>
      </c>
      <c r="K456" s="1">
        <v>-16.61</v>
      </c>
      <c r="L456" t="s">
        <v>216</v>
      </c>
    </row>
    <row r="457" spans="1:12" outlineLevel="2" x14ac:dyDescent="0.3">
      <c r="A457" t="s">
        <v>36</v>
      </c>
      <c r="B457" t="s">
        <v>86</v>
      </c>
      <c r="C457" t="s">
        <v>38</v>
      </c>
      <c r="D457" s="3">
        <v>42761</v>
      </c>
      <c r="E457" t="s">
        <v>84</v>
      </c>
      <c r="F457">
        <v>171565.7</v>
      </c>
      <c r="G457">
        <v>1</v>
      </c>
      <c r="H457">
        <v>0</v>
      </c>
      <c r="I457">
        <v>0</v>
      </c>
      <c r="J457">
        <v>17.12</v>
      </c>
      <c r="K457" s="1">
        <v>2937204.79</v>
      </c>
      <c r="L457" t="s">
        <v>235</v>
      </c>
    </row>
    <row r="458" spans="1:12" outlineLevel="2" x14ac:dyDescent="0.3">
      <c r="A458" t="s">
        <v>36</v>
      </c>
      <c r="B458" t="s">
        <v>86</v>
      </c>
      <c r="C458" t="s">
        <v>38</v>
      </c>
      <c r="D458" s="3">
        <v>42761</v>
      </c>
      <c r="E458" t="s">
        <v>47</v>
      </c>
      <c r="F458">
        <v>-171565.7</v>
      </c>
      <c r="G458">
        <v>1</v>
      </c>
      <c r="H458">
        <v>0</v>
      </c>
      <c r="I458">
        <v>0</v>
      </c>
      <c r="J458">
        <v>17.12</v>
      </c>
      <c r="K458" s="1">
        <v>-2937204.79</v>
      </c>
      <c r="L458" t="s">
        <v>235</v>
      </c>
    </row>
    <row r="459" spans="1:12" outlineLevel="2" x14ac:dyDescent="0.3">
      <c r="A459" t="s">
        <v>36</v>
      </c>
      <c r="B459" t="s">
        <v>120</v>
      </c>
      <c r="C459" t="s">
        <v>40</v>
      </c>
      <c r="D459" s="3">
        <v>42761</v>
      </c>
      <c r="E459" t="s">
        <v>39</v>
      </c>
      <c r="F459">
        <v>3000</v>
      </c>
      <c r="G459">
        <v>1</v>
      </c>
      <c r="H459">
        <v>0</v>
      </c>
      <c r="I459">
        <v>0</v>
      </c>
      <c r="J459">
        <v>19.374199999999998</v>
      </c>
      <c r="K459" s="1">
        <v>58122.5</v>
      </c>
      <c r="L459" t="s">
        <v>246</v>
      </c>
    </row>
    <row r="460" spans="1:12" outlineLevel="2" x14ac:dyDescent="0.3">
      <c r="A460" t="s">
        <v>36</v>
      </c>
      <c r="B460" t="s">
        <v>122</v>
      </c>
      <c r="C460" t="s">
        <v>63</v>
      </c>
      <c r="D460" s="3">
        <v>42761</v>
      </c>
      <c r="E460" t="s">
        <v>39</v>
      </c>
      <c r="F460">
        <v>-3000</v>
      </c>
      <c r="G460">
        <v>1</v>
      </c>
      <c r="H460">
        <v>0</v>
      </c>
      <c r="I460">
        <v>0</v>
      </c>
      <c r="J460">
        <v>19.374199999999998</v>
      </c>
      <c r="K460" s="1">
        <v>-58122.5</v>
      </c>
      <c r="L460" t="s">
        <v>246</v>
      </c>
    </row>
    <row r="461" spans="1:12" outlineLevel="2" x14ac:dyDescent="0.3">
      <c r="A461" t="s">
        <v>36</v>
      </c>
      <c r="B461" t="s">
        <v>150</v>
      </c>
      <c r="C461" t="s">
        <v>38</v>
      </c>
      <c r="D461" s="3">
        <v>42761</v>
      </c>
      <c r="E461" t="s">
        <v>39</v>
      </c>
      <c r="F461">
        <v>-10000</v>
      </c>
      <c r="G461">
        <v>1</v>
      </c>
      <c r="H461">
        <v>0</v>
      </c>
      <c r="I461">
        <v>0</v>
      </c>
      <c r="J461">
        <v>18.164999999999999</v>
      </c>
      <c r="K461" s="1">
        <v>-181650</v>
      </c>
      <c r="L461" t="s">
        <v>187</v>
      </c>
    </row>
    <row r="462" spans="1:12" outlineLevel="2" x14ac:dyDescent="0.3">
      <c r="A462" t="s">
        <v>36</v>
      </c>
      <c r="B462" t="s">
        <v>150</v>
      </c>
      <c r="C462" t="s">
        <v>38</v>
      </c>
      <c r="D462" s="3">
        <v>42761</v>
      </c>
      <c r="E462" t="s">
        <v>151</v>
      </c>
      <c r="F462">
        <v>10000</v>
      </c>
      <c r="G462">
        <v>1</v>
      </c>
      <c r="H462">
        <v>0</v>
      </c>
      <c r="I462">
        <v>0</v>
      </c>
      <c r="J462">
        <v>18.164999999999999</v>
      </c>
      <c r="K462" s="1">
        <v>181650</v>
      </c>
      <c r="L462" t="s">
        <v>187</v>
      </c>
    </row>
    <row r="463" spans="1:12" outlineLevel="1" x14ac:dyDescent="0.3">
      <c r="D463" s="7" t="s">
        <v>286</v>
      </c>
      <c r="K463" s="1">
        <f>SUM(K447:K462)</f>
        <v>-265.68000000016764</v>
      </c>
    </row>
    <row r="464" spans="1:12" outlineLevel="2" x14ac:dyDescent="0.3">
      <c r="A464" t="s">
        <v>36</v>
      </c>
      <c r="B464" t="s">
        <v>105</v>
      </c>
      <c r="C464" t="s">
        <v>38</v>
      </c>
      <c r="D464" s="3">
        <v>42762</v>
      </c>
      <c r="E464" t="s">
        <v>56</v>
      </c>
      <c r="F464">
        <v>-100</v>
      </c>
      <c r="G464">
        <v>5</v>
      </c>
      <c r="H464">
        <v>0</v>
      </c>
      <c r="I464">
        <v>0</v>
      </c>
      <c r="J464">
        <v>91.440299999999993</v>
      </c>
      <c r="K464" s="1">
        <v>-9144.0300000000007</v>
      </c>
      <c r="L464" t="s">
        <v>244</v>
      </c>
    </row>
    <row r="465" spans="1:12" outlineLevel="2" x14ac:dyDescent="0.3">
      <c r="A465" t="s">
        <v>36</v>
      </c>
      <c r="B465" t="s">
        <v>105</v>
      </c>
      <c r="C465" t="s">
        <v>38</v>
      </c>
      <c r="D465" s="3">
        <v>42762</v>
      </c>
      <c r="E465" t="s">
        <v>106</v>
      </c>
      <c r="F465">
        <v>100</v>
      </c>
      <c r="G465">
        <v>5</v>
      </c>
      <c r="H465">
        <v>0</v>
      </c>
      <c r="I465">
        <v>0</v>
      </c>
      <c r="J465">
        <v>91.440299999999993</v>
      </c>
      <c r="K465" s="1">
        <v>9144.0300000000007</v>
      </c>
      <c r="L465" t="s">
        <v>244</v>
      </c>
    </row>
    <row r="466" spans="1:12" outlineLevel="1" x14ac:dyDescent="0.3">
      <c r="D466" s="7" t="s">
        <v>287</v>
      </c>
      <c r="K466" s="1">
        <f>SUM(K464:K465)</f>
        <v>0</v>
      </c>
    </row>
    <row r="467" spans="1:12" outlineLevel="2" x14ac:dyDescent="0.3">
      <c r="A467" t="s">
        <v>36</v>
      </c>
      <c r="B467" t="s">
        <v>52</v>
      </c>
      <c r="C467" t="s">
        <v>38</v>
      </c>
      <c r="D467" s="3">
        <v>42765</v>
      </c>
      <c r="E467" t="s">
        <v>39</v>
      </c>
      <c r="F467">
        <v>-8400</v>
      </c>
      <c r="G467">
        <v>0.25</v>
      </c>
      <c r="H467">
        <v>0</v>
      </c>
      <c r="I467">
        <v>0</v>
      </c>
      <c r="J467">
        <v>5.4962999999999997</v>
      </c>
      <c r="K467" s="1">
        <v>-46168.5</v>
      </c>
      <c r="L467" t="s">
        <v>185</v>
      </c>
    </row>
    <row r="468" spans="1:12" outlineLevel="2" x14ac:dyDescent="0.3">
      <c r="A468" t="s">
        <v>36</v>
      </c>
      <c r="B468" t="s">
        <v>52</v>
      </c>
      <c r="C468" t="s">
        <v>38</v>
      </c>
      <c r="D468" s="3">
        <v>42765</v>
      </c>
      <c r="E468" t="s">
        <v>49</v>
      </c>
      <c r="F468">
        <v>8400</v>
      </c>
      <c r="G468">
        <v>0.25</v>
      </c>
      <c r="H468">
        <v>0</v>
      </c>
      <c r="I468">
        <v>0</v>
      </c>
      <c r="J468">
        <v>5.4962999999999997</v>
      </c>
      <c r="K468" s="1">
        <v>46168.5</v>
      </c>
      <c r="L468" t="s">
        <v>185</v>
      </c>
    </row>
    <row r="469" spans="1:12" outlineLevel="2" x14ac:dyDescent="0.3">
      <c r="A469" t="s">
        <v>36</v>
      </c>
      <c r="B469" t="s">
        <v>54</v>
      </c>
      <c r="C469" t="s">
        <v>38</v>
      </c>
      <c r="D469" s="3">
        <v>42765</v>
      </c>
      <c r="E469" t="s">
        <v>55</v>
      </c>
      <c r="F469">
        <v>1</v>
      </c>
      <c r="G469">
        <v>5</v>
      </c>
      <c r="H469">
        <v>0</v>
      </c>
      <c r="I469">
        <v>0</v>
      </c>
      <c r="J469">
        <v>80.552199999999999</v>
      </c>
      <c r="K469" s="1">
        <v>80.55</v>
      </c>
      <c r="L469" t="s">
        <v>186</v>
      </c>
    </row>
    <row r="470" spans="1:12" outlineLevel="2" x14ac:dyDescent="0.3">
      <c r="A470" t="s">
        <v>36</v>
      </c>
      <c r="B470" t="s">
        <v>54</v>
      </c>
      <c r="C470" t="s">
        <v>38</v>
      </c>
      <c r="D470" s="3">
        <v>42765</v>
      </c>
      <c r="E470" t="s">
        <v>56</v>
      </c>
      <c r="F470">
        <v>-1</v>
      </c>
      <c r="G470">
        <v>5</v>
      </c>
      <c r="H470">
        <v>0</v>
      </c>
      <c r="I470">
        <v>0</v>
      </c>
      <c r="J470">
        <v>80.552199999999999</v>
      </c>
      <c r="K470" s="1">
        <v>-80.55</v>
      </c>
      <c r="L470" t="s">
        <v>186</v>
      </c>
    </row>
    <row r="471" spans="1:12" outlineLevel="2" x14ac:dyDescent="0.3">
      <c r="A471" t="s">
        <v>36</v>
      </c>
      <c r="B471" t="s">
        <v>61</v>
      </c>
      <c r="C471" t="s">
        <v>38</v>
      </c>
      <c r="D471" s="3">
        <v>42765</v>
      </c>
      <c r="E471" t="s">
        <v>55</v>
      </c>
      <c r="F471">
        <v>1</v>
      </c>
      <c r="G471">
        <v>10</v>
      </c>
      <c r="H471">
        <v>0</v>
      </c>
      <c r="I471">
        <v>0</v>
      </c>
      <c r="J471">
        <v>172.90440000000001</v>
      </c>
      <c r="K471" s="1">
        <v>172.9</v>
      </c>
      <c r="L471" t="s">
        <v>186</v>
      </c>
    </row>
    <row r="472" spans="1:12" outlineLevel="2" x14ac:dyDescent="0.3">
      <c r="A472" t="s">
        <v>36</v>
      </c>
      <c r="B472" t="s">
        <v>61</v>
      </c>
      <c r="C472" t="s">
        <v>38</v>
      </c>
      <c r="D472" s="3">
        <v>42765</v>
      </c>
      <c r="E472" t="s">
        <v>56</v>
      </c>
      <c r="F472">
        <v>-1</v>
      </c>
      <c r="G472">
        <v>10</v>
      </c>
      <c r="H472">
        <v>0</v>
      </c>
      <c r="I472">
        <v>0</v>
      </c>
      <c r="J472">
        <v>172.90440000000001</v>
      </c>
      <c r="K472" s="1">
        <v>-172.9</v>
      </c>
      <c r="L472" t="s">
        <v>186</v>
      </c>
    </row>
    <row r="473" spans="1:12" outlineLevel="2" x14ac:dyDescent="0.3">
      <c r="A473" t="s">
        <v>36</v>
      </c>
      <c r="B473" t="s">
        <v>82</v>
      </c>
      <c r="C473" t="s">
        <v>38</v>
      </c>
      <c r="D473" s="3">
        <v>42765</v>
      </c>
      <c r="E473" t="s">
        <v>39</v>
      </c>
      <c r="F473">
        <v>-301834.26</v>
      </c>
      <c r="G473">
        <v>1</v>
      </c>
      <c r="H473">
        <v>0</v>
      </c>
      <c r="I473">
        <v>0</v>
      </c>
      <c r="J473">
        <v>16.456900000000001</v>
      </c>
      <c r="K473" s="1">
        <v>-4967246.88</v>
      </c>
      <c r="L473" t="s">
        <v>221</v>
      </c>
    </row>
    <row r="474" spans="1:12" outlineLevel="2" x14ac:dyDescent="0.3">
      <c r="A474" t="s">
        <v>36</v>
      </c>
      <c r="B474" t="s">
        <v>82</v>
      </c>
      <c r="C474" t="s">
        <v>38</v>
      </c>
      <c r="D474" s="3">
        <v>42765</v>
      </c>
      <c r="E474" t="s">
        <v>39</v>
      </c>
      <c r="F474">
        <v>301834.26</v>
      </c>
      <c r="G474">
        <v>1</v>
      </c>
      <c r="H474">
        <v>0</v>
      </c>
      <c r="I474">
        <v>0</v>
      </c>
      <c r="J474">
        <v>16.456900000000001</v>
      </c>
      <c r="K474" s="1">
        <v>4967246.88</v>
      </c>
      <c r="L474" t="s">
        <v>222</v>
      </c>
    </row>
    <row r="475" spans="1:12" outlineLevel="2" x14ac:dyDescent="0.3">
      <c r="A475" t="s">
        <v>36</v>
      </c>
      <c r="B475" t="s">
        <v>82</v>
      </c>
      <c r="C475" t="s">
        <v>38</v>
      </c>
      <c r="D475" s="3">
        <v>42765</v>
      </c>
      <c r="E475" t="s">
        <v>84</v>
      </c>
      <c r="F475">
        <v>301834.26</v>
      </c>
      <c r="G475">
        <v>1</v>
      </c>
      <c r="H475">
        <v>0</v>
      </c>
      <c r="I475">
        <v>0</v>
      </c>
      <c r="J475">
        <v>16.456900000000001</v>
      </c>
      <c r="K475" s="1">
        <v>4967246.88</v>
      </c>
      <c r="L475" t="s">
        <v>221</v>
      </c>
    </row>
    <row r="476" spans="1:12" outlineLevel="2" x14ac:dyDescent="0.3">
      <c r="A476" t="s">
        <v>36</v>
      </c>
      <c r="B476" t="s">
        <v>82</v>
      </c>
      <c r="C476" t="s">
        <v>38</v>
      </c>
      <c r="D476" s="3">
        <v>42765</v>
      </c>
      <c r="E476" t="s">
        <v>84</v>
      </c>
      <c r="F476">
        <v>-301834.26</v>
      </c>
      <c r="G476">
        <v>1</v>
      </c>
      <c r="H476">
        <v>0</v>
      </c>
      <c r="I476">
        <v>0</v>
      </c>
      <c r="J476">
        <v>16.456900000000001</v>
      </c>
      <c r="K476" s="1">
        <v>-4967246.88</v>
      </c>
      <c r="L476" t="s">
        <v>222</v>
      </c>
    </row>
    <row r="477" spans="1:12" outlineLevel="2" x14ac:dyDescent="0.3">
      <c r="A477" t="s">
        <v>36</v>
      </c>
      <c r="B477" t="s">
        <v>82</v>
      </c>
      <c r="C477" t="s">
        <v>38</v>
      </c>
      <c r="D477" s="3">
        <v>42765</v>
      </c>
      <c r="E477" t="s">
        <v>84</v>
      </c>
      <c r="F477">
        <v>301834.26</v>
      </c>
      <c r="G477">
        <v>1</v>
      </c>
      <c r="H477">
        <v>0</v>
      </c>
      <c r="I477">
        <v>0</v>
      </c>
      <c r="J477">
        <v>16.775500000000001</v>
      </c>
      <c r="K477" s="1">
        <v>5063426.68</v>
      </c>
      <c r="L477" t="s">
        <v>222</v>
      </c>
    </row>
    <row r="478" spans="1:12" outlineLevel="2" x14ac:dyDescent="0.3">
      <c r="A478" t="s">
        <v>36</v>
      </c>
      <c r="B478" t="s">
        <v>82</v>
      </c>
      <c r="C478" t="s">
        <v>38</v>
      </c>
      <c r="D478" s="3">
        <v>42765</v>
      </c>
      <c r="E478" t="s">
        <v>47</v>
      </c>
      <c r="F478">
        <v>-301834.26</v>
      </c>
      <c r="G478">
        <v>1</v>
      </c>
      <c r="H478">
        <v>0</v>
      </c>
      <c r="I478">
        <v>0</v>
      </c>
      <c r="J478">
        <v>16.775500000000001</v>
      </c>
      <c r="K478" s="1">
        <v>-5063426.68</v>
      </c>
      <c r="L478" t="s">
        <v>222</v>
      </c>
    </row>
    <row r="479" spans="1:12" outlineLevel="2" x14ac:dyDescent="0.3">
      <c r="A479" t="s">
        <v>36</v>
      </c>
      <c r="B479" t="s">
        <v>86</v>
      </c>
      <c r="C479" t="s">
        <v>38</v>
      </c>
      <c r="D479" s="3">
        <v>42765</v>
      </c>
      <c r="E479" t="s">
        <v>39</v>
      </c>
      <c r="F479">
        <v>-131110.70000000001</v>
      </c>
      <c r="G479">
        <v>1</v>
      </c>
      <c r="H479">
        <v>0</v>
      </c>
      <c r="I479">
        <v>0</v>
      </c>
      <c r="J479">
        <v>16.529599999999999</v>
      </c>
      <c r="K479" s="1">
        <v>-2167210.36</v>
      </c>
      <c r="L479" t="s">
        <v>221</v>
      </c>
    </row>
    <row r="480" spans="1:12" outlineLevel="2" x14ac:dyDescent="0.3">
      <c r="A480" t="s">
        <v>36</v>
      </c>
      <c r="B480" t="s">
        <v>86</v>
      </c>
      <c r="C480" t="s">
        <v>38</v>
      </c>
      <c r="D480" s="3">
        <v>42765</v>
      </c>
      <c r="E480" t="s">
        <v>39</v>
      </c>
      <c r="F480">
        <v>131110.70000000001</v>
      </c>
      <c r="G480">
        <v>1</v>
      </c>
      <c r="H480">
        <v>0</v>
      </c>
      <c r="I480">
        <v>0</v>
      </c>
      <c r="J480">
        <v>16.529599999999999</v>
      </c>
      <c r="K480" s="1">
        <v>2167210.36</v>
      </c>
      <c r="L480" t="s">
        <v>222</v>
      </c>
    </row>
    <row r="481" spans="1:12" outlineLevel="2" x14ac:dyDescent="0.3">
      <c r="A481" t="s">
        <v>36</v>
      </c>
      <c r="B481" t="s">
        <v>86</v>
      </c>
      <c r="C481" t="s">
        <v>38</v>
      </c>
      <c r="D481" s="3">
        <v>42765</v>
      </c>
      <c r="E481" t="s">
        <v>84</v>
      </c>
      <c r="F481">
        <v>131110.70000000001</v>
      </c>
      <c r="G481">
        <v>1</v>
      </c>
      <c r="H481">
        <v>0</v>
      </c>
      <c r="I481">
        <v>0</v>
      </c>
      <c r="J481">
        <v>16.529599999999999</v>
      </c>
      <c r="K481" s="1">
        <v>2167210.36</v>
      </c>
      <c r="L481" t="s">
        <v>221</v>
      </c>
    </row>
    <row r="482" spans="1:12" outlineLevel="2" x14ac:dyDescent="0.3">
      <c r="A482" t="s">
        <v>36</v>
      </c>
      <c r="B482" t="s">
        <v>86</v>
      </c>
      <c r="C482" t="s">
        <v>38</v>
      </c>
      <c r="D482" s="3">
        <v>42765</v>
      </c>
      <c r="E482" t="s">
        <v>84</v>
      </c>
      <c r="F482">
        <v>-131110.70000000001</v>
      </c>
      <c r="G482">
        <v>1</v>
      </c>
      <c r="H482">
        <v>0</v>
      </c>
      <c r="I482">
        <v>0</v>
      </c>
      <c r="J482">
        <v>16.529599999999999</v>
      </c>
      <c r="K482" s="1">
        <v>-2167210.36</v>
      </c>
      <c r="L482" t="s">
        <v>222</v>
      </c>
    </row>
    <row r="483" spans="1:12" outlineLevel="2" x14ac:dyDescent="0.3">
      <c r="A483" t="s">
        <v>36</v>
      </c>
      <c r="B483" t="s">
        <v>86</v>
      </c>
      <c r="C483" t="s">
        <v>38</v>
      </c>
      <c r="D483" s="3">
        <v>42765</v>
      </c>
      <c r="E483" t="s">
        <v>84</v>
      </c>
      <c r="F483">
        <v>131110.70000000001</v>
      </c>
      <c r="G483">
        <v>1</v>
      </c>
      <c r="H483">
        <v>0</v>
      </c>
      <c r="I483">
        <v>0</v>
      </c>
      <c r="J483">
        <v>17.12</v>
      </c>
      <c r="K483" s="1">
        <v>2244615.1800000002</v>
      </c>
      <c r="L483" t="s">
        <v>222</v>
      </c>
    </row>
    <row r="484" spans="1:12" outlineLevel="2" x14ac:dyDescent="0.3">
      <c r="A484" t="s">
        <v>36</v>
      </c>
      <c r="B484" t="s">
        <v>86</v>
      </c>
      <c r="C484" t="s">
        <v>38</v>
      </c>
      <c r="D484" s="3">
        <v>42765</v>
      </c>
      <c r="E484" t="s">
        <v>47</v>
      </c>
      <c r="F484">
        <v>-131110.70000000001</v>
      </c>
      <c r="G484">
        <v>1</v>
      </c>
      <c r="H484">
        <v>0</v>
      </c>
      <c r="I484">
        <v>0</v>
      </c>
      <c r="J484">
        <v>17.12</v>
      </c>
      <c r="K484" s="1">
        <v>-2244615.1800000002</v>
      </c>
      <c r="L484" t="s">
        <v>222</v>
      </c>
    </row>
    <row r="485" spans="1:12" outlineLevel="2" x14ac:dyDescent="0.3">
      <c r="A485" t="s">
        <v>36</v>
      </c>
      <c r="B485" t="s">
        <v>88</v>
      </c>
      <c r="C485" t="s">
        <v>38</v>
      </c>
      <c r="D485" s="3">
        <v>42765</v>
      </c>
      <c r="E485" t="s">
        <v>55</v>
      </c>
      <c r="F485">
        <v>20</v>
      </c>
      <c r="G485">
        <v>1</v>
      </c>
      <c r="H485">
        <v>0</v>
      </c>
      <c r="I485">
        <v>0</v>
      </c>
      <c r="J485">
        <v>16.6812</v>
      </c>
      <c r="K485" s="1">
        <v>333.62</v>
      </c>
      <c r="L485" t="s">
        <v>186</v>
      </c>
    </row>
    <row r="486" spans="1:12" outlineLevel="2" x14ac:dyDescent="0.3">
      <c r="A486" t="s">
        <v>36</v>
      </c>
      <c r="B486" t="s">
        <v>88</v>
      </c>
      <c r="C486" t="s">
        <v>38</v>
      </c>
      <c r="D486" s="3">
        <v>42765</v>
      </c>
      <c r="E486" t="s">
        <v>56</v>
      </c>
      <c r="F486">
        <v>-20</v>
      </c>
      <c r="G486">
        <v>1</v>
      </c>
      <c r="H486">
        <v>0</v>
      </c>
      <c r="I486">
        <v>0</v>
      </c>
      <c r="J486">
        <v>16.6812</v>
      </c>
      <c r="K486" s="1">
        <v>-333.62</v>
      </c>
      <c r="L486" t="s">
        <v>186</v>
      </c>
    </row>
    <row r="487" spans="1:12" outlineLevel="2" x14ac:dyDescent="0.3">
      <c r="A487" t="s">
        <v>36</v>
      </c>
      <c r="B487" t="s">
        <v>96</v>
      </c>
      <c r="C487" t="s">
        <v>38</v>
      </c>
      <c r="D487" s="3">
        <v>42765</v>
      </c>
      <c r="E487" t="s">
        <v>55</v>
      </c>
      <c r="F487">
        <v>20</v>
      </c>
      <c r="G487">
        <v>1</v>
      </c>
      <c r="H487">
        <v>0</v>
      </c>
      <c r="I487">
        <v>0</v>
      </c>
      <c r="J487">
        <v>15.5006</v>
      </c>
      <c r="K487" s="1">
        <v>310.01</v>
      </c>
      <c r="L487" t="s">
        <v>186</v>
      </c>
    </row>
    <row r="488" spans="1:12" outlineLevel="2" x14ac:dyDescent="0.3">
      <c r="A488" t="s">
        <v>36</v>
      </c>
      <c r="B488" t="s">
        <v>96</v>
      </c>
      <c r="C488" t="s">
        <v>38</v>
      </c>
      <c r="D488" s="3">
        <v>42765</v>
      </c>
      <c r="E488" t="s">
        <v>56</v>
      </c>
      <c r="F488">
        <v>-20</v>
      </c>
      <c r="G488">
        <v>1</v>
      </c>
      <c r="H488">
        <v>0</v>
      </c>
      <c r="I488">
        <v>0</v>
      </c>
      <c r="J488">
        <v>15.5006</v>
      </c>
      <c r="K488" s="1">
        <v>-310.01</v>
      </c>
      <c r="L488" t="s">
        <v>186</v>
      </c>
    </row>
    <row r="489" spans="1:12" outlineLevel="2" x14ac:dyDescent="0.3">
      <c r="A489" t="s">
        <v>36</v>
      </c>
      <c r="B489" t="s">
        <v>97</v>
      </c>
      <c r="C489" t="s">
        <v>38</v>
      </c>
      <c r="D489" s="3">
        <v>42765</v>
      </c>
      <c r="E489" t="s">
        <v>55</v>
      </c>
      <c r="F489">
        <v>1</v>
      </c>
      <c r="G489">
        <v>1</v>
      </c>
      <c r="H489">
        <v>0</v>
      </c>
      <c r="I489">
        <v>0</v>
      </c>
      <c r="J489">
        <v>24</v>
      </c>
      <c r="K489" s="1">
        <v>24</v>
      </c>
      <c r="L489" t="s">
        <v>186</v>
      </c>
    </row>
    <row r="490" spans="1:12" outlineLevel="2" x14ac:dyDescent="0.3">
      <c r="A490" t="s">
        <v>36</v>
      </c>
      <c r="B490" t="s">
        <v>97</v>
      </c>
      <c r="C490" t="s">
        <v>38</v>
      </c>
      <c r="D490" s="3">
        <v>42765</v>
      </c>
      <c r="E490" t="s">
        <v>56</v>
      </c>
      <c r="F490">
        <v>-1</v>
      </c>
      <c r="G490">
        <v>1</v>
      </c>
      <c r="H490">
        <v>0</v>
      </c>
      <c r="I490">
        <v>0</v>
      </c>
      <c r="J490">
        <v>24</v>
      </c>
      <c r="K490" s="1">
        <v>-24</v>
      </c>
      <c r="L490" t="s">
        <v>186</v>
      </c>
    </row>
    <row r="491" spans="1:12" outlineLevel="2" x14ac:dyDescent="0.3">
      <c r="A491" t="s">
        <v>36</v>
      </c>
      <c r="B491" t="s">
        <v>98</v>
      </c>
      <c r="C491" t="s">
        <v>38</v>
      </c>
      <c r="D491" s="3">
        <v>42765</v>
      </c>
      <c r="E491" t="s">
        <v>55</v>
      </c>
      <c r="F491">
        <v>1</v>
      </c>
      <c r="G491">
        <v>5</v>
      </c>
      <c r="H491">
        <v>0</v>
      </c>
      <c r="I491">
        <v>0</v>
      </c>
      <c r="J491">
        <v>87.337299999999999</v>
      </c>
      <c r="K491" s="1">
        <v>87.34</v>
      </c>
      <c r="L491" t="s">
        <v>186</v>
      </c>
    </row>
    <row r="492" spans="1:12" outlineLevel="2" x14ac:dyDescent="0.3">
      <c r="A492" t="s">
        <v>36</v>
      </c>
      <c r="B492" t="s">
        <v>98</v>
      </c>
      <c r="C492" t="s">
        <v>38</v>
      </c>
      <c r="D492" s="3">
        <v>42765</v>
      </c>
      <c r="E492" t="s">
        <v>56</v>
      </c>
      <c r="F492">
        <v>-1</v>
      </c>
      <c r="G492">
        <v>5</v>
      </c>
      <c r="H492">
        <v>0</v>
      </c>
      <c r="I492">
        <v>0</v>
      </c>
      <c r="J492">
        <v>87.337299999999999</v>
      </c>
      <c r="K492" s="1">
        <v>-87.34</v>
      </c>
      <c r="L492" t="s">
        <v>186</v>
      </c>
    </row>
    <row r="493" spans="1:12" outlineLevel="2" x14ac:dyDescent="0.3">
      <c r="A493" t="s">
        <v>36</v>
      </c>
      <c r="B493" t="s">
        <v>99</v>
      </c>
      <c r="C493" t="s">
        <v>38</v>
      </c>
      <c r="D493" s="3">
        <v>42765</v>
      </c>
      <c r="E493" t="s">
        <v>55</v>
      </c>
      <c r="F493">
        <v>1</v>
      </c>
      <c r="G493">
        <v>5</v>
      </c>
      <c r="H493">
        <v>0</v>
      </c>
      <c r="I493">
        <v>0</v>
      </c>
      <c r="J493">
        <v>87.954400000000007</v>
      </c>
      <c r="K493" s="1">
        <v>87.95</v>
      </c>
      <c r="L493" t="s">
        <v>186</v>
      </c>
    </row>
    <row r="494" spans="1:12" outlineLevel="2" x14ac:dyDescent="0.3">
      <c r="A494" t="s">
        <v>36</v>
      </c>
      <c r="B494" t="s">
        <v>99</v>
      </c>
      <c r="C494" t="s">
        <v>38</v>
      </c>
      <c r="D494" s="3">
        <v>42765</v>
      </c>
      <c r="E494" t="s">
        <v>56</v>
      </c>
      <c r="F494">
        <v>-1</v>
      </c>
      <c r="G494">
        <v>5</v>
      </c>
      <c r="H494">
        <v>0</v>
      </c>
      <c r="I494">
        <v>0</v>
      </c>
      <c r="J494">
        <v>87.954400000000007</v>
      </c>
      <c r="K494" s="1">
        <v>-87.95</v>
      </c>
      <c r="L494" t="s">
        <v>186</v>
      </c>
    </row>
    <row r="495" spans="1:12" outlineLevel="2" x14ac:dyDescent="0.3">
      <c r="A495" t="s">
        <v>36</v>
      </c>
      <c r="B495" t="s">
        <v>100</v>
      </c>
      <c r="C495" t="s">
        <v>38</v>
      </c>
      <c r="D495" s="3">
        <v>42765</v>
      </c>
      <c r="E495" t="s">
        <v>55</v>
      </c>
      <c r="F495">
        <v>1</v>
      </c>
      <c r="G495">
        <v>5</v>
      </c>
      <c r="H495">
        <v>0</v>
      </c>
      <c r="I495">
        <v>0</v>
      </c>
      <c r="J495">
        <v>91.048199999999994</v>
      </c>
      <c r="K495" s="1">
        <v>91.05</v>
      </c>
      <c r="L495" t="s">
        <v>186</v>
      </c>
    </row>
    <row r="496" spans="1:12" outlineLevel="2" x14ac:dyDescent="0.3">
      <c r="A496" t="s">
        <v>36</v>
      </c>
      <c r="B496" t="s">
        <v>100</v>
      </c>
      <c r="C496" t="s">
        <v>38</v>
      </c>
      <c r="D496" s="3">
        <v>42765</v>
      </c>
      <c r="E496" t="s">
        <v>56</v>
      </c>
      <c r="F496">
        <v>-1</v>
      </c>
      <c r="G496">
        <v>5</v>
      </c>
      <c r="H496">
        <v>0</v>
      </c>
      <c r="I496">
        <v>0</v>
      </c>
      <c r="J496">
        <v>91.048199999999994</v>
      </c>
      <c r="K496" s="1">
        <v>-91.05</v>
      </c>
      <c r="L496" t="s">
        <v>186</v>
      </c>
    </row>
    <row r="497" spans="1:12" outlineLevel="2" x14ac:dyDescent="0.3">
      <c r="A497" t="s">
        <v>36</v>
      </c>
      <c r="B497" t="s">
        <v>101</v>
      </c>
      <c r="C497" t="s">
        <v>38</v>
      </c>
      <c r="D497" s="3">
        <v>42765</v>
      </c>
      <c r="E497" t="s">
        <v>55</v>
      </c>
      <c r="F497">
        <v>20</v>
      </c>
      <c r="G497">
        <v>1</v>
      </c>
      <c r="H497">
        <v>0</v>
      </c>
      <c r="I497">
        <v>0</v>
      </c>
      <c r="J497">
        <v>19.002300000000002</v>
      </c>
      <c r="K497" s="1">
        <v>380.05</v>
      </c>
      <c r="L497" t="s">
        <v>186</v>
      </c>
    </row>
    <row r="498" spans="1:12" outlineLevel="2" x14ac:dyDescent="0.3">
      <c r="A498" t="s">
        <v>36</v>
      </c>
      <c r="B498" t="s">
        <v>101</v>
      </c>
      <c r="C498" t="s">
        <v>38</v>
      </c>
      <c r="D498" s="3">
        <v>42765</v>
      </c>
      <c r="E498" t="s">
        <v>56</v>
      </c>
      <c r="F498">
        <v>-20</v>
      </c>
      <c r="G498">
        <v>1</v>
      </c>
      <c r="H498">
        <v>0</v>
      </c>
      <c r="I498">
        <v>0</v>
      </c>
      <c r="J498">
        <v>19.002300000000002</v>
      </c>
      <c r="K498" s="1">
        <v>-380.05</v>
      </c>
      <c r="L498" t="s">
        <v>186</v>
      </c>
    </row>
    <row r="499" spans="1:12" outlineLevel="2" x14ac:dyDescent="0.3">
      <c r="A499" t="s">
        <v>36</v>
      </c>
      <c r="B499" t="s">
        <v>103</v>
      </c>
      <c r="C499" t="s">
        <v>38</v>
      </c>
      <c r="D499" s="3">
        <v>42765</v>
      </c>
      <c r="E499" t="s">
        <v>55</v>
      </c>
      <c r="F499">
        <v>1</v>
      </c>
      <c r="G499">
        <v>5</v>
      </c>
      <c r="H499">
        <v>0</v>
      </c>
      <c r="I499">
        <v>0</v>
      </c>
      <c r="J499">
        <v>92.850800000000007</v>
      </c>
      <c r="K499" s="1">
        <v>92.85</v>
      </c>
      <c r="L499" t="s">
        <v>186</v>
      </c>
    </row>
    <row r="500" spans="1:12" outlineLevel="2" x14ac:dyDescent="0.3">
      <c r="A500" t="s">
        <v>36</v>
      </c>
      <c r="B500" t="s">
        <v>103</v>
      </c>
      <c r="C500" t="s">
        <v>38</v>
      </c>
      <c r="D500" s="3">
        <v>42765</v>
      </c>
      <c r="E500" t="s">
        <v>56</v>
      </c>
      <c r="F500">
        <v>-1</v>
      </c>
      <c r="G500">
        <v>5</v>
      </c>
      <c r="H500">
        <v>0</v>
      </c>
      <c r="I500">
        <v>0</v>
      </c>
      <c r="J500">
        <v>92.850800000000007</v>
      </c>
      <c r="K500" s="1">
        <v>-92.85</v>
      </c>
      <c r="L500" t="s">
        <v>186</v>
      </c>
    </row>
    <row r="501" spans="1:12" outlineLevel="2" x14ac:dyDescent="0.3">
      <c r="A501" t="s">
        <v>36</v>
      </c>
      <c r="B501" t="s">
        <v>104</v>
      </c>
      <c r="C501" t="s">
        <v>38</v>
      </c>
      <c r="D501" s="3">
        <v>42765</v>
      </c>
      <c r="E501" t="s">
        <v>55</v>
      </c>
      <c r="F501">
        <v>1</v>
      </c>
      <c r="G501">
        <v>5</v>
      </c>
      <c r="H501">
        <v>0</v>
      </c>
      <c r="I501">
        <v>0</v>
      </c>
      <c r="J501">
        <v>4.7169999999999996</v>
      </c>
      <c r="K501" s="1">
        <v>4.72</v>
      </c>
      <c r="L501" t="s">
        <v>186</v>
      </c>
    </row>
    <row r="502" spans="1:12" outlineLevel="2" x14ac:dyDescent="0.3">
      <c r="A502" t="s">
        <v>36</v>
      </c>
      <c r="B502" t="s">
        <v>104</v>
      </c>
      <c r="C502" t="s">
        <v>38</v>
      </c>
      <c r="D502" s="3">
        <v>42765</v>
      </c>
      <c r="E502" t="s">
        <v>56</v>
      </c>
      <c r="F502">
        <v>-1</v>
      </c>
      <c r="G502">
        <v>5</v>
      </c>
      <c r="H502">
        <v>0</v>
      </c>
      <c r="I502">
        <v>0</v>
      </c>
      <c r="J502">
        <v>4.7169999999999996</v>
      </c>
      <c r="K502" s="1">
        <v>-4.72</v>
      </c>
      <c r="L502" t="s">
        <v>186</v>
      </c>
    </row>
    <row r="503" spans="1:12" outlineLevel="2" x14ac:dyDescent="0.3">
      <c r="A503" t="s">
        <v>36</v>
      </c>
      <c r="B503" t="s">
        <v>105</v>
      </c>
      <c r="C503" t="s">
        <v>38</v>
      </c>
      <c r="D503" s="3">
        <v>42765</v>
      </c>
      <c r="E503" t="s">
        <v>55</v>
      </c>
      <c r="F503">
        <v>1</v>
      </c>
      <c r="G503">
        <v>5</v>
      </c>
      <c r="H503">
        <v>0</v>
      </c>
      <c r="I503">
        <v>0</v>
      </c>
      <c r="J503">
        <v>91.440299999999993</v>
      </c>
      <c r="K503" s="1">
        <v>91.44</v>
      </c>
      <c r="L503" t="s">
        <v>186</v>
      </c>
    </row>
    <row r="504" spans="1:12" outlineLevel="2" x14ac:dyDescent="0.3">
      <c r="A504" t="s">
        <v>36</v>
      </c>
      <c r="B504" t="s">
        <v>105</v>
      </c>
      <c r="C504" t="s">
        <v>38</v>
      </c>
      <c r="D504" s="3">
        <v>42765</v>
      </c>
      <c r="E504" t="s">
        <v>56</v>
      </c>
      <c r="F504">
        <v>-1</v>
      </c>
      <c r="G504">
        <v>5</v>
      </c>
      <c r="H504">
        <v>0</v>
      </c>
      <c r="I504">
        <v>0</v>
      </c>
      <c r="J504">
        <v>91.440299999999993</v>
      </c>
      <c r="K504" s="1">
        <v>-91.44</v>
      </c>
      <c r="L504" t="s">
        <v>186</v>
      </c>
    </row>
    <row r="505" spans="1:12" outlineLevel="2" x14ac:dyDescent="0.3">
      <c r="A505" t="s">
        <v>36</v>
      </c>
      <c r="B505" t="s">
        <v>107</v>
      </c>
      <c r="C505" t="s">
        <v>38</v>
      </c>
      <c r="D505" s="3">
        <v>42765</v>
      </c>
      <c r="E505" t="s">
        <v>55</v>
      </c>
      <c r="F505">
        <v>1</v>
      </c>
      <c r="G505">
        <v>5</v>
      </c>
      <c r="H505">
        <v>0</v>
      </c>
      <c r="I505">
        <v>0</v>
      </c>
      <c r="J505">
        <v>85.080699999999993</v>
      </c>
      <c r="K505" s="1">
        <v>85.08</v>
      </c>
      <c r="L505" t="s">
        <v>186</v>
      </c>
    </row>
    <row r="506" spans="1:12" outlineLevel="2" x14ac:dyDescent="0.3">
      <c r="A506" t="s">
        <v>36</v>
      </c>
      <c r="B506" t="s">
        <v>107</v>
      </c>
      <c r="C506" t="s">
        <v>38</v>
      </c>
      <c r="D506" s="3">
        <v>42765</v>
      </c>
      <c r="E506" t="s">
        <v>56</v>
      </c>
      <c r="F506">
        <v>-1</v>
      </c>
      <c r="G506">
        <v>5</v>
      </c>
      <c r="H506">
        <v>0</v>
      </c>
      <c r="I506">
        <v>0</v>
      </c>
      <c r="J506">
        <v>85.080699999999993</v>
      </c>
      <c r="K506" s="1">
        <v>-85.08</v>
      </c>
      <c r="L506" t="s">
        <v>186</v>
      </c>
    </row>
    <row r="507" spans="1:12" outlineLevel="2" x14ac:dyDescent="0.3">
      <c r="A507" t="s">
        <v>36</v>
      </c>
      <c r="B507" t="s">
        <v>108</v>
      </c>
      <c r="C507" t="s">
        <v>38</v>
      </c>
      <c r="D507" s="3">
        <v>42765</v>
      </c>
      <c r="E507" t="s">
        <v>55</v>
      </c>
      <c r="F507">
        <v>1</v>
      </c>
      <c r="G507">
        <v>5</v>
      </c>
      <c r="H507">
        <v>0</v>
      </c>
      <c r="I507">
        <v>0</v>
      </c>
      <c r="J507">
        <v>103.33750000000001</v>
      </c>
      <c r="K507" s="1">
        <v>103.34</v>
      </c>
      <c r="L507" t="s">
        <v>186</v>
      </c>
    </row>
    <row r="508" spans="1:12" outlineLevel="2" x14ac:dyDescent="0.3">
      <c r="A508" t="s">
        <v>36</v>
      </c>
      <c r="B508" t="s">
        <v>108</v>
      </c>
      <c r="C508" t="s">
        <v>38</v>
      </c>
      <c r="D508" s="3">
        <v>42765</v>
      </c>
      <c r="E508" t="s">
        <v>56</v>
      </c>
      <c r="F508">
        <v>-1</v>
      </c>
      <c r="G508">
        <v>5</v>
      </c>
      <c r="H508">
        <v>0</v>
      </c>
      <c r="I508">
        <v>0</v>
      </c>
      <c r="J508">
        <v>103.33750000000001</v>
      </c>
      <c r="K508" s="1">
        <v>-103.34</v>
      </c>
      <c r="L508" t="s">
        <v>186</v>
      </c>
    </row>
    <row r="509" spans="1:12" outlineLevel="2" x14ac:dyDescent="0.3">
      <c r="A509" t="s">
        <v>36</v>
      </c>
      <c r="B509" t="s">
        <v>109</v>
      </c>
      <c r="C509" t="s">
        <v>38</v>
      </c>
      <c r="D509" s="3">
        <v>42765</v>
      </c>
      <c r="E509" t="s">
        <v>39</v>
      </c>
      <c r="F509">
        <v>-6000</v>
      </c>
      <c r="G509">
        <v>1</v>
      </c>
      <c r="H509">
        <v>0</v>
      </c>
      <c r="I509">
        <v>0</v>
      </c>
      <c r="J509">
        <v>18.914300000000001</v>
      </c>
      <c r="K509" s="1">
        <v>-113485.95</v>
      </c>
      <c r="L509" t="s">
        <v>185</v>
      </c>
    </row>
    <row r="510" spans="1:12" outlineLevel="2" x14ac:dyDescent="0.3">
      <c r="A510" t="s">
        <v>36</v>
      </c>
      <c r="B510" t="s">
        <v>109</v>
      </c>
      <c r="C510" t="s">
        <v>38</v>
      </c>
      <c r="D510" s="3">
        <v>42765</v>
      </c>
      <c r="E510" t="s">
        <v>113</v>
      </c>
      <c r="F510">
        <v>6000</v>
      </c>
      <c r="G510">
        <v>1</v>
      </c>
      <c r="H510">
        <v>0</v>
      </c>
      <c r="I510">
        <v>0</v>
      </c>
      <c r="J510">
        <v>18.914300000000001</v>
      </c>
      <c r="K510" s="1">
        <v>113485.95</v>
      </c>
      <c r="L510" t="s">
        <v>185</v>
      </c>
    </row>
    <row r="511" spans="1:12" outlineLevel="2" x14ac:dyDescent="0.3">
      <c r="A511" t="s">
        <v>36</v>
      </c>
      <c r="B511" t="s">
        <v>121</v>
      </c>
      <c r="C511" t="s">
        <v>38</v>
      </c>
      <c r="D511" s="3">
        <v>42765</v>
      </c>
      <c r="E511" t="s">
        <v>55</v>
      </c>
      <c r="F511">
        <v>25</v>
      </c>
      <c r="G511">
        <v>1</v>
      </c>
      <c r="H511">
        <v>0</v>
      </c>
      <c r="I511">
        <v>0</v>
      </c>
      <c r="J511">
        <v>16.3872</v>
      </c>
      <c r="K511" s="1">
        <v>409.68</v>
      </c>
      <c r="L511" t="s">
        <v>186</v>
      </c>
    </row>
    <row r="512" spans="1:12" outlineLevel="2" x14ac:dyDescent="0.3">
      <c r="A512" t="s">
        <v>36</v>
      </c>
      <c r="B512" t="s">
        <v>121</v>
      </c>
      <c r="C512" t="s">
        <v>38</v>
      </c>
      <c r="D512" s="3">
        <v>42765</v>
      </c>
      <c r="E512" t="s">
        <v>56</v>
      </c>
      <c r="F512">
        <v>-25</v>
      </c>
      <c r="G512">
        <v>1</v>
      </c>
      <c r="H512">
        <v>0</v>
      </c>
      <c r="I512">
        <v>0</v>
      </c>
      <c r="J512">
        <v>16.3872</v>
      </c>
      <c r="K512" s="1">
        <v>-409.68</v>
      </c>
      <c r="L512" t="s">
        <v>186</v>
      </c>
    </row>
    <row r="513" spans="1:12" outlineLevel="2" x14ac:dyDescent="0.3">
      <c r="A513" t="s">
        <v>36</v>
      </c>
      <c r="B513" t="s">
        <v>124</v>
      </c>
      <c r="C513" t="s">
        <v>38</v>
      </c>
      <c r="D513" s="3">
        <v>42765</v>
      </c>
      <c r="E513" t="s">
        <v>55</v>
      </c>
      <c r="F513">
        <v>25</v>
      </c>
      <c r="G513">
        <v>1</v>
      </c>
      <c r="H513">
        <v>0</v>
      </c>
      <c r="I513">
        <v>0</v>
      </c>
      <c r="J513">
        <v>17.3109</v>
      </c>
      <c r="K513" s="1">
        <v>432.77</v>
      </c>
      <c r="L513" t="s">
        <v>186</v>
      </c>
    </row>
    <row r="514" spans="1:12" outlineLevel="2" x14ac:dyDescent="0.3">
      <c r="A514" t="s">
        <v>36</v>
      </c>
      <c r="B514" t="s">
        <v>124</v>
      </c>
      <c r="C514" t="s">
        <v>38</v>
      </c>
      <c r="D514" s="3">
        <v>42765</v>
      </c>
      <c r="E514" t="s">
        <v>56</v>
      </c>
      <c r="F514">
        <v>-25</v>
      </c>
      <c r="G514">
        <v>1</v>
      </c>
      <c r="H514">
        <v>0</v>
      </c>
      <c r="I514">
        <v>0</v>
      </c>
      <c r="J514">
        <v>17.3109</v>
      </c>
      <c r="K514" s="1">
        <v>-432.77</v>
      </c>
      <c r="L514" t="s">
        <v>186</v>
      </c>
    </row>
    <row r="515" spans="1:12" outlineLevel="2" x14ac:dyDescent="0.3">
      <c r="A515" t="s">
        <v>36</v>
      </c>
      <c r="B515" t="s">
        <v>125</v>
      </c>
      <c r="C515" t="s">
        <v>38</v>
      </c>
      <c r="D515" s="3">
        <v>42765</v>
      </c>
      <c r="E515" t="s">
        <v>55</v>
      </c>
      <c r="F515">
        <v>25</v>
      </c>
      <c r="G515">
        <v>1</v>
      </c>
      <c r="H515">
        <v>0</v>
      </c>
      <c r="I515">
        <v>0</v>
      </c>
      <c r="J515">
        <v>19.222999999999999</v>
      </c>
      <c r="K515" s="1">
        <v>480.58</v>
      </c>
      <c r="L515" t="s">
        <v>186</v>
      </c>
    </row>
    <row r="516" spans="1:12" outlineLevel="2" x14ac:dyDescent="0.3">
      <c r="A516" t="s">
        <v>36</v>
      </c>
      <c r="B516" t="s">
        <v>125</v>
      </c>
      <c r="C516" t="s">
        <v>38</v>
      </c>
      <c r="D516" s="3">
        <v>42765</v>
      </c>
      <c r="E516" t="s">
        <v>56</v>
      </c>
      <c r="F516">
        <v>-25</v>
      </c>
      <c r="G516">
        <v>1</v>
      </c>
      <c r="H516">
        <v>0</v>
      </c>
      <c r="I516">
        <v>0</v>
      </c>
      <c r="J516">
        <v>19.222999999999999</v>
      </c>
      <c r="K516" s="1">
        <v>-480.58</v>
      </c>
      <c r="L516" t="s">
        <v>186</v>
      </c>
    </row>
    <row r="517" spans="1:12" outlineLevel="2" x14ac:dyDescent="0.3">
      <c r="A517" t="s">
        <v>36</v>
      </c>
      <c r="B517" t="s">
        <v>140</v>
      </c>
      <c r="C517" t="s">
        <v>38</v>
      </c>
      <c r="D517" s="3">
        <v>42765</v>
      </c>
      <c r="E517" t="s">
        <v>55</v>
      </c>
      <c r="F517">
        <v>25</v>
      </c>
      <c r="G517">
        <v>1</v>
      </c>
      <c r="H517">
        <v>0</v>
      </c>
      <c r="I517">
        <v>0</v>
      </c>
      <c r="J517">
        <v>16.5886</v>
      </c>
      <c r="K517" s="1">
        <v>414.72</v>
      </c>
      <c r="L517" t="s">
        <v>186</v>
      </c>
    </row>
    <row r="518" spans="1:12" outlineLevel="2" x14ac:dyDescent="0.3">
      <c r="A518" t="s">
        <v>36</v>
      </c>
      <c r="B518" t="s">
        <v>140</v>
      </c>
      <c r="C518" t="s">
        <v>38</v>
      </c>
      <c r="D518" s="3">
        <v>42765</v>
      </c>
      <c r="E518" t="s">
        <v>56</v>
      </c>
      <c r="F518">
        <v>-25</v>
      </c>
      <c r="G518">
        <v>1</v>
      </c>
      <c r="H518">
        <v>0</v>
      </c>
      <c r="I518">
        <v>0</v>
      </c>
      <c r="J518">
        <v>16.5886</v>
      </c>
      <c r="K518" s="1">
        <v>-414.72</v>
      </c>
      <c r="L518" t="s">
        <v>186</v>
      </c>
    </row>
    <row r="519" spans="1:12" outlineLevel="2" x14ac:dyDescent="0.3">
      <c r="A519" t="s">
        <v>36</v>
      </c>
      <c r="B519" t="s">
        <v>141</v>
      </c>
      <c r="C519" t="s">
        <v>38</v>
      </c>
      <c r="D519" s="3">
        <v>42765</v>
      </c>
      <c r="E519" t="s">
        <v>55</v>
      </c>
      <c r="F519">
        <v>1</v>
      </c>
      <c r="G519">
        <v>2</v>
      </c>
      <c r="H519">
        <v>0</v>
      </c>
      <c r="I519">
        <v>0</v>
      </c>
      <c r="J519">
        <v>42.698599999999999</v>
      </c>
      <c r="K519" s="1">
        <v>42.7</v>
      </c>
      <c r="L519" t="s">
        <v>186</v>
      </c>
    </row>
    <row r="520" spans="1:12" outlineLevel="2" x14ac:dyDescent="0.3">
      <c r="A520" t="s">
        <v>36</v>
      </c>
      <c r="B520" t="s">
        <v>141</v>
      </c>
      <c r="C520" t="s">
        <v>38</v>
      </c>
      <c r="D520" s="3">
        <v>42765</v>
      </c>
      <c r="E520" t="s">
        <v>56</v>
      </c>
      <c r="F520">
        <v>-1</v>
      </c>
      <c r="G520">
        <v>2</v>
      </c>
      <c r="H520">
        <v>0</v>
      </c>
      <c r="I520">
        <v>0</v>
      </c>
      <c r="J520">
        <v>42.698599999999999</v>
      </c>
      <c r="K520" s="1">
        <v>-42.7</v>
      </c>
      <c r="L520" t="s">
        <v>186</v>
      </c>
    </row>
    <row r="521" spans="1:12" outlineLevel="2" x14ac:dyDescent="0.3">
      <c r="A521" t="s">
        <v>36</v>
      </c>
      <c r="B521" t="s">
        <v>143</v>
      </c>
      <c r="C521" t="s">
        <v>38</v>
      </c>
      <c r="D521" s="3">
        <v>42765</v>
      </c>
      <c r="E521" t="s">
        <v>55</v>
      </c>
      <c r="F521">
        <v>1</v>
      </c>
      <c r="G521">
        <v>5</v>
      </c>
      <c r="H521">
        <v>0</v>
      </c>
      <c r="I521">
        <v>0</v>
      </c>
      <c r="J521">
        <v>111.1096</v>
      </c>
      <c r="K521" s="1">
        <v>111.11</v>
      </c>
      <c r="L521" t="s">
        <v>186</v>
      </c>
    </row>
    <row r="522" spans="1:12" outlineLevel="2" x14ac:dyDescent="0.3">
      <c r="A522" t="s">
        <v>36</v>
      </c>
      <c r="B522" t="s">
        <v>143</v>
      </c>
      <c r="C522" t="s">
        <v>38</v>
      </c>
      <c r="D522" s="3">
        <v>42765</v>
      </c>
      <c r="E522" t="s">
        <v>56</v>
      </c>
      <c r="F522">
        <v>-1</v>
      </c>
      <c r="G522">
        <v>5</v>
      </c>
      <c r="H522">
        <v>0</v>
      </c>
      <c r="I522">
        <v>0</v>
      </c>
      <c r="J522">
        <v>111.1096</v>
      </c>
      <c r="K522" s="1">
        <v>-111.11</v>
      </c>
      <c r="L522" t="s">
        <v>186</v>
      </c>
    </row>
    <row r="523" spans="1:12" outlineLevel="2" x14ac:dyDescent="0.3">
      <c r="A523" t="s">
        <v>36</v>
      </c>
      <c r="B523" t="s">
        <v>145</v>
      </c>
      <c r="C523" t="s">
        <v>38</v>
      </c>
      <c r="D523" s="3">
        <v>42765</v>
      </c>
      <c r="E523" t="s">
        <v>55</v>
      </c>
      <c r="F523">
        <v>1</v>
      </c>
      <c r="G523">
        <v>10</v>
      </c>
      <c r="H523">
        <v>0</v>
      </c>
      <c r="I523">
        <v>0</v>
      </c>
      <c r="J523">
        <v>184.9787</v>
      </c>
      <c r="K523" s="1">
        <v>184.98</v>
      </c>
      <c r="L523" t="s">
        <v>186</v>
      </c>
    </row>
    <row r="524" spans="1:12" outlineLevel="2" x14ac:dyDescent="0.3">
      <c r="A524" t="s">
        <v>36</v>
      </c>
      <c r="B524" t="s">
        <v>145</v>
      </c>
      <c r="C524" t="s">
        <v>38</v>
      </c>
      <c r="D524" s="3">
        <v>42765</v>
      </c>
      <c r="E524" t="s">
        <v>56</v>
      </c>
      <c r="F524">
        <v>-1</v>
      </c>
      <c r="G524">
        <v>10</v>
      </c>
      <c r="H524">
        <v>0</v>
      </c>
      <c r="I524">
        <v>0</v>
      </c>
      <c r="J524">
        <v>184.9787</v>
      </c>
      <c r="K524" s="1">
        <v>-184.98</v>
      </c>
      <c r="L524" t="s">
        <v>186</v>
      </c>
    </row>
    <row r="525" spans="1:12" outlineLevel="2" x14ac:dyDescent="0.3">
      <c r="A525" t="s">
        <v>36</v>
      </c>
      <c r="B525" t="s">
        <v>146</v>
      </c>
      <c r="C525" t="s">
        <v>38</v>
      </c>
      <c r="D525" s="3">
        <v>42765</v>
      </c>
      <c r="E525" t="s">
        <v>55</v>
      </c>
      <c r="F525">
        <v>1</v>
      </c>
      <c r="G525">
        <v>10</v>
      </c>
      <c r="H525">
        <v>0</v>
      </c>
      <c r="I525">
        <v>0</v>
      </c>
      <c r="J525">
        <v>216.44489999999999</v>
      </c>
      <c r="K525" s="1">
        <v>216.44</v>
      </c>
      <c r="L525" t="s">
        <v>186</v>
      </c>
    </row>
    <row r="526" spans="1:12" outlineLevel="2" x14ac:dyDescent="0.3">
      <c r="A526" t="s">
        <v>36</v>
      </c>
      <c r="B526" t="s">
        <v>146</v>
      </c>
      <c r="C526" t="s">
        <v>38</v>
      </c>
      <c r="D526" s="3">
        <v>42765</v>
      </c>
      <c r="E526" t="s">
        <v>56</v>
      </c>
      <c r="F526">
        <v>-1</v>
      </c>
      <c r="G526">
        <v>10</v>
      </c>
      <c r="H526">
        <v>0</v>
      </c>
      <c r="I526">
        <v>0</v>
      </c>
      <c r="J526">
        <v>216.44489999999999</v>
      </c>
      <c r="K526" s="1">
        <v>-216.44</v>
      </c>
      <c r="L526" t="s">
        <v>186</v>
      </c>
    </row>
    <row r="527" spans="1:12" outlineLevel="2" x14ac:dyDescent="0.3">
      <c r="A527" t="s">
        <v>36</v>
      </c>
      <c r="B527" t="s">
        <v>149</v>
      </c>
      <c r="C527" t="s">
        <v>38</v>
      </c>
      <c r="D527" s="3">
        <v>42765</v>
      </c>
      <c r="E527" t="s">
        <v>55</v>
      </c>
      <c r="F527">
        <v>5</v>
      </c>
      <c r="G527">
        <v>1</v>
      </c>
      <c r="H527">
        <v>0</v>
      </c>
      <c r="I527">
        <v>0</v>
      </c>
      <c r="J527">
        <v>16.156600000000001</v>
      </c>
      <c r="K527" s="1">
        <v>80.78</v>
      </c>
      <c r="L527" t="s">
        <v>186</v>
      </c>
    </row>
    <row r="528" spans="1:12" outlineLevel="2" x14ac:dyDescent="0.3">
      <c r="A528" t="s">
        <v>36</v>
      </c>
      <c r="B528" t="s">
        <v>149</v>
      </c>
      <c r="C528" t="s">
        <v>38</v>
      </c>
      <c r="D528" s="3">
        <v>42765</v>
      </c>
      <c r="E528" t="s">
        <v>56</v>
      </c>
      <c r="F528">
        <v>-5</v>
      </c>
      <c r="G528">
        <v>1</v>
      </c>
      <c r="H528">
        <v>0</v>
      </c>
      <c r="I528">
        <v>0</v>
      </c>
      <c r="J528">
        <v>16.156600000000001</v>
      </c>
      <c r="K528" s="1">
        <v>-80.78</v>
      </c>
      <c r="L528" t="s">
        <v>186</v>
      </c>
    </row>
    <row r="529" spans="1:12" outlineLevel="2" x14ac:dyDescent="0.3">
      <c r="A529" t="s">
        <v>36</v>
      </c>
      <c r="B529" t="s">
        <v>150</v>
      </c>
      <c r="C529" t="s">
        <v>38</v>
      </c>
      <c r="D529" s="3">
        <v>42765</v>
      </c>
      <c r="E529" t="s">
        <v>151</v>
      </c>
      <c r="F529">
        <v>-10000</v>
      </c>
      <c r="G529">
        <v>1</v>
      </c>
      <c r="H529">
        <v>0</v>
      </c>
      <c r="I529">
        <v>0</v>
      </c>
      <c r="J529">
        <v>18.164999999999999</v>
      </c>
      <c r="K529" s="1">
        <v>-181650</v>
      </c>
      <c r="L529" t="s">
        <v>266</v>
      </c>
    </row>
    <row r="530" spans="1:12" outlineLevel="2" x14ac:dyDescent="0.3">
      <c r="A530" t="s">
        <v>36</v>
      </c>
      <c r="B530" t="s">
        <v>150</v>
      </c>
      <c r="C530" t="s">
        <v>38</v>
      </c>
      <c r="D530" s="3">
        <v>42765</v>
      </c>
      <c r="E530" t="s">
        <v>152</v>
      </c>
      <c r="F530">
        <v>10000</v>
      </c>
      <c r="G530">
        <v>1</v>
      </c>
      <c r="H530">
        <v>0</v>
      </c>
      <c r="I530">
        <v>0</v>
      </c>
      <c r="J530">
        <v>18.164999999999999</v>
      </c>
      <c r="K530" s="1">
        <v>181650</v>
      </c>
      <c r="L530" t="s">
        <v>266</v>
      </c>
    </row>
    <row r="531" spans="1:12" outlineLevel="2" x14ac:dyDescent="0.3">
      <c r="A531" t="s">
        <v>36</v>
      </c>
      <c r="B531" t="s">
        <v>158</v>
      </c>
      <c r="C531" t="s">
        <v>38</v>
      </c>
      <c r="D531" s="3">
        <v>42765</v>
      </c>
      <c r="E531" t="s">
        <v>55</v>
      </c>
      <c r="F531">
        <v>25</v>
      </c>
      <c r="G531">
        <v>1</v>
      </c>
      <c r="H531">
        <v>0</v>
      </c>
      <c r="I531">
        <v>0</v>
      </c>
      <c r="J531">
        <v>17.010000000000002</v>
      </c>
      <c r="K531" s="1">
        <v>425.25</v>
      </c>
      <c r="L531" t="s">
        <v>186</v>
      </c>
    </row>
    <row r="532" spans="1:12" outlineLevel="2" x14ac:dyDescent="0.3">
      <c r="A532" t="s">
        <v>36</v>
      </c>
      <c r="B532" t="s">
        <v>158</v>
      </c>
      <c r="C532" t="s">
        <v>38</v>
      </c>
      <c r="D532" s="3">
        <v>42765</v>
      </c>
      <c r="E532" t="s">
        <v>56</v>
      </c>
      <c r="F532">
        <v>-25</v>
      </c>
      <c r="G532">
        <v>1</v>
      </c>
      <c r="H532">
        <v>0</v>
      </c>
      <c r="I532">
        <v>0</v>
      </c>
      <c r="J532">
        <v>17.010000000000002</v>
      </c>
      <c r="K532" s="1">
        <v>-425.25</v>
      </c>
      <c r="L532" t="s">
        <v>186</v>
      </c>
    </row>
    <row r="533" spans="1:12" outlineLevel="2" x14ac:dyDescent="0.3">
      <c r="A533" t="s">
        <v>36</v>
      </c>
      <c r="B533" t="s">
        <v>160</v>
      </c>
      <c r="C533" t="s">
        <v>38</v>
      </c>
      <c r="D533" s="3">
        <v>42765</v>
      </c>
      <c r="E533" t="s">
        <v>55</v>
      </c>
      <c r="F533">
        <v>25</v>
      </c>
      <c r="G533">
        <v>1</v>
      </c>
      <c r="H533">
        <v>0</v>
      </c>
      <c r="I533">
        <v>0</v>
      </c>
      <c r="J533">
        <v>16.112500000000001</v>
      </c>
      <c r="K533" s="1">
        <v>402.81</v>
      </c>
      <c r="L533" t="s">
        <v>186</v>
      </c>
    </row>
    <row r="534" spans="1:12" outlineLevel="2" x14ac:dyDescent="0.3">
      <c r="A534" t="s">
        <v>36</v>
      </c>
      <c r="B534" t="s">
        <v>160</v>
      </c>
      <c r="C534" t="s">
        <v>38</v>
      </c>
      <c r="D534" s="3">
        <v>42765</v>
      </c>
      <c r="E534" t="s">
        <v>56</v>
      </c>
      <c r="F534">
        <v>-25</v>
      </c>
      <c r="G534">
        <v>1</v>
      </c>
      <c r="H534">
        <v>0</v>
      </c>
      <c r="I534">
        <v>0</v>
      </c>
      <c r="J534">
        <v>16.112500000000001</v>
      </c>
      <c r="K534" s="1">
        <v>-402.81</v>
      </c>
      <c r="L534" t="s">
        <v>186</v>
      </c>
    </row>
    <row r="535" spans="1:12" outlineLevel="2" x14ac:dyDescent="0.3">
      <c r="A535" t="s">
        <v>36</v>
      </c>
      <c r="B535" t="s">
        <v>163</v>
      </c>
      <c r="C535" t="s">
        <v>38</v>
      </c>
      <c r="D535" s="3">
        <v>42765</v>
      </c>
      <c r="E535" t="s">
        <v>55</v>
      </c>
      <c r="F535">
        <v>1</v>
      </c>
      <c r="G535">
        <v>32.151000000000003</v>
      </c>
      <c r="H535">
        <v>0</v>
      </c>
      <c r="I535">
        <v>0</v>
      </c>
      <c r="J535">
        <v>554.97749999999996</v>
      </c>
      <c r="K535" s="1">
        <v>554.98</v>
      </c>
      <c r="L535" t="s">
        <v>186</v>
      </c>
    </row>
    <row r="536" spans="1:12" outlineLevel="2" x14ac:dyDescent="0.3">
      <c r="A536" t="s">
        <v>36</v>
      </c>
      <c r="B536" t="s">
        <v>163</v>
      </c>
      <c r="C536" t="s">
        <v>38</v>
      </c>
      <c r="D536" s="3">
        <v>42765</v>
      </c>
      <c r="E536" t="s">
        <v>56</v>
      </c>
      <c r="F536">
        <v>-1</v>
      </c>
      <c r="G536">
        <v>32.151000000000003</v>
      </c>
      <c r="H536">
        <v>0</v>
      </c>
      <c r="I536">
        <v>0</v>
      </c>
      <c r="J536">
        <v>554.97749999999996</v>
      </c>
      <c r="K536" s="1">
        <v>-554.98</v>
      </c>
      <c r="L536" t="s">
        <v>186</v>
      </c>
    </row>
    <row r="537" spans="1:12" outlineLevel="2" x14ac:dyDescent="0.3">
      <c r="A537" t="s">
        <v>36</v>
      </c>
      <c r="B537" t="s">
        <v>167</v>
      </c>
      <c r="C537" t="s">
        <v>38</v>
      </c>
      <c r="D537" s="3">
        <v>42765</v>
      </c>
      <c r="E537" t="s">
        <v>55</v>
      </c>
      <c r="F537">
        <v>1</v>
      </c>
      <c r="G537">
        <v>32.151000000000003</v>
      </c>
      <c r="H537">
        <v>0</v>
      </c>
      <c r="I537">
        <v>0</v>
      </c>
      <c r="J537">
        <v>578.77499999999998</v>
      </c>
      <c r="K537" s="1">
        <v>578.78</v>
      </c>
      <c r="L537" t="s">
        <v>186</v>
      </c>
    </row>
    <row r="538" spans="1:12" outlineLevel="2" x14ac:dyDescent="0.3">
      <c r="A538" t="s">
        <v>36</v>
      </c>
      <c r="B538" t="s">
        <v>167</v>
      </c>
      <c r="C538" t="s">
        <v>38</v>
      </c>
      <c r="D538" s="3">
        <v>42765</v>
      </c>
      <c r="E538" t="s">
        <v>56</v>
      </c>
      <c r="F538">
        <v>-1</v>
      </c>
      <c r="G538">
        <v>32.151000000000003</v>
      </c>
      <c r="H538">
        <v>0</v>
      </c>
      <c r="I538">
        <v>0</v>
      </c>
      <c r="J538">
        <v>578.77499999999998</v>
      </c>
      <c r="K538" s="1">
        <v>-578.78</v>
      </c>
      <c r="L538" t="s">
        <v>186</v>
      </c>
    </row>
    <row r="539" spans="1:12" outlineLevel="1" x14ac:dyDescent="0.3">
      <c r="D539" s="7" t="s">
        <v>288</v>
      </c>
      <c r="K539" s="1">
        <f>SUM(K467:K538)</f>
        <v>0</v>
      </c>
    </row>
    <row r="540" spans="1:12" outlineLevel="2" x14ac:dyDescent="0.3">
      <c r="A540" t="s">
        <v>36</v>
      </c>
      <c r="B540" t="s">
        <v>65</v>
      </c>
      <c r="C540" t="s">
        <v>40</v>
      </c>
      <c r="D540" s="3">
        <v>42766</v>
      </c>
      <c r="E540" t="s">
        <v>39</v>
      </c>
      <c r="F540">
        <v>10</v>
      </c>
      <c r="G540">
        <v>100</v>
      </c>
      <c r="H540">
        <v>0</v>
      </c>
      <c r="I540">
        <v>0</v>
      </c>
      <c r="J540">
        <v>1661.2619999999999</v>
      </c>
      <c r="K540" s="1">
        <v>16612.62</v>
      </c>
      <c r="L540" t="s">
        <v>200</v>
      </c>
    </row>
    <row r="541" spans="1:12" outlineLevel="2" x14ac:dyDescent="0.3">
      <c r="A541" t="s">
        <v>36</v>
      </c>
      <c r="B541" t="s">
        <v>77</v>
      </c>
      <c r="C541" t="s">
        <v>40</v>
      </c>
      <c r="D541" s="3">
        <v>42766</v>
      </c>
      <c r="E541" t="s">
        <v>74</v>
      </c>
      <c r="F541">
        <v>167.47</v>
      </c>
      <c r="G541">
        <v>1</v>
      </c>
      <c r="H541">
        <v>0</v>
      </c>
      <c r="I541">
        <v>0</v>
      </c>
      <c r="J541">
        <v>16.083400000000001</v>
      </c>
      <c r="K541" s="1">
        <v>2693.48</v>
      </c>
      <c r="L541" t="s">
        <v>207</v>
      </c>
    </row>
    <row r="542" spans="1:12" outlineLevel="2" x14ac:dyDescent="0.3">
      <c r="A542" t="s">
        <v>36</v>
      </c>
      <c r="B542" t="s">
        <v>79</v>
      </c>
      <c r="C542" t="s">
        <v>63</v>
      </c>
      <c r="D542" s="3">
        <v>42766</v>
      </c>
      <c r="E542" t="s">
        <v>39</v>
      </c>
      <c r="F542">
        <v>-1000</v>
      </c>
      <c r="G542">
        <v>1</v>
      </c>
      <c r="H542">
        <v>0</v>
      </c>
      <c r="I542">
        <v>0</v>
      </c>
      <c r="J542">
        <v>16.6126</v>
      </c>
      <c r="K542" s="1">
        <v>-16612.62</v>
      </c>
      <c r="L542" t="s">
        <v>200</v>
      </c>
    </row>
    <row r="543" spans="1:12" outlineLevel="2" x14ac:dyDescent="0.3">
      <c r="A543" t="s">
        <v>36</v>
      </c>
      <c r="B543" t="s">
        <v>82</v>
      </c>
      <c r="C543" t="s">
        <v>38</v>
      </c>
      <c r="D543" s="3">
        <v>42766</v>
      </c>
      <c r="E543" t="s">
        <v>39</v>
      </c>
      <c r="F543">
        <v>-10074.700000000001</v>
      </c>
      <c r="G543">
        <v>1</v>
      </c>
      <c r="H543">
        <v>0</v>
      </c>
      <c r="I543">
        <v>0</v>
      </c>
      <c r="J543">
        <v>16.456900000000001</v>
      </c>
      <c r="K543" s="1">
        <v>-165798.01999999999</v>
      </c>
      <c r="L543" t="s">
        <v>223</v>
      </c>
    </row>
    <row r="544" spans="1:12" outlineLevel="2" x14ac:dyDescent="0.3">
      <c r="A544" t="s">
        <v>36</v>
      </c>
      <c r="B544" t="s">
        <v>82</v>
      </c>
      <c r="C544" t="s">
        <v>38</v>
      </c>
      <c r="D544" s="3">
        <v>42766</v>
      </c>
      <c r="E544" t="s">
        <v>39</v>
      </c>
      <c r="F544">
        <v>10074.700000000001</v>
      </c>
      <c r="G544">
        <v>1</v>
      </c>
      <c r="H544">
        <v>0</v>
      </c>
      <c r="I544">
        <v>0</v>
      </c>
      <c r="J544">
        <v>16.775500000000001</v>
      </c>
      <c r="K544" s="1">
        <v>169008.33</v>
      </c>
      <c r="L544" t="s">
        <v>223</v>
      </c>
    </row>
    <row r="545" spans="1:12" outlineLevel="2" x14ac:dyDescent="0.3">
      <c r="A545" t="s">
        <v>36</v>
      </c>
      <c r="B545" t="s">
        <v>82</v>
      </c>
      <c r="C545" t="s">
        <v>50</v>
      </c>
      <c r="D545" s="3">
        <v>42766</v>
      </c>
      <c r="E545" t="s">
        <v>39</v>
      </c>
      <c r="F545">
        <v>0</v>
      </c>
      <c r="G545">
        <v>1</v>
      </c>
      <c r="H545">
        <v>0</v>
      </c>
      <c r="I545">
        <v>0</v>
      </c>
      <c r="J545">
        <v>0</v>
      </c>
      <c r="K545" s="1">
        <v>-2889.15</v>
      </c>
      <c r="L545" t="s">
        <v>223</v>
      </c>
    </row>
    <row r="546" spans="1:12" outlineLevel="2" x14ac:dyDescent="0.3">
      <c r="A546" t="s">
        <v>36</v>
      </c>
      <c r="B546" t="s">
        <v>82</v>
      </c>
      <c r="C546" t="s">
        <v>63</v>
      </c>
      <c r="D546" s="3">
        <v>42766</v>
      </c>
      <c r="E546" t="s">
        <v>74</v>
      </c>
      <c r="F546">
        <v>-167.47</v>
      </c>
      <c r="G546">
        <v>1</v>
      </c>
      <c r="H546">
        <v>0</v>
      </c>
      <c r="I546">
        <v>0</v>
      </c>
      <c r="J546">
        <v>16.083400000000001</v>
      </c>
      <c r="K546" s="1">
        <v>-2693.48</v>
      </c>
      <c r="L546" t="s">
        <v>207</v>
      </c>
    </row>
    <row r="547" spans="1:12" outlineLevel="2" x14ac:dyDescent="0.3">
      <c r="A547" t="s">
        <v>36</v>
      </c>
      <c r="B547" t="s">
        <v>82</v>
      </c>
      <c r="C547" t="s">
        <v>38</v>
      </c>
      <c r="D547" s="3">
        <v>42766</v>
      </c>
      <c r="E547" t="s">
        <v>83</v>
      </c>
      <c r="F547">
        <v>10074.700000000001</v>
      </c>
      <c r="G547">
        <v>1</v>
      </c>
      <c r="H547">
        <v>0</v>
      </c>
      <c r="I547">
        <v>0</v>
      </c>
      <c r="J547">
        <v>16.456900000000001</v>
      </c>
      <c r="K547" s="1">
        <v>165798.01999999999</v>
      </c>
      <c r="L547" t="s">
        <v>223</v>
      </c>
    </row>
    <row r="548" spans="1:12" outlineLevel="2" x14ac:dyDescent="0.3">
      <c r="A548" t="s">
        <v>36</v>
      </c>
      <c r="B548" t="s">
        <v>82</v>
      </c>
      <c r="C548" t="s">
        <v>38</v>
      </c>
      <c r="D548" s="3">
        <v>42766</v>
      </c>
      <c r="E548" t="s">
        <v>84</v>
      </c>
      <c r="F548">
        <v>246506.21</v>
      </c>
      <c r="G548">
        <v>1</v>
      </c>
      <c r="H548">
        <v>0</v>
      </c>
      <c r="I548">
        <v>0</v>
      </c>
      <c r="J548">
        <v>16.775500000000001</v>
      </c>
      <c r="K548" s="1">
        <v>4135269.86</v>
      </c>
      <c r="L548" t="s">
        <v>230</v>
      </c>
    </row>
    <row r="549" spans="1:12" outlineLevel="2" x14ac:dyDescent="0.3">
      <c r="A549" t="s">
        <v>36</v>
      </c>
      <c r="B549" t="s">
        <v>82</v>
      </c>
      <c r="C549" t="s">
        <v>85</v>
      </c>
      <c r="D549" s="3">
        <v>42766</v>
      </c>
      <c r="E549" t="s">
        <v>47</v>
      </c>
      <c r="F549">
        <v>-4.1000000000000002E-2</v>
      </c>
      <c r="G549">
        <v>1</v>
      </c>
      <c r="H549">
        <v>0</v>
      </c>
      <c r="I549">
        <v>0</v>
      </c>
      <c r="J549">
        <v>16.775500000000001</v>
      </c>
      <c r="K549" s="1">
        <v>-0.69</v>
      </c>
      <c r="L549" t="s">
        <v>234</v>
      </c>
    </row>
    <row r="550" spans="1:12" outlineLevel="2" x14ac:dyDescent="0.3">
      <c r="A550" t="s">
        <v>36</v>
      </c>
      <c r="B550" t="s">
        <v>82</v>
      </c>
      <c r="C550" t="s">
        <v>38</v>
      </c>
      <c r="D550" s="3">
        <v>42766</v>
      </c>
      <c r="E550" t="s">
        <v>47</v>
      </c>
      <c r="F550">
        <v>-10074.700000000001</v>
      </c>
      <c r="G550">
        <v>1</v>
      </c>
      <c r="H550">
        <v>0</v>
      </c>
      <c r="I550">
        <v>0</v>
      </c>
      <c r="J550">
        <v>16.775500000000001</v>
      </c>
      <c r="K550" s="1">
        <v>-169008.33</v>
      </c>
      <c r="L550" t="s">
        <v>223</v>
      </c>
    </row>
    <row r="551" spans="1:12" outlineLevel="2" x14ac:dyDescent="0.3">
      <c r="A551" t="s">
        <v>36</v>
      </c>
      <c r="B551" t="s">
        <v>82</v>
      </c>
      <c r="C551" t="s">
        <v>38</v>
      </c>
      <c r="D551" s="3">
        <v>42766</v>
      </c>
      <c r="E551" t="s">
        <v>47</v>
      </c>
      <c r="F551">
        <v>-246506.21</v>
      </c>
      <c r="G551">
        <v>1</v>
      </c>
      <c r="H551">
        <v>0</v>
      </c>
      <c r="I551">
        <v>0</v>
      </c>
      <c r="J551">
        <v>16.775500000000001</v>
      </c>
      <c r="K551" s="1">
        <v>-4135269.86</v>
      </c>
      <c r="L551" t="s">
        <v>230</v>
      </c>
    </row>
    <row r="552" spans="1:12" outlineLevel="2" x14ac:dyDescent="0.3">
      <c r="A552" t="s">
        <v>36</v>
      </c>
      <c r="B552" t="s">
        <v>86</v>
      </c>
      <c r="C552" t="s">
        <v>85</v>
      </c>
      <c r="D552" s="3">
        <v>42766</v>
      </c>
      <c r="E552" t="s">
        <v>47</v>
      </c>
      <c r="F552">
        <v>-1E-3</v>
      </c>
      <c r="G552">
        <v>1</v>
      </c>
      <c r="H552">
        <v>0</v>
      </c>
      <c r="I552">
        <v>0</v>
      </c>
      <c r="J552">
        <v>20</v>
      </c>
      <c r="K552" s="1">
        <v>-0.02</v>
      </c>
      <c r="L552" t="s">
        <v>234</v>
      </c>
    </row>
    <row r="553" spans="1:12" outlineLevel="2" x14ac:dyDescent="0.3">
      <c r="A553" t="s">
        <v>36</v>
      </c>
      <c r="B553" t="s">
        <v>89</v>
      </c>
      <c r="C553" t="s">
        <v>38</v>
      </c>
      <c r="D553" s="3">
        <v>42766</v>
      </c>
      <c r="E553" t="s">
        <v>39</v>
      </c>
      <c r="F553">
        <v>5</v>
      </c>
      <c r="G553">
        <v>5</v>
      </c>
      <c r="H553">
        <v>0</v>
      </c>
      <c r="I553">
        <v>0</v>
      </c>
      <c r="J553">
        <v>159.92519999999999</v>
      </c>
      <c r="K553" s="1">
        <v>799.63</v>
      </c>
      <c r="L553" t="s">
        <v>236</v>
      </c>
    </row>
    <row r="554" spans="1:12" outlineLevel="2" x14ac:dyDescent="0.3">
      <c r="A554" t="s">
        <v>36</v>
      </c>
      <c r="B554" t="s">
        <v>89</v>
      </c>
      <c r="C554" t="s">
        <v>38</v>
      </c>
      <c r="D554" s="3">
        <v>42766</v>
      </c>
      <c r="E554" t="s">
        <v>56</v>
      </c>
      <c r="F554">
        <v>-5</v>
      </c>
      <c r="G554">
        <v>5</v>
      </c>
      <c r="H554">
        <v>0</v>
      </c>
      <c r="I554">
        <v>0</v>
      </c>
      <c r="J554">
        <v>159.92519999999999</v>
      </c>
      <c r="K554" s="1">
        <v>-799.63</v>
      </c>
      <c r="L554" t="s">
        <v>236</v>
      </c>
    </row>
    <row r="555" spans="1:12" outlineLevel="2" x14ac:dyDescent="0.3">
      <c r="A555" t="s">
        <v>36</v>
      </c>
      <c r="B555" t="s">
        <v>90</v>
      </c>
      <c r="C555" t="s">
        <v>38</v>
      </c>
      <c r="D555" s="3">
        <v>42766</v>
      </c>
      <c r="E555" t="s">
        <v>39</v>
      </c>
      <c r="F555">
        <v>5</v>
      </c>
      <c r="G555">
        <v>5</v>
      </c>
      <c r="H555">
        <v>0</v>
      </c>
      <c r="I555">
        <v>0</v>
      </c>
      <c r="J555">
        <v>159.96170000000001</v>
      </c>
      <c r="K555" s="1">
        <v>799.81</v>
      </c>
      <c r="L555" t="s">
        <v>236</v>
      </c>
    </row>
    <row r="556" spans="1:12" outlineLevel="2" x14ac:dyDescent="0.3">
      <c r="A556" t="s">
        <v>36</v>
      </c>
      <c r="B556" t="s">
        <v>90</v>
      </c>
      <c r="C556" t="s">
        <v>38</v>
      </c>
      <c r="D556" s="3">
        <v>42766</v>
      </c>
      <c r="E556" t="s">
        <v>56</v>
      </c>
      <c r="F556">
        <v>-5</v>
      </c>
      <c r="G556">
        <v>5</v>
      </c>
      <c r="H556">
        <v>0</v>
      </c>
      <c r="I556">
        <v>0</v>
      </c>
      <c r="J556">
        <v>159.96170000000001</v>
      </c>
      <c r="K556" s="1">
        <v>-799.81</v>
      </c>
      <c r="L556" t="s">
        <v>236</v>
      </c>
    </row>
    <row r="557" spans="1:12" outlineLevel="2" x14ac:dyDescent="0.3">
      <c r="A557" t="s">
        <v>36</v>
      </c>
      <c r="B557" t="s">
        <v>91</v>
      </c>
      <c r="C557" t="s">
        <v>38</v>
      </c>
      <c r="D557" s="3">
        <v>42766</v>
      </c>
      <c r="E557" t="s">
        <v>39</v>
      </c>
      <c r="F557">
        <v>5</v>
      </c>
      <c r="G557">
        <v>5</v>
      </c>
      <c r="H557">
        <v>0</v>
      </c>
      <c r="I557">
        <v>0</v>
      </c>
      <c r="J557">
        <v>159.89490000000001</v>
      </c>
      <c r="K557" s="1">
        <v>799.47</v>
      </c>
      <c r="L557" t="s">
        <v>236</v>
      </c>
    </row>
    <row r="558" spans="1:12" outlineLevel="2" x14ac:dyDescent="0.3">
      <c r="A558" t="s">
        <v>36</v>
      </c>
      <c r="B558" t="s">
        <v>91</v>
      </c>
      <c r="C558" t="s">
        <v>38</v>
      </c>
      <c r="D558" s="3">
        <v>42766</v>
      </c>
      <c r="E558" t="s">
        <v>56</v>
      </c>
      <c r="F558">
        <v>-5</v>
      </c>
      <c r="G558">
        <v>5</v>
      </c>
      <c r="H558">
        <v>0</v>
      </c>
      <c r="I558">
        <v>0</v>
      </c>
      <c r="J558">
        <v>159.89490000000001</v>
      </c>
      <c r="K558" s="1">
        <v>-799.47</v>
      </c>
      <c r="L558" t="s">
        <v>236</v>
      </c>
    </row>
    <row r="559" spans="1:12" outlineLevel="2" x14ac:dyDescent="0.3">
      <c r="A559" t="s">
        <v>36</v>
      </c>
      <c r="B559" t="s">
        <v>92</v>
      </c>
      <c r="C559" t="s">
        <v>38</v>
      </c>
      <c r="D559" s="3">
        <v>42766</v>
      </c>
      <c r="E559" t="s">
        <v>39</v>
      </c>
      <c r="F559">
        <v>5</v>
      </c>
      <c r="G559">
        <v>5</v>
      </c>
      <c r="H559">
        <v>0</v>
      </c>
      <c r="I559">
        <v>0</v>
      </c>
      <c r="J559">
        <v>159.85830000000001</v>
      </c>
      <c r="K559" s="1">
        <v>799.29</v>
      </c>
      <c r="L559" t="s">
        <v>236</v>
      </c>
    </row>
    <row r="560" spans="1:12" outlineLevel="2" x14ac:dyDescent="0.3">
      <c r="A560" t="s">
        <v>36</v>
      </c>
      <c r="B560" t="s">
        <v>92</v>
      </c>
      <c r="C560" t="s">
        <v>38</v>
      </c>
      <c r="D560" s="3">
        <v>42766</v>
      </c>
      <c r="E560" t="s">
        <v>56</v>
      </c>
      <c r="F560">
        <v>-5</v>
      </c>
      <c r="G560">
        <v>5</v>
      </c>
      <c r="H560">
        <v>0</v>
      </c>
      <c r="I560">
        <v>0</v>
      </c>
      <c r="J560">
        <v>159.85830000000001</v>
      </c>
      <c r="K560" s="1">
        <v>-799.29</v>
      </c>
      <c r="L560" t="s">
        <v>236</v>
      </c>
    </row>
    <row r="561" spans="1:12" outlineLevel="2" x14ac:dyDescent="0.3">
      <c r="A561" t="s">
        <v>36</v>
      </c>
      <c r="B561" t="s">
        <v>93</v>
      </c>
      <c r="C561" t="s">
        <v>38</v>
      </c>
      <c r="D561" s="3">
        <v>42766</v>
      </c>
      <c r="E561" t="s">
        <v>39</v>
      </c>
      <c r="F561">
        <v>5</v>
      </c>
      <c r="G561">
        <v>5</v>
      </c>
      <c r="H561">
        <v>0</v>
      </c>
      <c r="I561">
        <v>0</v>
      </c>
      <c r="J561">
        <v>159.9616</v>
      </c>
      <c r="K561" s="1">
        <v>799.81</v>
      </c>
      <c r="L561" t="s">
        <v>236</v>
      </c>
    </row>
    <row r="562" spans="1:12" outlineLevel="2" x14ac:dyDescent="0.3">
      <c r="A562" t="s">
        <v>36</v>
      </c>
      <c r="B562" t="s">
        <v>93</v>
      </c>
      <c r="C562" t="s">
        <v>38</v>
      </c>
      <c r="D562" s="3">
        <v>42766</v>
      </c>
      <c r="E562" t="s">
        <v>56</v>
      </c>
      <c r="F562">
        <v>-5</v>
      </c>
      <c r="G562">
        <v>5</v>
      </c>
      <c r="H562">
        <v>0</v>
      </c>
      <c r="I562">
        <v>0</v>
      </c>
      <c r="J562">
        <v>159.9616</v>
      </c>
      <c r="K562" s="1">
        <v>-799.81</v>
      </c>
      <c r="L562" t="s">
        <v>236</v>
      </c>
    </row>
    <row r="563" spans="1:12" outlineLevel="2" x14ac:dyDescent="0.3">
      <c r="A563" t="s">
        <v>36</v>
      </c>
      <c r="B563" t="s">
        <v>101</v>
      </c>
      <c r="C563" t="s">
        <v>40</v>
      </c>
      <c r="D563" s="3">
        <v>42766</v>
      </c>
      <c r="E563" t="s">
        <v>39</v>
      </c>
      <c r="F563">
        <v>389</v>
      </c>
      <c r="G563">
        <v>1</v>
      </c>
      <c r="H563">
        <v>0</v>
      </c>
      <c r="I563">
        <v>0</v>
      </c>
      <c r="J563">
        <v>18.830400000000001</v>
      </c>
      <c r="K563" s="1">
        <v>7325.03</v>
      </c>
      <c r="L563" t="s">
        <v>200</v>
      </c>
    </row>
    <row r="564" spans="1:12" outlineLevel="2" x14ac:dyDescent="0.3">
      <c r="A564" t="s">
        <v>36</v>
      </c>
      <c r="B564" t="s">
        <v>119</v>
      </c>
      <c r="C564" t="s">
        <v>63</v>
      </c>
      <c r="D564" s="3">
        <v>42766</v>
      </c>
      <c r="E564" t="s">
        <v>39</v>
      </c>
      <c r="F564">
        <v>-389</v>
      </c>
      <c r="G564">
        <v>1</v>
      </c>
      <c r="H564">
        <v>0</v>
      </c>
      <c r="I564">
        <v>0</v>
      </c>
      <c r="J564">
        <v>18.830400000000001</v>
      </c>
      <c r="K564" s="1">
        <v>-7325.03</v>
      </c>
      <c r="L564" t="s">
        <v>200</v>
      </c>
    </row>
    <row r="565" spans="1:12" outlineLevel="2" x14ac:dyDescent="0.3">
      <c r="A565" t="s">
        <v>36</v>
      </c>
      <c r="B565" t="s">
        <v>126</v>
      </c>
      <c r="C565" t="s">
        <v>38</v>
      </c>
      <c r="D565" s="3">
        <v>42766</v>
      </c>
      <c r="E565" t="s">
        <v>39</v>
      </c>
      <c r="F565">
        <v>-500</v>
      </c>
      <c r="G565">
        <v>1</v>
      </c>
      <c r="H565">
        <v>0</v>
      </c>
      <c r="I565">
        <v>0</v>
      </c>
      <c r="J565">
        <v>18.343399999999999</v>
      </c>
      <c r="K565" s="1">
        <v>-9171.7199999999993</v>
      </c>
      <c r="L565" t="s">
        <v>223</v>
      </c>
    </row>
    <row r="566" spans="1:12" outlineLevel="2" x14ac:dyDescent="0.3">
      <c r="A566" t="s">
        <v>36</v>
      </c>
      <c r="B566" t="s">
        <v>126</v>
      </c>
      <c r="C566" t="s">
        <v>38</v>
      </c>
      <c r="D566" s="3">
        <v>42766</v>
      </c>
      <c r="E566" t="s">
        <v>127</v>
      </c>
      <c r="F566">
        <v>500</v>
      </c>
      <c r="G566">
        <v>1</v>
      </c>
      <c r="H566">
        <v>0</v>
      </c>
      <c r="I566">
        <v>0</v>
      </c>
      <c r="J566">
        <v>18.343399999999999</v>
      </c>
      <c r="K566" s="1">
        <v>9171.7199999999993</v>
      </c>
      <c r="L566" t="s">
        <v>223</v>
      </c>
    </row>
    <row r="567" spans="1:12" outlineLevel="1" x14ac:dyDescent="0.3">
      <c r="D567" s="7" t="s">
        <v>289</v>
      </c>
      <c r="K567" s="1">
        <f>SUM(K540:K566)</f>
        <v>-2889.8600000003171</v>
      </c>
    </row>
    <row r="568" spans="1:12" x14ac:dyDescent="0.3">
      <c r="D568" s="7" t="s">
        <v>290</v>
      </c>
      <c r="K568" s="1">
        <f>SUM(K567,K539,K466,K463,K446,K432,K416,K380,K355,K342,K278,K264,K249,K240,K189,K160,K136,K101,K88,K55,K9)</f>
        <v>-1641708.6199999994</v>
      </c>
    </row>
  </sheetData>
  <sortState ref="A2:L566">
    <sortCondition ref="D2:D566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2018</vt:lpstr>
      <vt:lpstr>2017</vt:lpstr>
      <vt:lpstr>Sheet2</vt:lpstr>
      <vt:lpstr>Sheet3</vt:lpstr>
      <vt:lpstr>'2017'!Print_Area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Cammuso</dc:creator>
  <cp:lastModifiedBy>Mark Pezza</cp:lastModifiedBy>
  <cp:lastPrinted>2017-12-18T21:46:41Z</cp:lastPrinted>
  <dcterms:created xsi:type="dcterms:W3CDTF">2015-02-17T17:53:48Z</dcterms:created>
  <dcterms:modified xsi:type="dcterms:W3CDTF">2018-05-13T23:24:02Z</dcterms:modified>
</cp:coreProperties>
</file>