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F02870A3-4AF3-41B2-88A4-C995A9A4AEBF}" xr6:coauthVersionLast="40" xr6:coauthVersionMax="40" xr10:uidLastSave="{00000000-0000-0000-0000-000000000000}"/>
  <bookViews>
    <workbookView xWindow="0" yWindow="0" windowWidth="19200" windowHeight="7620" tabRatio="911" firstSheet="4" activeTab="4" xr2:uid="{00000000-000D-0000-FFFF-FFFF00000000}"/>
  </bookViews>
  <sheets>
    <sheet name="Summary YTD 09.30.18 (condensd)" sheetId="16" r:id="rId1"/>
    <sheet name="Summary YTD 08.31.18" sheetId="11" r:id="rId2"/>
    <sheet name="Comp Summary YTD 2018-2017 Sept" sheetId="15" r:id="rId3"/>
    <sheet name="Comp YTD 2018-2017 10.18.18" sheetId="12" r:id="rId4"/>
    <sheet name="Comp YTD 2018-2017 10.28.18" sheetId="18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10">'722 Bedford St'!$A$1:$K$29</definedName>
    <definedName name="_xlnm.Print_Area" localSheetId="8">'BSC (Dome)'!$A$1:$K$82</definedName>
    <definedName name="_xlnm.Print_Area" localSheetId="11">CNT!$A$1:$N$284</definedName>
    <definedName name="_xlnm.Print_Area" localSheetId="2">'Comp Summary YTD 2018-2017 Sept'!$A$9:$AE$37</definedName>
    <definedName name="_xlnm.Print_Area" localSheetId="3">'Comp YTD 2018-2017 10.18.18'!$A$116:$I$151</definedName>
    <definedName name="_xlnm.Print_Area" localSheetId="4">'Comp YTD 2018-2017 10.28.18'!$A$116:$I$151</definedName>
    <definedName name="_xlnm.Print_Area" localSheetId="5">DEP!$A$1:$K$76</definedName>
    <definedName name="_xlnm.Print_Area" localSheetId="9">'Oliari Co.'!$A$1:$K$28</definedName>
    <definedName name="_xlnm.Print_Area" localSheetId="1">'Summary YTD 08.31.18'!$A$1:$I$107</definedName>
    <definedName name="_xlnm.Print_Area" localSheetId="0">'Summary YTD 09.30.18 (condensd)'!$A$1:$I$63</definedName>
    <definedName name="_xlnm.Print_Titles" localSheetId="11">CNT!$A:$A,CNT!$1:$3</definedName>
    <definedName name="_xlnm.Print_Titles" localSheetId="2">'Comp Summary YTD 2018-2017 Sept'!$9:$18</definedName>
    <definedName name="_xlnm.Print_Titles" localSheetId="3">'Comp YTD 2018-2017 10.18.18'!$5:$14</definedName>
    <definedName name="_xlnm.Print_Titles" localSheetId="4">'Comp YTD 2018-2017 10.28.18'!$5:$14</definedName>
    <definedName name="_xlnm.Print_Titles" localSheetId="1">'Summary YTD 08.31.18'!$1:$6</definedName>
    <definedName name="_xlnm.Print_Titles" localSheetId="0">'Summary YTD 09.30.18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7" i="18" l="1"/>
  <c r="D136" i="12" l="1"/>
  <c r="C128" i="12"/>
  <c r="B126" i="18" l="1"/>
  <c r="B126" i="12" s="1"/>
  <c r="B125" i="18"/>
  <c r="B125" i="12" s="1"/>
  <c r="B124" i="18"/>
  <c r="B123" i="18"/>
  <c r="I126" i="18"/>
  <c r="I143" i="18"/>
  <c r="I142" i="18"/>
  <c r="I140" i="18"/>
  <c r="H139" i="18"/>
  <c r="F139" i="18"/>
  <c r="E139" i="18"/>
  <c r="I138" i="18"/>
  <c r="I137" i="18"/>
  <c r="D136" i="18"/>
  <c r="B136" i="18"/>
  <c r="I136" i="18" s="1"/>
  <c r="I134" i="18"/>
  <c r="G128" i="18"/>
  <c r="G139" i="18" s="1"/>
  <c r="C128" i="18"/>
  <c r="I125" i="18"/>
  <c r="T119" i="18"/>
  <c r="I119" i="18"/>
  <c r="T115" i="18"/>
  <c r="Z115" i="18" s="1"/>
  <c r="I115" i="18"/>
  <c r="S114" i="18"/>
  <c r="P114" i="18"/>
  <c r="O114" i="18"/>
  <c r="N114" i="18"/>
  <c r="M114" i="18"/>
  <c r="Z113" i="18"/>
  <c r="Z112" i="18"/>
  <c r="Z111" i="18"/>
  <c r="T111" i="18"/>
  <c r="T110" i="18"/>
  <c r="Z110" i="18" s="1"/>
  <c r="T109" i="18"/>
  <c r="Z109" i="18" s="1"/>
  <c r="T108" i="18"/>
  <c r="Z108" i="18" s="1"/>
  <c r="R107" i="18"/>
  <c r="Q107" i="18"/>
  <c r="T106" i="18"/>
  <c r="Z106" i="18" s="1"/>
  <c r="T105" i="18"/>
  <c r="Z105" i="18" s="1"/>
  <c r="Z104" i="18"/>
  <c r="T103" i="18"/>
  <c r="Z103" i="18" s="1"/>
  <c r="T102" i="18"/>
  <c r="Z102" i="18" s="1"/>
  <c r="R101" i="18"/>
  <c r="R114" i="18" s="1"/>
  <c r="Q101" i="18"/>
  <c r="Q114" i="18" s="1"/>
  <c r="Z100" i="18"/>
  <c r="Z99" i="18"/>
  <c r="Z97" i="18"/>
  <c r="T97" i="18"/>
  <c r="I97" i="18"/>
  <c r="S96" i="18"/>
  <c r="R96" i="18"/>
  <c r="P96" i="18"/>
  <c r="O96" i="18"/>
  <c r="N96" i="18"/>
  <c r="M96" i="18"/>
  <c r="T95" i="18"/>
  <c r="AF94" i="18"/>
  <c r="T94" i="18"/>
  <c r="Z94" i="18" s="1"/>
  <c r="T93" i="18"/>
  <c r="Z93" i="18" s="1"/>
  <c r="AF92" i="18"/>
  <c r="T92" i="18"/>
  <c r="D92" i="18"/>
  <c r="C92" i="18"/>
  <c r="T91" i="18"/>
  <c r="Z91" i="18" s="1"/>
  <c r="T90" i="18"/>
  <c r="C90" i="18"/>
  <c r="AF89" i="18"/>
  <c r="T89" i="18"/>
  <c r="C89" i="18"/>
  <c r="Z88" i="18"/>
  <c r="T88" i="18"/>
  <c r="Q87" i="18"/>
  <c r="Q96" i="18" s="1"/>
  <c r="AF86" i="18"/>
  <c r="T86" i="18"/>
  <c r="AF85" i="18"/>
  <c r="T85" i="18"/>
  <c r="Z85" i="18" s="1"/>
  <c r="AF84" i="18"/>
  <c r="T84" i="18"/>
  <c r="T83" i="18"/>
  <c r="Z82" i="18"/>
  <c r="T82" i="18"/>
  <c r="T81" i="18"/>
  <c r="T80" i="18"/>
  <c r="Z80" i="18" s="1"/>
  <c r="T79" i="18"/>
  <c r="Z79" i="18" s="1"/>
  <c r="T78" i="18"/>
  <c r="T77" i="18"/>
  <c r="Z76" i="18"/>
  <c r="Z75" i="18"/>
  <c r="S74" i="18"/>
  <c r="R74" i="18"/>
  <c r="P74" i="18"/>
  <c r="O74" i="18"/>
  <c r="N74" i="18"/>
  <c r="M74" i="18"/>
  <c r="AF73" i="18"/>
  <c r="Z73" i="18"/>
  <c r="T73" i="18"/>
  <c r="AF72" i="18"/>
  <c r="T72" i="18"/>
  <c r="Z72" i="18" s="1"/>
  <c r="Z71" i="18"/>
  <c r="T71" i="18"/>
  <c r="T70" i="18"/>
  <c r="T69" i="18"/>
  <c r="Z69" i="18" s="1"/>
  <c r="Q68" i="18"/>
  <c r="T68" i="18" s="1"/>
  <c r="Z68" i="18" s="1"/>
  <c r="T67" i="18"/>
  <c r="T66" i="18"/>
  <c r="Z66" i="18" s="1"/>
  <c r="Z65" i="18"/>
  <c r="T65" i="18"/>
  <c r="T64" i="18"/>
  <c r="Q63" i="18"/>
  <c r="T63" i="18" s="1"/>
  <c r="Z62" i="18"/>
  <c r="T62" i="18"/>
  <c r="T61" i="18"/>
  <c r="Z61" i="18" s="1"/>
  <c r="T60" i="18"/>
  <c r="Q59" i="18"/>
  <c r="T58" i="18"/>
  <c r="T57" i="18"/>
  <c r="T56" i="18"/>
  <c r="Z56" i="18" s="1"/>
  <c r="Z55" i="18"/>
  <c r="T55" i="18"/>
  <c r="T54" i="18"/>
  <c r="T53" i="18"/>
  <c r="Z53" i="18" s="1"/>
  <c r="T52" i="18"/>
  <c r="Z52" i="18" s="1"/>
  <c r="Z51" i="18"/>
  <c r="Z50" i="18"/>
  <c r="S49" i="18"/>
  <c r="R49" i="18"/>
  <c r="P49" i="18"/>
  <c r="P98" i="18" s="1"/>
  <c r="O49" i="18"/>
  <c r="N49" i="18"/>
  <c r="H49" i="18"/>
  <c r="G49" i="18"/>
  <c r="E49" i="18"/>
  <c r="C49" i="18"/>
  <c r="T48" i="18"/>
  <c r="T47" i="18"/>
  <c r="M46" i="18"/>
  <c r="T46" i="18" s="1"/>
  <c r="T45" i="18"/>
  <c r="T44" i="18"/>
  <c r="T43" i="18"/>
  <c r="T42" i="18"/>
  <c r="T41" i="18"/>
  <c r="Q40" i="18"/>
  <c r="Q49" i="18" s="1"/>
  <c r="M40" i="18"/>
  <c r="T39" i="18"/>
  <c r="Z39" i="18" s="1"/>
  <c r="I39" i="18"/>
  <c r="T38" i="18"/>
  <c r="Z38" i="18" s="1"/>
  <c r="I38" i="18"/>
  <c r="Z37" i="18"/>
  <c r="T37" i="18"/>
  <c r="I37" i="18"/>
  <c r="T36" i="18"/>
  <c r="Z36" i="18" s="1"/>
  <c r="I36" i="18"/>
  <c r="S33" i="18"/>
  <c r="R33" i="18"/>
  <c r="Q33" i="18"/>
  <c r="P33" i="18"/>
  <c r="O33" i="18"/>
  <c r="H33" i="18"/>
  <c r="G33" i="18"/>
  <c r="E33" i="18"/>
  <c r="N32" i="18"/>
  <c r="M32" i="18"/>
  <c r="T32" i="18" s="1"/>
  <c r="T31" i="18"/>
  <c r="Z31" i="18" s="1"/>
  <c r="N30" i="18"/>
  <c r="T30" i="18" s="1"/>
  <c r="M30" i="18"/>
  <c r="C30" i="18"/>
  <c r="N29" i="18"/>
  <c r="M29" i="18"/>
  <c r="N28" i="18"/>
  <c r="M28" i="18"/>
  <c r="T28" i="18" s="1"/>
  <c r="N27" i="18"/>
  <c r="M27" i="18"/>
  <c r="N26" i="18"/>
  <c r="M26" i="18"/>
  <c r="T25" i="18"/>
  <c r="Z25" i="18" s="1"/>
  <c r="I25" i="18"/>
  <c r="T24" i="18"/>
  <c r="Z24" i="18" s="1"/>
  <c r="I24" i="18"/>
  <c r="S23" i="18"/>
  <c r="S35" i="18" s="1"/>
  <c r="R23" i="18"/>
  <c r="R35" i="18" s="1"/>
  <c r="Q23" i="18"/>
  <c r="P23" i="18"/>
  <c r="O23" i="18"/>
  <c r="O35" i="18" s="1"/>
  <c r="H23" i="18"/>
  <c r="H35" i="18" s="1"/>
  <c r="G23" i="18"/>
  <c r="E23" i="18"/>
  <c r="N22" i="18"/>
  <c r="M22" i="18"/>
  <c r="T22" i="18" s="1"/>
  <c r="T21" i="18"/>
  <c r="Z21" i="18" s="1"/>
  <c r="N20" i="18"/>
  <c r="M20" i="18"/>
  <c r="C20" i="18"/>
  <c r="M19" i="18"/>
  <c r="T19" i="18" s="1"/>
  <c r="M18" i="18"/>
  <c r="T18" i="18" s="1"/>
  <c r="Z18" i="18" s="1"/>
  <c r="N17" i="18"/>
  <c r="M17" i="18"/>
  <c r="N16" i="18"/>
  <c r="M16" i="18"/>
  <c r="T16" i="18" s="1"/>
  <c r="B123" i="12" l="1"/>
  <c r="O98" i="18"/>
  <c r="O116" i="18" s="1"/>
  <c r="O120" i="18" s="1"/>
  <c r="T87" i="18"/>
  <c r="I124" i="18"/>
  <c r="B124" i="12"/>
  <c r="I128" i="18"/>
  <c r="Q35" i="18"/>
  <c r="N33" i="18"/>
  <c r="R98" i="18"/>
  <c r="Q74" i="18"/>
  <c r="Q98" i="18" s="1"/>
  <c r="Q116" i="18" s="1"/>
  <c r="Q120" i="18" s="1"/>
  <c r="T59" i="18"/>
  <c r="T26" i="18"/>
  <c r="R116" i="18"/>
  <c r="R120" i="18" s="1"/>
  <c r="T27" i="18"/>
  <c r="Z27" i="18" s="1"/>
  <c r="T29" i="18"/>
  <c r="Z29" i="18" s="1"/>
  <c r="T17" i="18"/>
  <c r="Z17" i="18" s="1"/>
  <c r="T96" i="18"/>
  <c r="U82" i="18" s="1"/>
  <c r="T20" i="18"/>
  <c r="Z20" i="18" s="1"/>
  <c r="E35" i="18"/>
  <c r="P35" i="18"/>
  <c r="P116" i="18" s="1"/>
  <c r="P120" i="18" s="1"/>
  <c r="N98" i="18"/>
  <c r="T107" i="18"/>
  <c r="Z107" i="18" s="1"/>
  <c r="Z32" i="18"/>
  <c r="T40" i="18"/>
  <c r="M49" i="18"/>
  <c r="Z43" i="18"/>
  <c r="Z46" i="18"/>
  <c r="Z48" i="18"/>
  <c r="M23" i="18"/>
  <c r="Z19" i="18"/>
  <c r="Z22" i="18"/>
  <c r="Z26" i="18"/>
  <c r="Z44" i="18"/>
  <c r="N23" i="18"/>
  <c r="N35" i="18" s="1"/>
  <c r="Z28" i="18"/>
  <c r="Z30" i="18"/>
  <c r="M33" i="18"/>
  <c r="T33" i="18" s="1"/>
  <c r="U26" i="18" s="1"/>
  <c r="Z41" i="18"/>
  <c r="Z45" i="18"/>
  <c r="G35" i="18"/>
  <c r="U27" i="18"/>
  <c r="Z16" i="18"/>
  <c r="Z42" i="18"/>
  <c r="Z58" i="18"/>
  <c r="Z59" i="18"/>
  <c r="Z47" i="18"/>
  <c r="Z60" i="18"/>
  <c r="Z70" i="18"/>
  <c r="S98" i="18"/>
  <c r="S116" i="18" s="1"/>
  <c r="S120" i="18" s="1"/>
  <c r="Z57" i="18"/>
  <c r="Z89" i="18"/>
  <c r="Z54" i="18"/>
  <c r="Z63" i="18"/>
  <c r="Z64" i="18"/>
  <c r="Z67" i="18"/>
  <c r="Z78" i="18"/>
  <c r="U81" i="18"/>
  <c r="Z81" i="18"/>
  <c r="Z83" i="18"/>
  <c r="Z84" i="18"/>
  <c r="Z86" i="18"/>
  <c r="Z87" i="18"/>
  <c r="U87" i="18"/>
  <c r="Z92" i="18"/>
  <c r="I123" i="18"/>
  <c r="T114" i="18"/>
  <c r="Z77" i="18"/>
  <c r="U77" i="18"/>
  <c r="Z90" i="18"/>
  <c r="U90" i="18"/>
  <c r="Z96" i="18"/>
  <c r="U93" i="18"/>
  <c r="U88" i="18"/>
  <c r="Z95" i="18"/>
  <c r="T101" i="18"/>
  <c r="Z101" i="18" s="1"/>
  <c r="N116" i="18" l="1"/>
  <c r="N120" i="18" s="1"/>
  <c r="U94" i="18"/>
  <c r="U84" i="18"/>
  <c r="U78" i="18"/>
  <c r="U89" i="18"/>
  <c r="T74" i="18"/>
  <c r="U95" i="18"/>
  <c r="U85" i="18"/>
  <c r="U80" i="18"/>
  <c r="U91" i="18"/>
  <c r="U92" i="18"/>
  <c r="U86" i="18"/>
  <c r="U83" i="18"/>
  <c r="U79" i="18"/>
  <c r="U29" i="18"/>
  <c r="U28" i="18"/>
  <c r="U32" i="18"/>
  <c r="Z40" i="18"/>
  <c r="U114" i="18"/>
  <c r="Z114" i="18"/>
  <c r="U30" i="18"/>
  <c r="Z33" i="18"/>
  <c r="U31" i="18"/>
  <c r="M35" i="18"/>
  <c r="T23" i="18"/>
  <c r="U56" i="18"/>
  <c r="U55" i="18"/>
  <c r="U73" i="18"/>
  <c r="U72" i="18"/>
  <c r="Z74" i="18"/>
  <c r="U66" i="18"/>
  <c r="U68" i="18"/>
  <c r="M98" i="18"/>
  <c r="T98" i="18" s="1"/>
  <c r="T49" i="18"/>
  <c r="U40" i="18" s="1"/>
  <c r="B136" i="12"/>
  <c r="U96" i="18" l="1"/>
  <c r="U58" i="18"/>
  <c r="U59" i="18"/>
  <c r="U70" i="18"/>
  <c r="U60" i="18"/>
  <c r="U63" i="18"/>
  <c r="U54" i="18"/>
  <c r="U67" i="18"/>
  <c r="U64" i="18"/>
  <c r="U57" i="18"/>
  <c r="U52" i="18"/>
  <c r="U61" i="18"/>
  <c r="U65" i="18"/>
  <c r="U33" i="18"/>
  <c r="U53" i="18"/>
  <c r="U62" i="18"/>
  <c r="U71" i="18"/>
  <c r="U69" i="18"/>
  <c r="M116" i="18"/>
  <c r="T35" i="18"/>
  <c r="U21" i="18"/>
  <c r="Z23" i="18"/>
  <c r="U17" i="18"/>
  <c r="U22" i="18"/>
  <c r="U20" i="18"/>
  <c r="U19" i="18"/>
  <c r="U18" i="18"/>
  <c r="U16" i="18"/>
  <c r="U98" i="18"/>
  <c r="Z98" i="18"/>
  <c r="Z49" i="18"/>
  <c r="U48" i="18"/>
  <c r="U45" i="18"/>
  <c r="U44" i="18"/>
  <c r="U43" i="18"/>
  <c r="U46" i="18"/>
  <c r="U42" i="18"/>
  <c r="U41" i="18"/>
  <c r="U47" i="18"/>
  <c r="I134" i="12"/>
  <c r="I136" i="12"/>
  <c r="I137" i="12"/>
  <c r="I138" i="12"/>
  <c r="G128" i="12"/>
  <c r="I128" i="12" s="1"/>
  <c r="E139" i="12"/>
  <c r="F139" i="12"/>
  <c r="H139" i="12"/>
  <c r="I140" i="12"/>
  <c r="I142" i="12"/>
  <c r="I143" i="12"/>
  <c r="U74" i="18" l="1"/>
  <c r="G139" i="12"/>
  <c r="U49" i="18"/>
  <c r="M120" i="18"/>
  <c r="T116" i="18"/>
  <c r="Z35" i="18"/>
  <c r="U23" i="18"/>
  <c r="K79" i="5"/>
  <c r="Z116" i="18" l="1"/>
  <c r="T120" i="18"/>
  <c r="T121" i="18"/>
  <c r="B94" i="11"/>
  <c r="B77" i="11"/>
  <c r="B71" i="11"/>
  <c r="B56" i="11"/>
  <c r="B51" i="11"/>
  <c r="N45" i="2"/>
  <c r="N217" i="2" l="1"/>
  <c r="J60" i="2"/>
  <c r="N135" i="2"/>
  <c r="N134" i="2"/>
  <c r="N133" i="2"/>
  <c r="N132" i="2"/>
  <c r="N131" i="2"/>
  <c r="J32" i="2"/>
  <c r="J43" i="2"/>
  <c r="J41" i="2"/>
  <c r="J40" i="2"/>
  <c r="J39" i="2"/>
  <c r="J38" i="2"/>
  <c r="J14" i="2"/>
  <c r="J15" i="2"/>
  <c r="J16" i="2"/>
  <c r="J17" i="2"/>
  <c r="J18" i="2"/>
  <c r="J19" i="2"/>
  <c r="J20" i="2"/>
  <c r="J22" i="2"/>
  <c r="J23" i="2"/>
  <c r="J24" i="2"/>
  <c r="J25" i="2"/>
  <c r="J27" i="2"/>
  <c r="J28" i="2"/>
  <c r="J29" i="2"/>
  <c r="J30" i="2"/>
  <c r="J33" i="2"/>
  <c r="J10" i="2"/>
  <c r="J9" i="2"/>
  <c r="J8" i="2"/>
  <c r="J7" i="2"/>
  <c r="J6" i="2"/>
  <c r="J5" i="2"/>
  <c r="I127" i="2"/>
  <c r="I6" i="2"/>
  <c r="I196" i="2"/>
  <c r="I210" i="2"/>
  <c r="I231" i="2"/>
  <c r="I263" i="2"/>
  <c r="I278" i="2"/>
  <c r="J231" i="2"/>
  <c r="N230" i="2"/>
  <c r="B56" i="18" l="1"/>
  <c r="B56" i="12"/>
  <c r="B48" i="11" s="1"/>
  <c r="J47" i="2"/>
  <c r="J52" i="6"/>
  <c r="J23" i="17" l="1"/>
  <c r="J43" i="10" l="1"/>
  <c r="K61" i="5" l="1"/>
  <c r="D82" i="18" s="1"/>
  <c r="J42" i="5"/>
  <c r="J38" i="5"/>
  <c r="J34" i="5"/>
  <c r="K52" i="6" l="1"/>
  <c r="C69" i="18" s="1"/>
  <c r="K8" i="6"/>
  <c r="R101" i="12" l="1"/>
  <c r="R107" i="12"/>
  <c r="Q107" i="12"/>
  <c r="Q101" i="12"/>
  <c r="Q68" i="12"/>
  <c r="Q87" i="12"/>
  <c r="Q63" i="12"/>
  <c r="Q59" i="12"/>
  <c r="Q40" i="12"/>
  <c r="N29" i="12"/>
  <c r="N30" i="12"/>
  <c r="N28" i="12"/>
  <c r="N27" i="12"/>
  <c r="N26" i="12"/>
  <c r="N32" i="12"/>
  <c r="N22" i="12"/>
  <c r="N20" i="12"/>
  <c r="N17" i="12"/>
  <c r="N16" i="12"/>
  <c r="M46" i="12"/>
  <c r="M40" i="12"/>
  <c r="M32" i="12"/>
  <c r="M30" i="12"/>
  <c r="M29" i="12"/>
  <c r="M28" i="12"/>
  <c r="M27" i="12"/>
  <c r="M26" i="12"/>
  <c r="M18" i="12"/>
  <c r="M17" i="12"/>
  <c r="M16" i="12"/>
  <c r="M22" i="12"/>
  <c r="M20" i="12"/>
  <c r="M19" i="12"/>
  <c r="J278" i="2" l="1"/>
  <c r="J263" i="2"/>
  <c r="J210" i="2"/>
  <c r="N189" i="2"/>
  <c r="J196" i="2"/>
  <c r="J127" i="2"/>
  <c r="I27" i="17"/>
  <c r="I17" i="17"/>
  <c r="I12" i="17"/>
  <c r="K10" i="14"/>
  <c r="G69" i="18" s="1"/>
  <c r="I26" i="14"/>
  <c r="I16" i="14"/>
  <c r="I12" i="14"/>
  <c r="J70" i="10"/>
  <c r="I80" i="10"/>
  <c r="I70" i="10"/>
  <c r="I43" i="10"/>
  <c r="I56" i="10" s="1"/>
  <c r="I32" i="10"/>
  <c r="I20" i="10"/>
  <c r="I18" i="10"/>
  <c r="I14" i="10"/>
  <c r="I18" i="7"/>
  <c r="I13" i="7"/>
  <c r="I59" i="6"/>
  <c r="I53" i="6"/>
  <c r="I44" i="6"/>
  <c r="I36" i="6"/>
  <c r="I15" i="6"/>
  <c r="I17" i="6" s="1"/>
  <c r="I73" i="5"/>
  <c r="I66" i="5"/>
  <c r="I38" i="5"/>
  <c r="I53" i="5" s="1"/>
  <c r="I35" i="5"/>
  <c r="I23" i="5"/>
  <c r="I17" i="5"/>
  <c r="I25" i="5" l="1"/>
  <c r="I61" i="6"/>
  <c r="I20" i="7"/>
  <c r="I72" i="10"/>
  <c r="I82" i="10" s="1"/>
  <c r="I85" i="10" s="1"/>
  <c r="I38" i="6"/>
  <c r="I63" i="6" s="1"/>
  <c r="I18" i="14"/>
  <c r="I28" i="14" s="1"/>
  <c r="I19" i="17"/>
  <c r="I29" i="17" s="1"/>
  <c r="I68" i="5"/>
  <c r="I75" i="5"/>
  <c r="I78" i="5" s="1"/>
  <c r="K12" i="6" l="1"/>
  <c r="K11" i="6"/>
  <c r="C19" i="18" s="1"/>
  <c r="K15" i="6"/>
  <c r="C16" i="18" s="1"/>
  <c r="B18" i="7"/>
  <c r="C13" i="7"/>
  <c r="D13" i="7"/>
  <c r="E13" i="7"/>
  <c r="F13" i="7"/>
  <c r="G13" i="7"/>
  <c r="H13" i="7"/>
  <c r="J13" i="7"/>
  <c r="B13" i="7"/>
  <c r="B20" i="7" s="1"/>
  <c r="C21" i="12" l="1"/>
  <c r="C13" i="11" s="1"/>
  <c r="C21" i="18"/>
  <c r="J17" i="6"/>
  <c r="H231" i="2" l="1"/>
  <c r="H71" i="2" s="1"/>
  <c r="I33" i="2"/>
  <c r="I32" i="2"/>
  <c r="I30" i="2"/>
  <c r="I29" i="2"/>
  <c r="I28" i="2"/>
  <c r="I27" i="2"/>
  <c r="I25" i="2"/>
  <c r="I24" i="2"/>
  <c r="I23" i="2"/>
  <c r="I22" i="2"/>
  <c r="I20" i="2"/>
  <c r="I19" i="2"/>
  <c r="I18" i="2"/>
  <c r="I17" i="2"/>
  <c r="I16" i="2"/>
  <c r="I15" i="2"/>
  <c r="I14" i="2"/>
  <c r="I41" i="2"/>
  <c r="I40" i="2"/>
  <c r="I39" i="2"/>
  <c r="I38" i="2"/>
  <c r="N42" i="2"/>
  <c r="P42" i="2" s="1"/>
  <c r="Q42" i="2" s="1"/>
  <c r="G41" i="2"/>
  <c r="C41" i="2"/>
  <c r="B41" i="2"/>
  <c r="I10" i="2"/>
  <c r="I9" i="2"/>
  <c r="I8" i="2"/>
  <c r="I7" i="2"/>
  <c r="I5" i="2"/>
  <c r="N262" i="2"/>
  <c r="N192" i="2"/>
  <c r="N12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5" i="2"/>
  <c r="N126" i="2"/>
  <c r="N104" i="2"/>
  <c r="B20" i="18" l="1"/>
  <c r="I20" i="18" s="1"/>
  <c r="B20" i="12"/>
  <c r="B12" i="11" s="1"/>
  <c r="B21" i="18"/>
  <c r="I21" i="18" s="1"/>
  <c r="B21" i="12"/>
  <c r="B13" i="11" s="1"/>
  <c r="B18" i="18"/>
  <c r="B18" i="12"/>
  <c r="B10" i="11" s="1"/>
  <c r="B16" i="18"/>
  <c r="B16" i="12"/>
  <c r="B8" i="11" s="1"/>
  <c r="B19" i="18"/>
  <c r="I19" i="18" s="1"/>
  <c r="B19" i="12"/>
  <c r="B11" i="11" s="1"/>
  <c r="B22" i="18"/>
  <c r="B22" i="12"/>
  <c r="B14" i="11" s="1"/>
  <c r="B17" i="18"/>
  <c r="B17" i="12"/>
  <c r="B9" i="11" s="1"/>
  <c r="I47" i="2"/>
  <c r="N41" i="2"/>
  <c r="P41" i="2" s="1"/>
  <c r="Q41" i="2" s="1"/>
  <c r="N127" i="2"/>
  <c r="X21" i="18" l="1"/>
  <c r="AB21" i="18"/>
  <c r="B23" i="18"/>
  <c r="I16" i="18"/>
  <c r="AD19" i="18"/>
  <c r="AF19" i="18" s="1"/>
  <c r="AB19" i="18"/>
  <c r="X19" i="18"/>
  <c r="X20" i="18"/>
  <c r="AD20" i="18"/>
  <c r="AF20" i="18" s="1"/>
  <c r="AB20" i="18"/>
  <c r="N247" i="2"/>
  <c r="B89" i="18" s="1"/>
  <c r="I89" i="18" s="1"/>
  <c r="H278" i="2"/>
  <c r="H73" i="2" s="1"/>
  <c r="H263" i="2"/>
  <c r="H72" i="2" s="1"/>
  <c r="H209" i="2"/>
  <c r="H208" i="2"/>
  <c r="H207" i="2"/>
  <c r="H206" i="2"/>
  <c r="H205" i="2"/>
  <c r="H204" i="2"/>
  <c r="H203" i="2"/>
  <c r="H202" i="2"/>
  <c r="H201" i="2"/>
  <c r="H196" i="2"/>
  <c r="H127" i="2"/>
  <c r="H91" i="2"/>
  <c r="H90" i="2"/>
  <c r="H74" i="2"/>
  <c r="H66" i="2"/>
  <c r="H92" i="2" s="1"/>
  <c r="H64" i="2"/>
  <c r="H63" i="2"/>
  <c r="H62" i="2"/>
  <c r="H61" i="2"/>
  <c r="H60" i="2"/>
  <c r="H59" i="2"/>
  <c r="H88" i="2" s="1"/>
  <c r="H56" i="2"/>
  <c r="H55" i="2"/>
  <c r="H54" i="2"/>
  <c r="H84" i="2" s="1"/>
  <c r="H53" i="2"/>
  <c r="H40" i="2"/>
  <c r="H39" i="2"/>
  <c r="H38" i="2"/>
  <c r="H33" i="2"/>
  <c r="H32" i="2"/>
  <c r="H30" i="2"/>
  <c r="H29" i="2"/>
  <c r="H28" i="2"/>
  <c r="H27" i="2"/>
  <c r="H25" i="2"/>
  <c r="H24" i="2"/>
  <c r="H23" i="2"/>
  <c r="H22" i="2"/>
  <c r="H20" i="2"/>
  <c r="H19" i="2"/>
  <c r="H18" i="2"/>
  <c r="H17" i="2"/>
  <c r="H16" i="2"/>
  <c r="H15" i="2"/>
  <c r="H14" i="2"/>
  <c r="H10" i="2"/>
  <c r="H9" i="2"/>
  <c r="H8" i="2"/>
  <c r="H7" i="2"/>
  <c r="H6" i="2"/>
  <c r="H5" i="2"/>
  <c r="H27" i="17"/>
  <c r="H17" i="17"/>
  <c r="H12" i="17"/>
  <c r="H26" i="14"/>
  <c r="H16" i="14"/>
  <c r="H12" i="14"/>
  <c r="H80" i="10"/>
  <c r="H70" i="10"/>
  <c r="H41" i="10"/>
  <c r="H56" i="10" s="1"/>
  <c r="H32" i="10"/>
  <c r="H18" i="10"/>
  <c r="H14" i="10"/>
  <c r="H18" i="7"/>
  <c r="H20" i="7" s="1"/>
  <c r="H59" i="6"/>
  <c r="H53" i="6"/>
  <c r="H44" i="6"/>
  <c r="H36" i="6"/>
  <c r="H17" i="6"/>
  <c r="J73" i="5"/>
  <c r="H73" i="5"/>
  <c r="H66" i="5"/>
  <c r="H38" i="5"/>
  <c r="H53" i="5" s="1"/>
  <c r="H34" i="5"/>
  <c r="H35" i="5" s="1"/>
  <c r="H23" i="5"/>
  <c r="H8" i="5"/>
  <c r="H17" i="5" s="1"/>
  <c r="Z113" i="12"/>
  <c r="S114" i="12"/>
  <c r="T111" i="12"/>
  <c r="Z111" i="12" s="1"/>
  <c r="T110" i="12"/>
  <c r="Z110" i="12" s="1"/>
  <c r="T109" i="12"/>
  <c r="R114" i="12"/>
  <c r="Q114" i="12"/>
  <c r="P114" i="12"/>
  <c r="M114" i="12"/>
  <c r="M74" i="12"/>
  <c r="H68" i="5" l="1"/>
  <c r="H75" i="5" s="1"/>
  <c r="H78" i="5" s="1"/>
  <c r="AD16" i="18"/>
  <c r="AF16" i="18" s="1"/>
  <c r="X16" i="18"/>
  <c r="AB16" i="18"/>
  <c r="H18" i="14"/>
  <c r="H28" i="14" s="1"/>
  <c r="AB89" i="18"/>
  <c r="X89" i="18"/>
  <c r="H210" i="2"/>
  <c r="H70" i="2" s="1"/>
  <c r="H75" i="2" s="1"/>
  <c r="H20" i="10"/>
  <c r="H25" i="5"/>
  <c r="H61" i="6"/>
  <c r="H38" i="6"/>
  <c r="H57" i="2"/>
  <c r="H11" i="2"/>
  <c r="H197" i="2"/>
  <c r="H67" i="2"/>
  <c r="H83" i="2"/>
  <c r="H85" i="2" s="1"/>
  <c r="H72" i="10"/>
  <c r="H19" i="17"/>
  <c r="H29" i="17" s="1"/>
  <c r="H47" i="2"/>
  <c r="H34" i="2"/>
  <c r="H89" i="2"/>
  <c r="H93" i="2" s="1"/>
  <c r="H68" i="2" l="1"/>
  <c r="H63" i="6"/>
  <c r="H94" i="2"/>
  <c r="H82" i="10"/>
  <c r="H85" i="10" s="1"/>
  <c r="H35" i="2"/>
  <c r="H36" i="2" s="1"/>
  <c r="H280" i="2"/>
  <c r="B196" i="2"/>
  <c r="G196" i="2"/>
  <c r="B263" i="2"/>
  <c r="B278" i="2"/>
  <c r="C278" i="2"/>
  <c r="D278" i="2"/>
  <c r="E278" i="2"/>
  <c r="F278" i="2"/>
  <c r="G278" i="2"/>
  <c r="H48" i="2" l="1"/>
  <c r="H76" i="2"/>
  <c r="H80" i="2" s="1"/>
  <c r="N277" i="2"/>
  <c r="B113" i="18" s="1"/>
  <c r="I113" i="18" s="1"/>
  <c r="N191" i="2"/>
  <c r="H282" i="2" l="1"/>
  <c r="B113" i="12"/>
  <c r="B104" i="11" s="1"/>
  <c r="B60" i="16" s="1"/>
  <c r="G73" i="5"/>
  <c r="G66" i="5"/>
  <c r="G38" i="5"/>
  <c r="G53" i="5" s="1"/>
  <c r="G34" i="5"/>
  <c r="G35" i="5" s="1"/>
  <c r="G23" i="5"/>
  <c r="G8" i="5"/>
  <c r="G17" i="5" s="1"/>
  <c r="G25" i="5" l="1"/>
  <c r="G68" i="5"/>
  <c r="I104" i="11"/>
  <c r="I113" i="12"/>
  <c r="K25" i="6"/>
  <c r="C23" i="11" l="1"/>
  <c r="C31" i="18"/>
  <c r="G75" i="5"/>
  <c r="G78" i="5" s="1"/>
  <c r="C31" i="12"/>
  <c r="N266" i="2" l="1"/>
  <c r="B101" i="18" s="1"/>
  <c r="I74" i="2"/>
  <c r="I73" i="2"/>
  <c r="G127" i="2"/>
  <c r="G210" i="2"/>
  <c r="G231" i="2"/>
  <c r="G263" i="2"/>
  <c r="I71" i="2"/>
  <c r="N195" i="2"/>
  <c r="I91" i="2"/>
  <c r="I90" i="2"/>
  <c r="I66" i="2"/>
  <c r="I92" i="2" s="1"/>
  <c r="I64" i="2"/>
  <c r="I63" i="2"/>
  <c r="I62" i="2"/>
  <c r="I61" i="2"/>
  <c r="I60" i="2"/>
  <c r="I89" i="2" s="1"/>
  <c r="I59" i="2"/>
  <c r="I88" i="2" s="1"/>
  <c r="I56" i="2"/>
  <c r="I55" i="2"/>
  <c r="I54" i="2"/>
  <c r="I84" i="2" s="1"/>
  <c r="I53" i="2"/>
  <c r="I83" i="2" s="1"/>
  <c r="I70" i="2" l="1"/>
  <c r="I11" i="2"/>
  <c r="I34" i="2"/>
  <c r="G43" i="10"/>
  <c r="G56" i="10" s="1"/>
  <c r="G80" i="10"/>
  <c r="G70" i="10"/>
  <c r="G32" i="10"/>
  <c r="G18" i="10"/>
  <c r="G14" i="10"/>
  <c r="G20" i="10" l="1"/>
  <c r="I35" i="2"/>
  <c r="G72" i="10"/>
  <c r="G82" i="10" s="1"/>
  <c r="G85" i="10" s="1"/>
  <c r="T40" i="12"/>
  <c r="Z40" i="12" s="1"/>
  <c r="G18" i="7"/>
  <c r="G20" i="7" s="1"/>
  <c r="K28" i="6"/>
  <c r="G59" i="6"/>
  <c r="G53" i="6"/>
  <c r="G44" i="6"/>
  <c r="G36" i="6"/>
  <c r="G17" i="6"/>
  <c r="T29" i="12"/>
  <c r="Z29" i="12" s="1"/>
  <c r="T16" i="12"/>
  <c r="Z16" i="12" s="1"/>
  <c r="G27" i="17"/>
  <c r="G17" i="17"/>
  <c r="G12" i="17"/>
  <c r="G19" i="17" s="1"/>
  <c r="G29" i="17" s="1"/>
  <c r="R49" i="12"/>
  <c r="G26" i="14"/>
  <c r="G16" i="14"/>
  <c r="G12" i="14"/>
  <c r="G18" i="14" s="1"/>
  <c r="G28" i="14" s="1"/>
  <c r="G55" i="11"/>
  <c r="G28" i="16" s="1"/>
  <c r="T119" i="12"/>
  <c r="I68" i="11"/>
  <c r="AF86" i="12"/>
  <c r="AF85" i="12"/>
  <c r="AF84" i="12"/>
  <c r="B210" i="2"/>
  <c r="B70" i="2" s="1"/>
  <c r="C210" i="2"/>
  <c r="C70" i="2" s="1"/>
  <c r="D210" i="2"/>
  <c r="D70" i="2" s="1"/>
  <c r="E210" i="2"/>
  <c r="F210" i="2"/>
  <c r="F70" i="2" s="1"/>
  <c r="G43" i="2"/>
  <c r="G40" i="2"/>
  <c r="G39" i="2"/>
  <c r="G38" i="2"/>
  <c r="G20" i="2"/>
  <c r="G18" i="2"/>
  <c r="G8" i="2"/>
  <c r="N274" i="2"/>
  <c r="B110" i="18" s="1"/>
  <c r="I110" i="18" s="1"/>
  <c r="AB110" i="18" s="1"/>
  <c r="N254" i="2"/>
  <c r="C263" i="2"/>
  <c r="C72" i="2" s="1"/>
  <c r="D263" i="2"/>
  <c r="F263" i="2"/>
  <c r="N261" i="2"/>
  <c r="B231" i="2"/>
  <c r="B71" i="2" s="1"/>
  <c r="C231" i="2"/>
  <c r="D231" i="2"/>
  <c r="D71" i="2" s="1"/>
  <c r="E231" i="2"/>
  <c r="E71" i="2" s="1"/>
  <c r="F231" i="2"/>
  <c r="F71" i="2" s="1"/>
  <c r="C196" i="2"/>
  <c r="N166" i="2"/>
  <c r="N194" i="2"/>
  <c r="N193" i="2"/>
  <c r="G59" i="2"/>
  <c r="G88" i="2" s="1"/>
  <c r="G61" i="2"/>
  <c r="G62" i="2"/>
  <c r="G64" i="2"/>
  <c r="G66" i="2"/>
  <c r="G92" i="2" s="1"/>
  <c r="G53" i="2"/>
  <c r="G83" i="2" s="1"/>
  <c r="G54" i="2"/>
  <c r="G84" i="2" s="1"/>
  <c r="G55" i="2"/>
  <c r="G56" i="2"/>
  <c r="G63" i="2"/>
  <c r="G60" i="2"/>
  <c r="K60" i="5"/>
  <c r="C23" i="5"/>
  <c r="D23" i="5"/>
  <c r="E23" i="5"/>
  <c r="F23" i="5"/>
  <c r="J23" i="5"/>
  <c r="B23" i="5"/>
  <c r="K22" i="5"/>
  <c r="K16" i="5"/>
  <c r="K15" i="5"/>
  <c r="C17" i="5"/>
  <c r="C25" i="5" s="1"/>
  <c r="D17" i="5"/>
  <c r="D25" i="5" s="1"/>
  <c r="E17" i="5"/>
  <c r="F17" i="5"/>
  <c r="B17" i="5"/>
  <c r="J17" i="5"/>
  <c r="D84" i="12"/>
  <c r="J18" i="7"/>
  <c r="K11" i="7"/>
  <c r="E84" i="18" s="1"/>
  <c r="K12" i="7"/>
  <c r="E82" i="18" s="1"/>
  <c r="F27" i="17"/>
  <c r="F17" i="17"/>
  <c r="F12" i="17"/>
  <c r="F19" i="17" s="1"/>
  <c r="F26" i="14"/>
  <c r="F16" i="14"/>
  <c r="F12" i="14"/>
  <c r="F80" i="10"/>
  <c r="F70" i="10"/>
  <c r="F43" i="10"/>
  <c r="F56" i="10" s="1"/>
  <c r="F32" i="10"/>
  <c r="F18" i="10"/>
  <c r="F14" i="10"/>
  <c r="K9" i="7"/>
  <c r="F18" i="7"/>
  <c r="F20" i="7"/>
  <c r="J44" i="6"/>
  <c r="C16" i="12"/>
  <c r="F59" i="6"/>
  <c r="F53" i="6"/>
  <c r="F44" i="6"/>
  <c r="F31" i="6"/>
  <c r="F13" i="6"/>
  <c r="F17" i="6" s="1"/>
  <c r="K72" i="5"/>
  <c r="K71" i="5"/>
  <c r="K57" i="5"/>
  <c r="K58" i="5"/>
  <c r="D90" i="18" s="1"/>
  <c r="K59" i="5"/>
  <c r="D82" i="12"/>
  <c r="K62" i="5"/>
  <c r="K64" i="5"/>
  <c r="D69" i="18" s="1"/>
  <c r="K65" i="5"/>
  <c r="K56" i="5"/>
  <c r="D77" i="18" s="1"/>
  <c r="K40" i="5"/>
  <c r="K41" i="5"/>
  <c r="D57" i="18" s="1"/>
  <c r="K42" i="5"/>
  <c r="K43" i="5"/>
  <c r="K44" i="5"/>
  <c r="K45" i="5"/>
  <c r="D62" i="18" s="1"/>
  <c r="K46" i="5"/>
  <c r="K47" i="5"/>
  <c r="K48" i="5"/>
  <c r="K49" i="5"/>
  <c r="D67" i="18" s="1"/>
  <c r="K50" i="5"/>
  <c r="K51" i="5"/>
  <c r="K52" i="5"/>
  <c r="K30" i="5"/>
  <c r="K31" i="5"/>
  <c r="K32" i="5"/>
  <c r="K33" i="5"/>
  <c r="K29" i="5"/>
  <c r="K21" i="5"/>
  <c r="K20" i="5"/>
  <c r="K9" i="5"/>
  <c r="K10" i="5"/>
  <c r="K14" i="5"/>
  <c r="K11" i="5"/>
  <c r="K12" i="5"/>
  <c r="K13" i="5"/>
  <c r="K8" i="5"/>
  <c r="J66" i="5"/>
  <c r="J53" i="5"/>
  <c r="G60" i="16"/>
  <c r="G50" i="16"/>
  <c r="G49" i="16"/>
  <c r="G47" i="16"/>
  <c r="G46" i="16"/>
  <c r="G45" i="16"/>
  <c r="G44" i="16"/>
  <c r="G42" i="16"/>
  <c r="G41" i="16"/>
  <c r="G40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8" i="11"/>
  <c r="G30" i="16" s="1"/>
  <c r="G41" i="11"/>
  <c r="G25" i="11"/>
  <c r="G15" i="11"/>
  <c r="K16" i="17"/>
  <c r="G49" i="12"/>
  <c r="G30" i="15" s="1"/>
  <c r="G33" i="12"/>
  <c r="G24" i="15" s="1"/>
  <c r="G25" i="15" s="1"/>
  <c r="G9" i="16" s="1"/>
  <c r="G23" i="12"/>
  <c r="Q35" i="15"/>
  <c r="R96" i="12"/>
  <c r="Q32" i="15" s="1"/>
  <c r="R74" i="12"/>
  <c r="Q31" i="15" s="1"/>
  <c r="R33" i="12"/>
  <c r="Q24" i="15" s="1"/>
  <c r="Q25" i="15" s="1"/>
  <c r="R23" i="12"/>
  <c r="K11" i="17"/>
  <c r="H67" i="18" s="1"/>
  <c r="K23" i="17"/>
  <c r="K24" i="17"/>
  <c r="K25" i="17"/>
  <c r="K26" i="17"/>
  <c r="K22" i="17"/>
  <c r="K10" i="17"/>
  <c r="C17" i="17"/>
  <c r="D17" i="17"/>
  <c r="D19" i="17" s="1"/>
  <c r="E17" i="17"/>
  <c r="J17" i="17"/>
  <c r="B17" i="17"/>
  <c r="J27" i="17"/>
  <c r="E27" i="17"/>
  <c r="D27" i="17"/>
  <c r="C27" i="17"/>
  <c r="B27" i="17"/>
  <c r="J12" i="17"/>
  <c r="E12" i="17"/>
  <c r="D12" i="17"/>
  <c r="C12" i="17"/>
  <c r="B12" i="17"/>
  <c r="G20" i="15"/>
  <c r="G21" i="15" s="1"/>
  <c r="Q20" i="15"/>
  <c r="Q21" i="15" s="1"/>
  <c r="H69" i="12"/>
  <c r="K17" i="17"/>
  <c r="T101" i="12"/>
  <c r="Z101" i="12" s="1"/>
  <c r="D60" i="16"/>
  <c r="E60" i="16"/>
  <c r="F60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E28" i="16"/>
  <c r="C27" i="16"/>
  <c r="E27" i="16"/>
  <c r="H27" i="16"/>
  <c r="C26" i="16"/>
  <c r="E26" i="16"/>
  <c r="F26" i="16"/>
  <c r="H26" i="16"/>
  <c r="C25" i="16"/>
  <c r="E25" i="16"/>
  <c r="E24" i="16"/>
  <c r="C22" i="16"/>
  <c r="E22" i="16"/>
  <c r="C23" i="16"/>
  <c r="E23" i="16"/>
  <c r="C18" i="16"/>
  <c r="E18" i="16"/>
  <c r="C17" i="16"/>
  <c r="E17" i="16"/>
  <c r="E19" i="16" s="1"/>
  <c r="C16" i="16"/>
  <c r="E16" i="16"/>
  <c r="H18" i="16"/>
  <c r="I66" i="16"/>
  <c r="I62" i="16"/>
  <c r="I52" i="16"/>
  <c r="H48" i="16"/>
  <c r="I38" i="16"/>
  <c r="I37" i="16"/>
  <c r="S40" i="15"/>
  <c r="I40" i="15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I110" i="11"/>
  <c r="H47" i="16"/>
  <c r="H44" i="16"/>
  <c r="H42" i="16"/>
  <c r="H35" i="16"/>
  <c r="H34" i="16"/>
  <c r="H58" i="11"/>
  <c r="H30" i="16" s="1"/>
  <c r="H25" i="16"/>
  <c r="H24" i="16"/>
  <c r="H23" i="16"/>
  <c r="H22" i="16"/>
  <c r="H41" i="11"/>
  <c r="H17" i="16"/>
  <c r="H16" i="16"/>
  <c r="H25" i="11"/>
  <c r="H15" i="11"/>
  <c r="B26" i="14"/>
  <c r="J26" i="14"/>
  <c r="E26" i="14"/>
  <c r="D26" i="14"/>
  <c r="C26" i="14"/>
  <c r="K24" i="14"/>
  <c r="K23" i="14"/>
  <c r="K22" i="14"/>
  <c r="K21" i="14"/>
  <c r="G101" i="18" s="1"/>
  <c r="J16" i="14"/>
  <c r="E16" i="14"/>
  <c r="D16" i="14"/>
  <c r="C16" i="14"/>
  <c r="B16" i="14"/>
  <c r="K15" i="14"/>
  <c r="K11" i="14"/>
  <c r="G67" i="18" s="1"/>
  <c r="G74" i="18" s="1"/>
  <c r="J12" i="14"/>
  <c r="E12" i="14"/>
  <c r="E18" i="14" s="1"/>
  <c r="E28" i="14" s="1"/>
  <c r="C12" i="14"/>
  <c r="B12" i="14"/>
  <c r="R35" i="15"/>
  <c r="Q49" i="12"/>
  <c r="P30" i="15" s="1"/>
  <c r="Q33" i="12"/>
  <c r="P24" i="15" s="1"/>
  <c r="P25" i="15" s="1"/>
  <c r="Q23" i="12"/>
  <c r="H49" i="12"/>
  <c r="H30" i="15" s="1"/>
  <c r="G73" i="11"/>
  <c r="G87" i="11" s="1"/>
  <c r="G82" i="12"/>
  <c r="G96" i="12" s="1"/>
  <c r="G67" i="12"/>
  <c r="G108" i="12"/>
  <c r="H43" i="16"/>
  <c r="Q96" i="12"/>
  <c r="P32" i="15" s="1"/>
  <c r="C18" i="14"/>
  <c r="C28" i="14" s="1"/>
  <c r="K25" i="14"/>
  <c r="D12" i="14"/>
  <c r="Z50" i="12"/>
  <c r="Z51" i="12"/>
  <c r="Z75" i="12"/>
  <c r="Z76" i="12"/>
  <c r="Z99" i="12"/>
  <c r="Z100" i="12"/>
  <c r="Z104" i="12"/>
  <c r="Z109" i="12"/>
  <c r="Z112" i="12"/>
  <c r="T103" i="12"/>
  <c r="Z103" i="12" s="1"/>
  <c r="D143" i="2"/>
  <c r="D196" i="2" s="1"/>
  <c r="F143" i="2"/>
  <c r="F196" i="2" s="1"/>
  <c r="T85" i="12"/>
  <c r="Z85" i="12"/>
  <c r="N140" i="2"/>
  <c r="P140" i="2" s="1"/>
  <c r="Q140" i="2" s="1"/>
  <c r="F19" i="2"/>
  <c r="N19" i="2" s="1"/>
  <c r="N273" i="2"/>
  <c r="N275" i="2"/>
  <c r="N276" i="2"/>
  <c r="B111" i="18" s="1"/>
  <c r="I111" i="18" s="1"/>
  <c r="AB111" i="18" s="1"/>
  <c r="K278" i="2"/>
  <c r="K73" i="2" s="1"/>
  <c r="L278" i="2"/>
  <c r="L73" i="2" s="1"/>
  <c r="M278" i="2"/>
  <c r="M73" i="2" s="1"/>
  <c r="I72" i="2"/>
  <c r="I75" i="2" s="1"/>
  <c r="J72" i="2"/>
  <c r="K263" i="2"/>
  <c r="K72" i="2" s="1"/>
  <c r="L263" i="2"/>
  <c r="L72" i="2" s="1"/>
  <c r="M263" i="2"/>
  <c r="N268" i="2"/>
  <c r="B104" i="18" s="1"/>
  <c r="N260" i="2"/>
  <c r="N259" i="2"/>
  <c r="N258" i="2"/>
  <c r="N257" i="2"/>
  <c r="B83" i="18" s="1"/>
  <c r="N256" i="2"/>
  <c r="N255" i="2"/>
  <c r="N229" i="2"/>
  <c r="F5" i="2"/>
  <c r="T78" i="12"/>
  <c r="Z78" i="12" s="1"/>
  <c r="T69" i="12"/>
  <c r="Z69" i="12" s="1"/>
  <c r="D69" i="12"/>
  <c r="T86" i="12"/>
  <c r="Z86" i="12" s="1"/>
  <c r="D55" i="11"/>
  <c r="D28" i="16" s="1"/>
  <c r="F63" i="5"/>
  <c r="K63" i="5" s="1"/>
  <c r="D86" i="18" s="1"/>
  <c r="I86" i="18" s="1"/>
  <c r="F39" i="5"/>
  <c r="K39" i="5" s="1"/>
  <c r="D53" i="18" s="1"/>
  <c r="F38" i="5"/>
  <c r="E73" i="5"/>
  <c r="E66" i="5"/>
  <c r="E38" i="5"/>
  <c r="E53" i="5" s="1"/>
  <c r="E35" i="5"/>
  <c r="C18" i="7"/>
  <c r="D18" i="7"/>
  <c r="D20" i="7" s="1"/>
  <c r="E18" i="7"/>
  <c r="K17" i="7"/>
  <c r="J36" i="6"/>
  <c r="J38" i="6" s="1"/>
  <c r="C59" i="6"/>
  <c r="D59" i="6"/>
  <c r="E59" i="6"/>
  <c r="J59" i="6"/>
  <c r="B59" i="6"/>
  <c r="K57" i="6"/>
  <c r="K50" i="6"/>
  <c r="K51" i="6"/>
  <c r="C31" i="6"/>
  <c r="K30" i="6"/>
  <c r="K29" i="6"/>
  <c r="K35" i="6"/>
  <c r="K21" i="6"/>
  <c r="K22" i="6"/>
  <c r="K23" i="6"/>
  <c r="K24" i="6"/>
  <c r="K26" i="6"/>
  <c r="K27" i="6"/>
  <c r="K32" i="6"/>
  <c r="K33" i="6"/>
  <c r="K34" i="6"/>
  <c r="K20" i="6"/>
  <c r="N33" i="12"/>
  <c r="M24" i="15" s="1"/>
  <c r="M25" i="15" s="1"/>
  <c r="E53" i="6"/>
  <c r="E44" i="6"/>
  <c r="E36" i="6"/>
  <c r="E17" i="6"/>
  <c r="S74" i="12"/>
  <c r="R31" i="15" s="1"/>
  <c r="T87" i="12"/>
  <c r="Z87" i="12" s="1"/>
  <c r="T115" i="12"/>
  <c r="Z115" i="12" s="1"/>
  <c r="I115" i="12"/>
  <c r="O114" i="12"/>
  <c r="N35" i="15" s="1"/>
  <c r="N114" i="12"/>
  <c r="M35" i="15" s="1"/>
  <c r="T108" i="12"/>
  <c r="Z108" i="12" s="1"/>
  <c r="T106" i="12"/>
  <c r="Z106" i="12" s="1"/>
  <c r="T105" i="12"/>
  <c r="Z105" i="12" s="1"/>
  <c r="T102" i="12"/>
  <c r="Z102" i="12" s="1"/>
  <c r="T97" i="12"/>
  <c r="Z97" i="12" s="1"/>
  <c r="I97" i="12"/>
  <c r="P96" i="12"/>
  <c r="O32" i="15" s="1"/>
  <c r="O96" i="12"/>
  <c r="N32" i="15" s="1"/>
  <c r="N96" i="12"/>
  <c r="M32" i="15" s="1"/>
  <c r="M96" i="12"/>
  <c r="L32" i="15" s="1"/>
  <c r="T95" i="12"/>
  <c r="Z95" i="12" s="1"/>
  <c r="T94" i="12"/>
  <c r="Z94" i="12" s="1"/>
  <c r="T93" i="12"/>
  <c r="Z93" i="12" s="1"/>
  <c r="T92" i="12"/>
  <c r="Z92" i="12" s="1"/>
  <c r="D92" i="12"/>
  <c r="C92" i="12"/>
  <c r="T91" i="12"/>
  <c r="Z91" i="12" s="1"/>
  <c r="T90" i="12"/>
  <c r="Z90" i="12" s="1"/>
  <c r="C90" i="12"/>
  <c r="T89" i="12"/>
  <c r="Z89" i="12" s="1"/>
  <c r="C89" i="12"/>
  <c r="T88" i="12"/>
  <c r="Z88" i="12" s="1"/>
  <c r="T84" i="12"/>
  <c r="Z84" i="12" s="1"/>
  <c r="T83" i="12"/>
  <c r="Z83" i="12" s="1"/>
  <c r="T82" i="12"/>
  <c r="T81" i="12"/>
  <c r="Z81" i="12" s="1"/>
  <c r="T80" i="12"/>
  <c r="Z80" i="12" s="1"/>
  <c r="T79" i="12"/>
  <c r="Z79" i="12" s="1"/>
  <c r="T77" i="12"/>
  <c r="Z77" i="12" s="1"/>
  <c r="P74" i="12"/>
  <c r="O31" i="15" s="1"/>
  <c r="N74" i="12"/>
  <c r="M31" i="15" s="1"/>
  <c r="AF73" i="12"/>
  <c r="T73" i="12"/>
  <c r="Z73" i="12" s="1"/>
  <c r="AF72" i="12"/>
  <c r="T72" i="12"/>
  <c r="Z72" i="12" s="1"/>
  <c r="T71" i="12"/>
  <c r="T70" i="12"/>
  <c r="Z70" i="12" s="1"/>
  <c r="T68" i="12"/>
  <c r="Z68" i="12" s="1"/>
  <c r="T67" i="12"/>
  <c r="Z67" i="12" s="1"/>
  <c r="T66" i="12"/>
  <c r="Z66" i="12" s="1"/>
  <c r="T65" i="12"/>
  <c r="Z65" i="12" s="1"/>
  <c r="T64" i="12"/>
  <c r="Z64" i="12" s="1"/>
  <c r="T63" i="12"/>
  <c r="Z63" i="12" s="1"/>
  <c r="T62" i="12"/>
  <c r="T61" i="12"/>
  <c r="Z61" i="12" s="1"/>
  <c r="T60" i="12"/>
  <c r="Z60" i="12" s="1"/>
  <c r="T57" i="12"/>
  <c r="Z57" i="12" s="1"/>
  <c r="T56" i="12"/>
  <c r="Z56" i="12" s="1"/>
  <c r="T55" i="12"/>
  <c r="T54" i="12"/>
  <c r="Z54" i="12" s="1"/>
  <c r="T53" i="12"/>
  <c r="Z53" i="12" s="1"/>
  <c r="O74" i="12"/>
  <c r="N31" i="15" s="1"/>
  <c r="L31" i="15"/>
  <c r="P49" i="12"/>
  <c r="O30" i="15" s="1"/>
  <c r="O49" i="12"/>
  <c r="N30" i="15" s="1"/>
  <c r="N49" i="12"/>
  <c r="M30" i="15" s="1"/>
  <c r="E49" i="12"/>
  <c r="C49" i="12"/>
  <c r="C30" i="15" s="1"/>
  <c r="T48" i="12"/>
  <c r="Z48" i="12" s="1"/>
  <c r="T47" i="12"/>
  <c r="Z47" i="12" s="1"/>
  <c r="T46" i="12"/>
  <c r="Z46" i="12" s="1"/>
  <c r="M49" i="12"/>
  <c r="L30" i="15" s="1"/>
  <c r="T45" i="12"/>
  <c r="Z45" i="12" s="1"/>
  <c r="T44" i="12"/>
  <c r="Z44" i="12" s="1"/>
  <c r="T43" i="12"/>
  <c r="Z43" i="12" s="1"/>
  <c r="T42" i="12"/>
  <c r="Z42" i="12" s="1"/>
  <c r="T41" i="12"/>
  <c r="Z41" i="12" s="1"/>
  <c r="S49" i="12"/>
  <c r="R30" i="15" s="1"/>
  <c r="T39" i="12"/>
  <c r="Z39" i="12" s="1"/>
  <c r="I39" i="12"/>
  <c r="T38" i="12"/>
  <c r="Z38" i="12" s="1"/>
  <c r="I38" i="12"/>
  <c r="T36" i="12"/>
  <c r="Z36" i="12" s="1"/>
  <c r="I36" i="12"/>
  <c r="S33" i="12"/>
  <c r="R24" i="15" s="1"/>
  <c r="R25" i="15" s="1"/>
  <c r="P33" i="12"/>
  <c r="O24" i="15" s="1"/>
  <c r="O25" i="15" s="1"/>
  <c r="O33" i="12"/>
  <c r="N24" i="15" s="1"/>
  <c r="N25" i="15" s="1"/>
  <c r="E33" i="12"/>
  <c r="E24" i="15" s="1"/>
  <c r="E25" i="15" s="1"/>
  <c r="E9" i="16" s="1"/>
  <c r="H33" i="12"/>
  <c r="H24" i="15" s="1"/>
  <c r="H25" i="15" s="1"/>
  <c r="H9" i="16" s="1"/>
  <c r="T31" i="12"/>
  <c r="T30" i="12"/>
  <c r="Z30" i="12" s="1"/>
  <c r="C30" i="12"/>
  <c r="T28" i="12"/>
  <c r="Z28" i="12" s="1"/>
  <c r="T24" i="12"/>
  <c r="Z24" i="12" s="1"/>
  <c r="I24" i="12"/>
  <c r="S23" i="12"/>
  <c r="R20" i="15" s="1"/>
  <c r="R21" i="15" s="1"/>
  <c r="P23" i="12"/>
  <c r="O23" i="12"/>
  <c r="N20" i="15" s="1"/>
  <c r="N21" i="15" s="1"/>
  <c r="E23" i="12"/>
  <c r="E20" i="15" s="1"/>
  <c r="E21" i="15" s="1"/>
  <c r="T22" i="12"/>
  <c r="Z22" i="12" s="1"/>
  <c r="H23" i="12"/>
  <c r="H20" i="15" s="1"/>
  <c r="H21" i="15" s="1"/>
  <c r="T21" i="12"/>
  <c r="Z21" i="12" s="1"/>
  <c r="T20" i="12"/>
  <c r="Z20" i="12" s="1"/>
  <c r="C20" i="12"/>
  <c r="T19" i="12"/>
  <c r="Z19" i="12" s="1"/>
  <c r="T18" i="12"/>
  <c r="Z18" i="12" s="1"/>
  <c r="N23" i="12"/>
  <c r="M20" i="15" s="1"/>
  <c r="M21" i="15" s="1"/>
  <c r="T17" i="12"/>
  <c r="Z17" i="12" s="1"/>
  <c r="L35" i="15"/>
  <c r="S96" i="12"/>
  <c r="R32" i="15" s="1"/>
  <c r="M33" i="12"/>
  <c r="T26" i="12"/>
  <c r="Z26" i="12" s="1"/>
  <c r="M23" i="12"/>
  <c r="T58" i="12"/>
  <c r="Z58" i="12" s="1"/>
  <c r="T27" i="12"/>
  <c r="Z27" i="12" s="1"/>
  <c r="T52" i="12"/>
  <c r="Z52" i="12" s="1"/>
  <c r="T32" i="12"/>
  <c r="Z32" i="12" s="1"/>
  <c r="AF94" i="12"/>
  <c r="I106" i="11"/>
  <c r="I88" i="11"/>
  <c r="D83" i="11"/>
  <c r="D49" i="16" s="1"/>
  <c r="C83" i="11"/>
  <c r="C49" i="16" s="1"/>
  <c r="C81" i="11"/>
  <c r="C47" i="16" s="1"/>
  <c r="C80" i="11"/>
  <c r="C46" i="16" s="1"/>
  <c r="I67" i="11"/>
  <c r="E66" i="11"/>
  <c r="F63" i="11"/>
  <c r="F34" i="16" s="1"/>
  <c r="F58" i="11"/>
  <c r="F30" i="16" s="1"/>
  <c r="E41" i="11"/>
  <c r="C41" i="11"/>
  <c r="E25" i="11"/>
  <c r="E15" i="11"/>
  <c r="C12" i="11"/>
  <c r="J56" i="10"/>
  <c r="K76" i="10"/>
  <c r="K77" i="10"/>
  <c r="K78" i="10"/>
  <c r="K79" i="10"/>
  <c r="K75" i="10"/>
  <c r="K60" i="10"/>
  <c r="K61" i="10"/>
  <c r="K62" i="10"/>
  <c r="K63" i="10"/>
  <c r="K64" i="10"/>
  <c r="K65" i="10"/>
  <c r="F81" i="18" s="1"/>
  <c r="K66" i="10"/>
  <c r="K67" i="10"/>
  <c r="F83" i="18" s="1"/>
  <c r="K68" i="10"/>
  <c r="K69" i="10"/>
  <c r="K59" i="10"/>
  <c r="F77" i="18" s="1"/>
  <c r="K55" i="10"/>
  <c r="K36" i="10"/>
  <c r="F54" i="18" s="1"/>
  <c r="K37" i="10"/>
  <c r="K38" i="10"/>
  <c r="F55" i="18" s="1"/>
  <c r="K39" i="10"/>
  <c r="K40" i="10"/>
  <c r="F49" i="11" s="1"/>
  <c r="K42" i="10"/>
  <c r="K44" i="10"/>
  <c r="K45" i="10"/>
  <c r="K46" i="10"/>
  <c r="K47" i="10"/>
  <c r="K48" i="10"/>
  <c r="K49" i="10"/>
  <c r="K50" i="10"/>
  <c r="K51" i="10"/>
  <c r="K52" i="10"/>
  <c r="K53" i="10"/>
  <c r="F62" i="11" s="1"/>
  <c r="K54" i="10"/>
  <c r="K35" i="10"/>
  <c r="K25" i="10"/>
  <c r="K26" i="10"/>
  <c r="K27" i="10"/>
  <c r="K28" i="10"/>
  <c r="K29" i="10"/>
  <c r="F45" i="18" s="1"/>
  <c r="K30" i="10"/>
  <c r="K31" i="10"/>
  <c r="K24" i="10"/>
  <c r="F40" i="18" s="1"/>
  <c r="K17" i="10"/>
  <c r="K18" i="10" s="1"/>
  <c r="K9" i="10"/>
  <c r="K11" i="10"/>
  <c r="K12" i="10"/>
  <c r="K13" i="10"/>
  <c r="K8" i="10"/>
  <c r="J80" i="10"/>
  <c r="J32" i="10"/>
  <c r="J18" i="10"/>
  <c r="J14" i="10"/>
  <c r="F99" i="11"/>
  <c r="F57" i="16" s="1"/>
  <c r="T37" i="12"/>
  <c r="Z37" i="12" s="1"/>
  <c r="AF92" i="12"/>
  <c r="AF89" i="12"/>
  <c r="E43" i="10"/>
  <c r="E10" i="10"/>
  <c r="K10" i="10" s="1"/>
  <c r="D43" i="10"/>
  <c r="D41" i="10"/>
  <c r="C43" i="10"/>
  <c r="C56" i="10" s="1"/>
  <c r="B43" i="10"/>
  <c r="B32" i="10"/>
  <c r="E80" i="10"/>
  <c r="D80" i="10"/>
  <c r="C80" i="10"/>
  <c r="B80" i="10"/>
  <c r="E70" i="10"/>
  <c r="D70" i="10"/>
  <c r="C70" i="10"/>
  <c r="B70" i="10"/>
  <c r="E56" i="10"/>
  <c r="E32" i="10"/>
  <c r="D32" i="10"/>
  <c r="C32" i="10"/>
  <c r="K2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K16" i="7"/>
  <c r="K10" i="7"/>
  <c r="E69" i="18" s="1"/>
  <c r="E74" i="18" s="1"/>
  <c r="K58" i="6"/>
  <c r="C106" i="18" s="1"/>
  <c r="C55" i="11"/>
  <c r="C28" i="16" s="1"/>
  <c r="J53" i="6"/>
  <c r="K49" i="6"/>
  <c r="C53" i="6"/>
  <c r="D53" i="6"/>
  <c r="B53" i="6"/>
  <c r="K48" i="6"/>
  <c r="K56" i="6"/>
  <c r="K16" i="6"/>
  <c r="K47" i="6"/>
  <c r="K43" i="6"/>
  <c r="K42" i="6"/>
  <c r="D44" i="6"/>
  <c r="C44" i="6"/>
  <c r="B44" i="6"/>
  <c r="D36" i="6"/>
  <c r="C36" i="6"/>
  <c r="B36" i="6"/>
  <c r="K19" i="6"/>
  <c r="D17" i="6"/>
  <c r="C17" i="6"/>
  <c r="B17" i="6"/>
  <c r="B38" i="6" s="1"/>
  <c r="K14" i="6"/>
  <c r="K13" i="6"/>
  <c r="K10" i="6"/>
  <c r="K9" i="6"/>
  <c r="D38" i="5"/>
  <c r="D53" i="5" s="1"/>
  <c r="C38" i="5"/>
  <c r="C53" i="5" s="1"/>
  <c r="B38" i="5"/>
  <c r="B53" i="5" s="1"/>
  <c r="C66" i="5"/>
  <c r="D66" i="5"/>
  <c r="B66" i="5"/>
  <c r="C73" i="5"/>
  <c r="D73" i="5"/>
  <c r="F73" i="5"/>
  <c r="B73" i="5"/>
  <c r="C35" i="5"/>
  <c r="D35" i="5"/>
  <c r="F35" i="5"/>
  <c r="B35" i="5"/>
  <c r="K19" i="5"/>
  <c r="K28" i="5"/>
  <c r="B5" i="2"/>
  <c r="B6" i="2"/>
  <c r="B7" i="2"/>
  <c r="B8" i="2"/>
  <c r="B9" i="2"/>
  <c r="B14" i="2"/>
  <c r="B15" i="2"/>
  <c r="B16" i="2"/>
  <c r="B17" i="2"/>
  <c r="B18" i="2"/>
  <c r="B22" i="2"/>
  <c r="B23" i="2"/>
  <c r="B24" i="2"/>
  <c r="B25" i="2"/>
  <c r="B27" i="2"/>
  <c r="B28" i="2"/>
  <c r="B29" i="2"/>
  <c r="B32" i="2"/>
  <c r="B33" i="2"/>
  <c r="B38" i="2"/>
  <c r="B39" i="2"/>
  <c r="B40" i="2"/>
  <c r="B43" i="2"/>
  <c r="B53" i="2"/>
  <c r="B83" i="2" s="1"/>
  <c r="B54" i="2"/>
  <c r="B84" i="2" s="1"/>
  <c r="B55" i="2"/>
  <c r="B56" i="2"/>
  <c r="B59" i="2"/>
  <c r="B88" i="2" s="1"/>
  <c r="B60" i="2"/>
  <c r="B61" i="2"/>
  <c r="B62" i="2"/>
  <c r="B63" i="2"/>
  <c r="B64" i="2"/>
  <c r="B66" i="2"/>
  <c r="B92" i="2" s="1"/>
  <c r="B74" i="2"/>
  <c r="B89" i="2"/>
  <c r="B90" i="2"/>
  <c r="B91" i="2"/>
  <c r="B127" i="2"/>
  <c r="B197" i="2" s="1"/>
  <c r="B72" i="2"/>
  <c r="B73" i="2"/>
  <c r="C5" i="2"/>
  <c r="C6" i="2"/>
  <c r="C7" i="2"/>
  <c r="C8" i="2"/>
  <c r="C9" i="2"/>
  <c r="C14" i="2"/>
  <c r="C15" i="2"/>
  <c r="C16" i="2"/>
  <c r="C17" i="2"/>
  <c r="C18" i="2"/>
  <c r="C22" i="2"/>
  <c r="C23" i="2"/>
  <c r="C24" i="2"/>
  <c r="C25" i="2"/>
  <c r="C27" i="2"/>
  <c r="C28" i="2"/>
  <c r="C29" i="2"/>
  <c r="C32" i="2"/>
  <c r="C33" i="2"/>
  <c r="C38" i="2"/>
  <c r="C39" i="2"/>
  <c r="C40" i="2"/>
  <c r="C43" i="2"/>
  <c r="C46" i="2"/>
  <c r="N46" i="2" s="1"/>
  <c r="P46" i="2" s="1"/>
  <c r="Q46" i="2" s="1"/>
  <c r="C53" i="2"/>
  <c r="C54" i="2"/>
  <c r="C84" i="2" s="1"/>
  <c r="C55" i="2"/>
  <c r="C56" i="2"/>
  <c r="C59" i="2"/>
  <c r="C60" i="2"/>
  <c r="C61" i="2"/>
  <c r="C62" i="2"/>
  <c r="C63" i="2"/>
  <c r="C64" i="2"/>
  <c r="C66" i="2"/>
  <c r="C92" i="2" s="1"/>
  <c r="C74" i="2"/>
  <c r="C89" i="2"/>
  <c r="C90" i="2"/>
  <c r="C91" i="2"/>
  <c r="C127" i="2"/>
  <c r="C71" i="2"/>
  <c r="C73" i="2"/>
  <c r="P281" i="2"/>
  <c r="Q281" i="2" s="1"/>
  <c r="P279" i="2"/>
  <c r="Q279" i="2" s="1"/>
  <c r="J73" i="2"/>
  <c r="G73" i="2"/>
  <c r="F73" i="2"/>
  <c r="D73" i="2"/>
  <c r="N272" i="2"/>
  <c r="N271" i="2"/>
  <c r="N270" i="2"/>
  <c r="B106" i="18" s="1"/>
  <c r="N269" i="2"/>
  <c r="N267" i="2"/>
  <c r="B102" i="18" s="1"/>
  <c r="P265" i="2"/>
  <c r="Q265" i="2" s="1"/>
  <c r="P264" i="2"/>
  <c r="Q264" i="2" s="1"/>
  <c r="M72" i="2"/>
  <c r="G72" i="2"/>
  <c r="F72" i="2"/>
  <c r="D72" i="2"/>
  <c r="N253" i="2"/>
  <c r="N252" i="2"/>
  <c r="B95" i="18" s="1"/>
  <c r="I95" i="18" s="1"/>
  <c r="N251" i="2"/>
  <c r="N250" i="2"/>
  <c r="N249" i="2"/>
  <c r="N248" i="2"/>
  <c r="P247" i="2"/>
  <c r="Q247" i="2" s="1"/>
  <c r="N246" i="2"/>
  <c r="N245" i="2"/>
  <c r="E244" i="2"/>
  <c r="N243" i="2"/>
  <c r="N242" i="2"/>
  <c r="B87" i="18" s="1"/>
  <c r="N241" i="2"/>
  <c r="P241" i="2" s="1"/>
  <c r="Q241" i="2" s="1"/>
  <c r="N240" i="2"/>
  <c r="P240" i="2" s="1"/>
  <c r="Q240" i="2" s="1"/>
  <c r="N239" i="2"/>
  <c r="P239" i="2" s="1"/>
  <c r="Q239" i="2" s="1"/>
  <c r="N238" i="2"/>
  <c r="N237" i="2"/>
  <c r="N236" i="2"/>
  <c r="N235" i="2"/>
  <c r="N234" i="2"/>
  <c r="N233" i="2"/>
  <c r="P232" i="2"/>
  <c r="Q232" i="2" s="1"/>
  <c r="M231" i="2"/>
  <c r="M71" i="2" s="1"/>
  <c r="L231" i="2"/>
  <c r="L71" i="2" s="1"/>
  <c r="K231" i="2"/>
  <c r="K71" i="2" s="1"/>
  <c r="J71" i="2"/>
  <c r="N228" i="2"/>
  <c r="P228" i="2" s="1"/>
  <c r="Q228" i="2" s="1"/>
  <c r="N227" i="2"/>
  <c r="P227" i="2" s="1"/>
  <c r="Q227" i="2" s="1"/>
  <c r="N226" i="2"/>
  <c r="N225" i="2"/>
  <c r="N224" i="2"/>
  <c r="N223" i="2"/>
  <c r="N222" i="2"/>
  <c r="N221" i="2"/>
  <c r="N220" i="2"/>
  <c r="N219" i="2"/>
  <c r="N218" i="2"/>
  <c r="N216" i="2"/>
  <c r="N215" i="2"/>
  <c r="N214" i="2"/>
  <c r="N213" i="2"/>
  <c r="N212" i="2"/>
  <c r="P211" i="2"/>
  <c r="Q211" i="2" s="1"/>
  <c r="M210" i="2"/>
  <c r="M70" i="2" s="1"/>
  <c r="L210" i="2"/>
  <c r="L70" i="2" s="1"/>
  <c r="K210" i="2"/>
  <c r="K70" i="2" s="1"/>
  <c r="J70" i="2"/>
  <c r="G70" i="2"/>
  <c r="E70" i="2"/>
  <c r="N209" i="2"/>
  <c r="N208" i="2"/>
  <c r="N207" i="2"/>
  <c r="N206" i="2"/>
  <c r="P206" i="2" s="1"/>
  <c r="Q206" i="2" s="1"/>
  <c r="N205" i="2"/>
  <c r="N204" i="2"/>
  <c r="B44" i="18" s="1"/>
  <c r="N203" i="2"/>
  <c r="N202" i="2"/>
  <c r="N201" i="2"/>
  <c r="B41" i="18" s="1"/>
  <c r="I41" i="18" s="1"/>
  <c r="N200" i="2"/>
  <c r="P200" i="2" s="1"/>
  <c r="Q200" i="2" s="1"/>
  <c r="N199" i="2"/>
  <c r="B40" i="18" s="1"/>
  <c r="P198" i="2"/>
  <c r="Q198" i="2" s="1"/>
  <c r="M196" i="2"/>
  <c r="L196" i="2"/>
  <c r="K196" i="2"/>
  <c r="N190" i="2"/>
  <c r="N188" i="2"/>
  <c r="E187" i="2"/>
  <c r="E63" i="2" s="1"/>
  <c r="N186" i="2"/>
  <c r="P186" i="2" s="1"/>
  <c r="Q186" i="2" s="1"/>
  <c r="N185" i="2"/>
  <c r="P185" i="2" s="1"/>
  <c r="Q185" i="2" s="1"/>
  <c r="N184" i="2"/>
  <c r="P184" i="2" s="1"/>
  <c r="Q184" i="2" s="1"/>
  <c r="N183" i="2"/>
  <c r="P183" i="2" s="1"/>
  <c r="Q183" i="2" s="1"/>
  <c r="N182" i="2"/>
  <c r="N181" i="2"/>
  <c r="P181" i="2" s="1"/>
  <c r="Q181" i="2" s="1"/>
  <c r="N180" i="2"/>
  <c r="P180" i="2" s="1"/>
  <c r="Q180" i="2" s="1"/>
  <c r="N179" i="2"/>
  <c r="P179" i="2" s="1"/>
  <c r="Q179" i="2" s="1"/>
  <c r="N178" i="2"/>
  <c r="P178" i="2" s="1"/>
  <c r="Q178" i="2" s="1"/>
  <c r="N177" i="2"/>
  <c r="P177" i="2" s="1"/>
  <c r="Q177" i="2" s="1"/>
  <c r="N176" i="2"/>
  <c r="P176" i="2" s="1"/>
  <c r="Q176" i="2" s="1"/>
  <c r="N175" i="2"/>
  <c r="P175" i="2" s="1"/>
  <c r="Q175" i="2" s="1"/>
  <c r="N174" i="2"/>
  <c r="P174" i="2" s="1"/>
  <c r="Q174" i="2" s="1"/>
  <c r="N173" i="2"/>
  <c r="P173" i="2" s="1"/>
  <c r="Q173" i="2" s="1"/>
  <c r="E172" i="2"/>
  <c r="N171" i="2"/>
  <c r="P171" i="2" s="1"/>
  <c r="Q171" i="2" s="1"/>
  <c r="N170" i="2"/>
  <c r="P170" i="2" s="1"/>
  <c r="Q170" i="2" s="1"/>
  <c r="N169" i="2"/>
  <c r="P169" i="2" s="1"/>
  <c r="Q169" i="2" s="1"/>
  <c r="N168" i="2"/>
  <c r="N167" i="2"/>
  <c r="P167" i="2" s="1"/>
  <c r="Q167" i="2" s="1"/>
  <c r="N165" i="2"/>
  <c r="P165" i="2" s="1"/>
  <c r="Q165" i="2" s="1"/>
  <c r="N164" i="2"/>
  <c r="P164" i="2" s="1"/>
  <c r="Q164" i="2" s="1"/>
  <c r="N163" i="2"/>
  <c r="P163" i="2" s="1"/>
  <c r="Q163" i="2" s="1"/>
  <c r="N162" i="2"/>
  <c r="P162" i="2" s="1"/>
  <c r="Q162" i="2" s="1"/>
  <c r="N161" i="2"/>
  <c r="P161" i="2" s="1"/>
  <c r="Q161" i="2" s="1"/>
  <c r="N160" i="2"/>
  <c r="P160" i="2" s="1"/>
  <c r="Q160" i="2" s="1"/>
  <c r="N159" i="2"/>
  <c r="P159" i="2" s="1"/>
  <c r="Q159" i="2" s="1"/>
  <c r="N158" i="2"/>
  <c r="P158" i="2" s="1"/>
  <c r="Q158" i="2" s="1"/>
  <c r="N157" i="2"/>
  <c r="P157" i="2" s="1"/>
  <c r="Q157" i="2" s="1"/>
  <c r="N156" i="2"/>
  <c r="P156" i="2" s="1"/>
  <c r="Q156" i="2" s="1"/>
  <c r="N155" i="2"/>
  <c r="P155" i="2" s="1"/>
  <c r="Q155" i="2" s="1"/>
  <c r="N154" i="2"/>
  <c r="N153" i="2"/>
  <c r="P153" i="2" s="1"/>
  <c r="Q153" i="2" s="1"/>
  <c r="N152" i="2"/>
  <c r="P152" i="2" s="1"/>
  <c r="Q152" i="2" s="1"/>
  <c r="N151" i="2"/>
  <c r="P151" i="2" s="1"/>
  <c r="Q151" i="2" s="1"/>
  <c r="N150" i="2"/>
  <c r="P150" i="2" s="1"/>
  <c r="Q150" i="2" s="1"/>
  <c r="N149" i="2"/>
  <c r="P149" i="2" s="1"/>
  <c r="Q149" i="2" s="1"/>
  <c r="N148" i="2"/>
  <c r="P148" i="2" s="1"/>
  <c r="Q148" i="2" s="1"/>
  <c r="N147" i="2"/>
  <c r="P147" i="2" s="1"/>
  <c r="Q147" i="2" s="1"/>
  <c r="N146" i="2"/>
  <c r="P146" i="2" s="1"/>
  <c r="Q146" i="2" s="1"/>
  <c r="N145" i="2"/>
  <c r="P145" i="2" s="1"/>
  <c r="Q145" i="2" s="1"/>
  <c r="N144" i="2"/>
  <c r="N142" i="2"/>
  <c r="N141" i="2"/>
  <c r="P141" i="2" s="1"/>
  <c r="Q141" i="2" s="1"/>
  <c r="N139" i="2"/>
  <c r="N138" i="2"/>
  <c r="N137" i="2"/>
  <c r="N136" i="2"/>
  <c r="N130" i="2"/>
  <c r="N129" i="2"/>
  <c r="P128" i="2"/>
  <c r="Q128" i="2" s="1"/>
  <c r="M127" i="2"/>
  <c r="M197" i="2" s="1"/>
  <c r="L127" i="2"/>
  <c r="K127" i="2"/>
  <c r="J197" i="2"/>
  <c r="G197" i="2"/>
  <c r="F127" i="2"/>
  <c r="E127" i="2"/>
  <c r="D127" i="2"/>
  <c r="P122" i="2"/>
  <c r="Q122" i="2" s="1"/>
  <c r="P121" i="2"/>
  <c r="Q121" i="2" s="1"/>
  <c r="P120" i="2"/>
  <c r="Q120" i="2" s="1"/>
  <c r="P119" i="2"/>
  <c r="Q119" i="2" s="1"/>
  <c r="P118" i="2"/>
  <c r="Q118" i="2" s="1"/>
  <c r="P115" i="2"/>
  <c r="Q115" i="2" s="1"/>
  <c r="P114" i="2"/>
  <c r="Q114" i="2" s="1"/>
  <c r="P113" i="2"/>
  <c r="Q113" i="2" s="1"/>
  <c r="P111" i="2"/>
  <c r="Q111" i="2" s="1"/>
  <c r="P110" i="2"/>
  <c r="Q110" i="2" s="1"/>
  <c r="P109" i="2"/>
  <c r="Q109" i="2" s="1"/>
  <c r="P106" i="2"/>
  <c r="Q106" i="2" s="1"/>
  <c r="P105" i="2"/>
  <c r="Q105" i="2" s="1"/>
  <c r="P103" i="2"/>
  <c r="Q103" i="2" s="1"/>
  <c r="P102" i="2"/>
  <c r="Q102" i="2" s="1"/>
  <c r="P101" i="2"/>
  <c r="Q101" i="2" s="1"/>
  <c r="P100" i="2"/>
  <c r="Q100" i="2" s="1"/>
  <c r="P99" i="2"/>
  <c r="Q99" i="2" s="1"/>
  <c r="N98" i="2"/>
  <c r="P98" i="2" s="1"/>
  <c r="Q98" i="2" s="1"/>
  <c r="P97" i="2"/>
  <c r="Q97" i="2" s="1"/>
  <c r="P96" i="2"/>
  <c r="Q96" i="2" s="1"/>
  <c r="P95" i="2"/>
  <c r="Q95" i="2" s="1"/>
  <c r="F92" i="2"/>
  <c r="M91" i="2"/>
  <c r="L91" i="2"/>
  <c r="K91" i="2"/>
  <c r="J91" i="2"/>
  <c r="G91" i="2"/>
  <c r="F91" i="2"/>
  <c r="E91" i="2"/>
  <c r="D91" i="2"/>
  <c r="L90" i="2"/>
  <c r="K90" i="2"/>
  <c r="J90" i="2"/>
  <c r="G90" i="2"/>
  <c r="F90" i="2"/>
  <c r="E90" i="2"/>
  <c r="D90" i="2"/>
  <c r="G89" i="2"/>
  <c r="F89" i="2"/>
  <c r="E89" i="2"/>
  <c r="D89" i="2"/>
  <c r="F88" i="2"/>
  <c r="P87" i="2"/>
  <c r="Q87" i="2" s="1"/>
  <c r="P86" i="2"/>
  <c r="Q86" i="2" s="1"/>
  <c r="F84" i="2"/>
  <c r="F85" i="2" s="1"/>
  <c r="F83" i="2"/>
  <c r="P82" i="2"/>
  <c r="Q82" i="2" s="1"/>
  <c r="P81" i="2"/>
  <c r="Q81" i="2" s="1"/>
  <c r="P80" i="2"/>
  <c r="Q80" i="2" s="1"/>
  <c r="P78" i="2"/>
  <c r="Q78" i="2" s="1"/>
  <c r="P77" i="2"/>
  <c r="Q77" i="2" s="1"/>
  <c r="M74" i="2"/>
  <c r="L74" i="2"/>
  <c r="K74" i="2"/>
  <c r="J74" i="2"/>
  <c r="G74" i="2"/>
  <c r="F74" i="2"/>
  <c r="E74" i="2"/>
  <c r="D74" i="2"/>
  <c r="E73" i="2"/>
  <c r="G71" i="2"/>
  <c r="P69" i="2"/>
  <c r="Q69" i="2" s="1"/>
  <c r="M66" i="2"/>
  <c r="M92" i="2" s="1"/>
  <c r="L66" i="2"/>
  <c r="L92" i="2" s="1"/>
  <c r="K66" i="2"/>
  <c r="K92" i="2" s="1"/>
  <c r="J66" i="2"/>
  <c r="F66" i="2"/>
  <c r="E66" i="2"/>
  <c r="E92" i="2" s="1"/>
  <c r="D66" i="2"/>
  <c r="D92" i="2" s="1"/>
  <c r="N65" i="2"/>
  <c r="P65" i="2" s="1"/>
  <c r="Q65" i="2" s="1"/>
  <c r="M64" i="2"/>
  <c r="L64" i="2"/>
  <c r="K64" i="2"/>
  <c r="J64" i="2"/>
  <c r="F64" i="2"/>
  <c r="E64" i="2"/>
  <c r="D64" i="2"/>
  <c r="M63" i="2"/>
  <c r="L63" i="2"/>
  <c r="K63" i="2"/>
  <c r="J63" i="2"/>
  <c r="F63" i="2"/>
  <c r="D63" i="2"/>
  <c r="M62" i="2"/>
  <c r="L62" i="2"/>
  <c r="K62" i="2"/>
  <c r="J62" i="2"/>
  <c r="F62" i="2"/>
  <c r="E62" i="2"/>
  <c r="D62" i="2"/>
  <c r="M61" i="2"/>
  <c r="L61" i="2"/>
  <c r="K61" i="2"/>
  <c r="J61" i="2"/>
  <c r="E61" i="2"/>
  <c r="M60" i="2"/>
  <c r="L60" i="2"/>
  <c r="L89" i="2" s="1"/>
  <c r="K60" i="2"/>
  <c r="J89" i="2"/>
  <c r="F60" i="2"/>
  <c r="E60" i="2"/>
  <c r="D60" i="2"/>
  <c r="M59" i="2"/>
  <c r="L59" i="2"/>
  <c r="L88" i="2" s="1"/>
  <c r="K59" i="2"/>
  <c r="K88" i="2" s="1"/>
  <c r="J59" i="2"/>
  <c r="J88" i="2" s="1"/>
  <c r="F59" i="2"/>
  <c r="E59" i="2"/>
  <c r="E88" i="2" s="1"/>
  <c r="D59" i="2"/>
  <c r="D88" i="2" s="1"/>
  <c r="P58" i="2"/>
  <c r="Q58" i="2" s="1"/>
  <c r="M56" i="2"/>
  <c r="L56" i="2"/>
  <c r="K56" i="2"/>
  <c r="J56" i="2"/>
  <c r="F56" i="2"/>
  <c r="E56" i="2"/>
  <c r="D56" i="2"/>
  <c r="M55" i="2"/>
  <c r="L55" i="2"/>
  <c r="K55" i="2"/>
  <c r="J55" i="2"/>
  <c r="F55" i="2"/>
  <c r="E55" i="2"/>
  <c r="D55" i="2"/>
  <c r="M54" i="2"/>
  <c r="M84" i="2" s="1"/>
  <c r="L54" i="2"/>
  <c r="L84" i="2" s="1"/>
  <c r="K54" i="2"/>
  <c r="J54" i="2"/>
  <c r="I85" i="2"/>
  <c r="F54" i="2"/>
  <c r="E54" i="2"/>
  <c r="E84" i="2" s="1"/>
  <c r="D54" i="2"/>
  <c r="D84" i="2" s="1"/>
  <c r="M53" i="2"/>
  <c r="M83" i="2" s="1"/>
  <c r="L53" i="2"/>
  <c r="L83" i="2" s="1"/>
  <c r="K53" i="2"/>
  <c r="K83" i="2" s="1"/>
  <c r="J53" i="2"/>
  <c r="F53" i="2"/>
  <c r="E53" i="2"/>
  <c r="D53" i="2"/>
  <c r="D83" i="2" s="1"/>
  <c r="P52" i="2"/>
  <c r="Q52" i="2" s="1"/>
  <c r="P51" i="2"/>
  <c r="Q51" i="2" s="1"/>
  <c r="P50" i="2"/>
  <c r="Q50" i="2" s="1"/>
  <c r="P49" i="2"/>
  <c r="Q49" i="2" s="1"/>
  <c r="M47" i="2"/>
  <c r="L47" i="2"/>
  <c r="K47" i="2"/>
  <c r="F47" i="2"/>
  <c r="N44" i="2"/>
  <c r="P44" i="2" s="1"/>
  <c r="Q44" i="2" s="1"/>
  <c r="E43" i="2"/>
  <c r="D43" i="2"/>
  <c r="E40" i="2"/>
  <c r="D40" i="2"/>
  <c r="E39" i="2"/>
  <c r="D39" i="2"/>
  <c r="E38" i="2"/>
  <c r="D38" i="2"/>
  <c r="P37" i="2"/>
  <c r="Q37" i="2" s="1"/>
  <c r="M33" i="2"/>
  <c r="L33" i="2"/>
  <c r="K33" i="2"/>
  <c r="G33" i="2"/>
  <c r="F33" i="2"/>
  <c r="E33" i="2"/>
  <c r="D33" i="2"/>
  <c r="M32" i="2"/>
  <c r="L32" i="2"/>
  <c r="K32" i="2"/>
  <c r="G32" i="2"/>
  <c r="F32" i="2"/>
  <c r="E32" i="2"/>
  <c r="D32" i="2"/>
  <c r="P31" i="2"/>
  <c r="Q31" i="2" s="1"/>
  <c r="M30" i="2"/>
  <c r="L30" i="2"/>
  <c r="K30" i="2"/>
  <c r="F30" i="2"/>
  <c r="M29" i="2"/>
  <c r="L29" i="2"/>
  <c r="K29" i="2"/>
  <c r="G29" i="2"/>
  <c r="F29" i="2"/>
  <c r="E29" i="2"/>
  <c r="D29" i="2"/>
  <c r="M28" i="2"/>
  <c r="L28" i="2"/>
  <c r="K28" i="2"/>
  <c r="G28" i="2"/>
  <c r="F28" i="2"/>
  <c r="E28" i="2"/>
  <c r="D28" i="2"/>
  <c r="M27" i="2"/>
  <c r="L27" i="2"/>
  <c r="K27" i="2"/>
  <c r="G27" i="2"/>
  <c r="F27" i="2"/>
  <c r="E27" i="2"/>
  <c r="D27" i="2"/>
  <c r="P26" i="2"/>
  <c r="Q26" i="2" s="1"/>
  <c r="M25" i="2"/>
  <c r="L25" i="2"/>
  <c r="K25" i="2"/>
  <c r="G25" i="2"/>
  <c r="F25" i="2"/>
  <c r="E25" i="2"/>
  <c r="D25" i="2"/>
  <c r="M24" i="2"/>
  <c r="L24" i="2"/>
  <c r="K24" i="2"/>
  <c r="G24" i="2"/>
  <c r="F24" i="2"/>
  <c r="E24" i="2"/>
  <c r="D24" i="2"/>
  <c r="M23" i="2"/>
  <c r="L23" i="2"/>
  <c r="K23" i="2"/>
  <c r="G23" i="2"/>
  <c r="F23" i="2"/>
  <c r="E23" i="2"/>
  <c r="D23" i="2"/>
  <c r="M22" i="2"/>
  <c r="L22" i="2"/>
  <c r="K22" i="2"/>
  <c r="G22" i="2"/>
  <c r="F22" i="2"/>
  <c r="E22" i="2"/>
  <c r="D22" i="2"/>
  <c r="P21" i="2"/>
  <c r="Q21" i="2" s="1"/>
  <c r="M20" i="2"/>
  <c r="L20" i="2"/>
  <c r="K20" i="2"/>
  <c r="F20" i="2"/>
  <c r="E20" i="2"/>
  <c r="M18" i="2"/>
  <c r="L18" i="2"/>
  <c r="K18" i="2"/>
  <c r="F18" i="2"/>
  <c r="E18" i="2"/>
  <c r="D18" i="2"/>
  <c r="M17" i="2"/>
  <c r="L17" i="2"/>
  <c r="K17" i="2"/>
  <c r="G17" i="2"/>
  <c r="F17" i="2"/>
  <c r="E17" i="2"/>
  <c r="D17" i="2"/>
  <c r="M16" i="2"/>
  <c r="L16" i="2"/>
  <c r="K16" i="2"/>
  <c r="G16" i="2"/>
  <c r="F16" i="2"/>
  <c r="E16" i="2"/>
  <c r="D16" i="2"/>
  <c r="M15" i="2"/>
  <c r="L15" i="2"/>
  <c r="K15" i="2"/>
  <c r="G15" i="2"/>
  <c r="F15" i="2"/>
  <c r="E15" i="2"/>
  <c r="D15" i="2"/>
  <c r="M14" i="2"/>
  <c r="L14" i="2"/>
  <c r="K14" i="2"/>
  <c r="G14" i="2"/>
  <c r="F14" i="2"/>
  <c r="E14" i="2"/>
  <c r="D14" i="2"/>
  <c r="P13" i="2"/>
  <c r="Q13" i="2" s="1"/>
  <c r="P12" i="2"/>
  <c r="Q12" i="2" s="1"/>
  <c r="M10" i="2"/>
  <c r="L10" i="2"/>
  <c r="K10" i="2"/>
  <c r="G10" i="2"/>
  <c r="F10" i="2"/>
  <c r="E10" i="2"/>
  <c r="M9" i="2"/>
  <c r="L9" i="2"/>
  <c r="K9" i="2"/>
  <c r="G9" i="2"/>
  <c r="F9" i="2"/>
  <c r="E9" i="2"/>
  <c r="D9" i="2"/>
  <c r="M8" i="2"/>
  <c r="L8" i="2"/>
  <c r="K8" i="2"/>
  <c r="F8" i="2"/>
  <c r="E8" i="2"/>
  <c r="D8" i="2"/>
  <c r="M7" i="2"/>
  <c r="L7" i="2"/>
  <c r="K7" i="2"/>
  <c r="G7" i="2"/>
  <c r="F7" i="2"/>
  <c r="E7" i="2"/>
  <c r="D7" i="2"/>
  <c r="M6" i="2"/>
  <c r="L6" i="2"/>
  <c r="K6" i="2"/>
  <c r="G6" i="2"/>
  <c r="F6" i="2"/>
  <c r="E6" i="2"/>
  <c r="D6" i="2"/>
  <c r="M5" i="2"/>
  <c r="L5" i="2"/>
  <c r="K5" i="2"/>
  <c r="G5" i="2"/>
  <c r="E5" i="2"/>
  <c r="D5" i="2"/>
  <c r="E263" i="2"/>
  <c r="E72" i="2" s="1"/>
  <c r="N172" i="2"/>
  <c r="P172" i="2" s="1"/>
  <c r="Q172" i="2" s="1"/>
  <c r="K197" i="2"/>
  <c r="P266" i="2"/>
  <c r="Q266" i="2" s="1"/>
  <c r="B101" i="12"/>
  <c r="B92" i="11" s="1"/>
  <c r="B56" i="16" s="1"/>
  <c r="D90" i="12"/>
  <c r="D81" i="11"/>
  <c r="D47" i="16" s="1"/>
  <c r="D67" i="12"/>
  <c r="D60" i="11"/>
  <c r="D31" i="16" s="1"/>
  <c r="D62" i="12"/>
  <c r="D54" i="11"/>
  <c r="D27" i="16" s="1"/>
  <c r="D57" i="12"/>
  <c r="D49" i="11"/>
  <c r="D87" i="12"/>
  <c r="B25" i="5"/>
  <c r="N244" i="2"/>
  <c r="I57" i="2"/>
  <c r="I93" i="2"/>
  <c r="M88" i="2"/>
  <c r="I37" i="12"/>
  <c r="D38" i="6" l="1"/>
  <c r="C22" i="18"/>
  <c r="K43" i="10"/>
  <c r="F63" i="18" s="1"/>
  <c r="I63" i="18" s="1"/>
  <c r="C27" i="18"/>
  <c r="J61" i="6"/>
  <c r="F46" i="18"/>
  <c r="E27" i="11"/>
  <c r="E38" i="6"/>
  <c r="G27" i="11"/>
  <c r="B68" i="5"/>
  <c r="B42" i="12"/>
  <c r="B34" i="11" s="1"/>
  <c r="B42" i="18"/>
  <c r="B57" i="18"/>
  <c r="I57" i="18" s="1"/>
  <c r="B57" i="12"/>
  <c r="B49" i="11" s="1"/>
  <c r="P237" i="2"/>
  <c r="Q237" i="2" s="1"/>
  <c r="B90" i="18"/>
  <c r="I90" i="18" s="1"/>
  <c r="B90" i="12"/>
  <c r="B81" i="11" s="1"/>
  <c r="B47" i="16" s="1"/>
  <c r="B72" i="18"/>
  <c r="B72" i="12"/>
  <c r="B64" i="11" s="1"/>
  <c r="E106" i="12"/>
  <c r="E106" i="18"/>
  <c r="F90" i="12"/>
  <c r="F90" i="18"/>
  <c r="X86" i="18"/>
  <c r="AB86" i="18"/>
  <c r="B112" i="12"/>
  <c r="B112" i="18"/>
  <c r="I112" i="18" s="1"/>
  <c r="X112" i="18" s="1"/>
  <c r="H101" i="18"/>
  <c r="H114" i="18" s="1"/>
  <c r="H92" i="11"/>
  <c r="H56" i="16"/>
  <c r="H101" i="12"/>
  <c r="D45" i="12"/>
  <c r="D45" i="18"/>
  <c r="D53" i="11"/>
  <c r="D26" i="16" s="1"/>
  <c r="D61" i="18"/>
  <c r="D79" i="12"/>
  <c r="D79" i="18"/>
  <c r="E79" i="12"/>
  <c r="E79" i="18"/>
  <c r="E96" i="18" s="1"/>
  <c r="E98" i="18" s="1"/>
  <c r="B26" i="12"/>
  <c r="B18" i="11" s="1"/>
  <c r="B26" i="18"/>
  <c r="B43" i="12"/>
  <c r="B35" i="11" s="1"/>
  <c r="B43" i="18"/>
  <c r="P207" i="2"/>
  <c r="Q207" i="2" s="1"/>
  <c r="B46" i="18"/>
  <c r="B53" i="18"/>
  <c r="B53" i="12"/>
  <c r="B45" i="11" s="1"/>
  <c r="P219" i="2"/>
  <c r="Q219" i="2" s="1"/>
  <c r="B58" i="18"/>
  <c r="B58" i="12"/>
  <c r="B50" i="11" s="1"/>
  <c r="P223" i="2"/>
  <c r="Q223" i="2" s="1"/>
  <c r="B64" i="12"/>
  <c r="B57" i="11" s="1"/>
  <c r="B64" i="18"/>
  <c r="P234" i="2"/>
  <c r="Q234" i="2" s="1"/>
  <c r="B48" i="18"/>
  <c r="B81" i="12"/>
  <c r="B72" i="11" s="1"/>
  <c r="B81" i="18"/>
  <c r="I81" i="18" s="1"/>
  <c r="P246" i="2"/>
  <c r="Q246" i="2" s="1"/>
  <c r="B88" i="18"/>
  <c r="B93" i="12"/>
  <c r="I93" i="12" s="1"/>
  <c r="B93" i="18"/>
  <c r="I93" i="18" s="1"/>
  <c r="F66" i="5"/>
  <c r="C59" i="18"/>
  <c r="C59" i="12"/>
  <c r="C94" i="11"/>
  <c r="I94" i="11" s="1"/>
  <c r="C103" i="18"/>
  <c r="B56" i="10"/>
  <c r="B72" i="10" s="1"/>
  <c r="F52" i="12"/>
  <c r="F52" i="18"/>
  <c r="F69" i="12"/>
  <c r="F69" i="18"/>
  <c r="F59" i="18"/>
  <c r="F53" i="12"/>
  <c r="F53" i="18"/>
  <c r="F88" i="12"/>
  <c r="F88" i="18"/>
  <c r="F71" i="11"/>
  <c r="F41" i="16" s="1"/>
  <c r="F80" i="18"/>
  <c r="I80" i="18" s="1"/>
  <c r="F107" i="18"/>
  <c r="C32" i="18"/>
  <c r="C83" i="12"/>
  <c r="C83" i="18"/>
  <c r="B82" i="12"/>
  <c r="B73" i="11" s="1"/>
  <c r="B82" i="18"/>
  <c r="B109" i="12"/>
  <c r="B109" i="18"/>
  <c r="I109" i="18" s="1"/>
  <c r="D36" i="11"/>
  <c r="D44" i="18"/>
  <c r="I44" i="18" s="1"/>
  <c r="D64" i="11"/>
  <c r="D72" i="18"/>
  <c r="D71" i="12"/>
  <c r="D71" i="18"/>
  <c r="D52" i="11"/>
  <c r="D60" i="18"/>
  <c r="D92" i="11"/>
  <c r="D101" i="18"/>
  <c r="F20" i="10"/>
  <c r="B73" i="18"/>
  <c r="B73" i="12"/>
  <c r="B65" i="11" s="1"/>
  <c r="P222" i="2"/>
  <c r="Q222" i="2" s="1"/>
  <c r="B62" i="18"/>
  <c r="B62" i="12"/>
  <c r="C130" i="12" s="1"/>
  <c r="P249" i="2"/>
  <c r="Q249" i="2" s="1"/>
  <c r="B92" i="18"/>
  <c r="I92" i="18" s="1"/>
  <c r="C18" i="12"/>
  <c r="C10" i="11" s="1"/>
  <c r="C18" i="18"/>
  <c r="I18" i="18" s="1"/>
  <c r="AD63" i="18"/>
  <c r="AF63" i="18" s="1"/>
  <c r="X63" i="18"/>
  <c r="AB63" i="18"/>
  <c r="F32" i="12"/>
  <c r="F33" i="12" s="1"/>
  <c r="F24" i="15" s="1"/>
  <c r="F25" i="15" s="1"/>
  <c r="F9" i="16" s="1"/>
  <c r="F32" i="18"/>
  <c r="F33" i="18" s="1"/>
  <c r="B84" i="12"/>
  <c r="B132" i="12" s="1"/>
  <c r="B84" i="18"/>
  <c r="D65" i="11"/>
  <c r="D73" i="18"/>
  <c r="D56" i="12"/>
  <c r="D56" i="18"/>
  <c r="D75" i="11"/>
  <c r="D84" i="18"/>
  <c r="B27" i="12"/>
  <c r="B19" i="11" s="1"/>
  <c r="B27" i="18"/>
  <c r="P208" i="2"/>
  <c r="Q208" i="2" s="1"/>
  <c r="B47" i="18"/>
  <c r="I47" i="18" s="1"/>
  <c r="P215" i="2"/>
  <c r="Q215" i="2" s="1"/>
  <c r="B54" i="18"/>
  <c r="I54" i="18" s="1"/>
  <c r="B54" i="12"/>
  <c r="B46" i="11" s="1"/>
  <c r="P220" i="2"/>
  <c r="Q220" i="2" s="1"/>
  <c r="B60" i="18"/>
  <c r="B60" i="12"/>
  <c r="B52" i="11" s="1"/>
  <c r="B65" i="18"/>
  <c r="B65" i="12"/>
  <c r="B58" i="11" s="1"/>
  <c r="B77" i="12"/>
  <c r="B69" i="11" s="1"/>
  <c r="B77" i="18"/>
  <c r="B91" i="12"/>
  <c r="B82" i="11" s="1"/>
  <c r="B91" i="18"/>
  <c r="P251" i="2"/>
  <c r="Q251" i="2" s="1"/>
  <c r="B94" i="18"/>
  <c r="I94" i="18" s="1"/>
  <c r="P271" i="2"/>
  <c r="Q271" i="2" s="1"/>
  <c r="B107" i="18"/>
  <c r="D68" i="5"/>
  <c r="B61" i="6"/>
  <c r="C67" i="12"/>
  <c r="C67" i="18"/>
  <c r="C79" i="11"/>
  <c r="C45" i="16" s="1"/>
  <c r="C88" i="18"/>
  <c r="C73" i="12"/>
  <c r="C73" i="18"/>
  <c r="F44" i="12"/>
  <c r="F44" i="18"/>
  <c r="F64" i="11"/>
  <c r="F72" i="18"/>
  <c r="F62" i="12"/>
  <c r="I62" i="12" s="1"/>
  <c r="X62" i="12" s="1"/>
  <c r="F62" i="18"/>
  <c r="F48" i="16"/>
  <c r="F91" i="18"/>
  <c r="F79" i="12"/>
  <c r="F79" i="18"/>
  <c r="F108" i="12"/>
  <c r="F108" i="18"/>
  <c r="C29" i="12"/>
  <c r="C29" i="18"/>
  <c r="C82" i="12"/>
  <c r="C82" i="18"/>
  <c r="E98" i="11"/>
  <c r="E59" i="16" s="1"/>
  <c r="E107" i="18"/>
  <c r="K16" i="14"/>
  <c r="G82" i="18"/>
  <c r="G96" i="18" s="1"/>
  <c r="G98" i="18" s="1"/>
  <c r="G99" i="11"/>
  <c r="G57" i="16" s="1"/>
  <c r="G108" i="18"/>
  <c r="C19" i="16"/>
  <c r="C29" i="17"/>
  <c r="B19" i="17"/>
  <c r="B29" i="17" s="1"/>
  <c r="C19" i="17"/>
  <c r="D43" i="12"/>
  <c r="D43" i="18"/>
  <c r="D62" i="11"/>
  <c r="D70" i="18"/>
  <c r="D64" i="12"/>
  <c r="D64" i="18"/>
  <c r="D58" i="12"/>
  <c r="D58" i="18"/>
  <c r="D88" i="12"/>
  <c r="D88" i="18"/>
  <c r="D78" i="11"/>
  <c r="D44" i="16" s="1"/>
  <c r="D87" i="18"/>
  <c r="D106" i="12"/>
  <c r="D106" i="18"/>
  <c r="I106" i="18" s="1"/>
  <c r="F29" i="17"/>
  <c r="B29" i="18"/>
  <c r="I29" i="18" s="1"/>
  <c r="B29" i="12"/>
  <c r="B21" i="11" s="1"/>
  <c r="B67" i="18"/>
  <c r="I67" i="18" s="1"/>
  <c r="B67" i="12"/>
  <c r="B60" i="11" s="1"/>
  <c r="N263" i="2"/>
  <c r="B78" i="18"/>
  <c r="I78" i="18" s="1"/>
  <c r="B68" i="18"/>
  <c r="I68" i="18" s="1"/>
  <c r="B68" i="12"/>
  <c r="B61" i="11" s="1"/>
  <c r="B105" i="12"/>
  <c r="B105" i="18"/>
  <c r="I105" i="18" s="1"/>
  <c r="F42" i="12"/>
  <c r="I42" i="12" s="1"/>
  <c r="X42" i="12" s="1"/>
  <c r="F42" i="18"/>
  <c r="F60" i="11"/>
  <c r="F31" i="16" s="1"/>
  <c r="F67" i="18"/>
  <c r="F60" i="12"/>
  <c r="F60" i="18"/>
  <c r="F73" i="11"/>
  <c r="F82" i="18"/>
  <c r="I27" i="18"/>
  <c r="B69" i="18"/>
  <c r="B69" i="12"/>
  <c r="B55" i="11" s="1"/>
  <c r="B28" i="16" s="1"/>
  <c r="D65" i="12"/>
  <c r="I65" i="12" s="1"/>
  <c r="AB65" i="12" s="1"/>
  <c r="D65" i="18"/>
  <c r="D83" i="12"/>
  <c r="D83" i="18"/>
  <c r="P244" i="2"/>
  <c r="Q244" i="2" s="1"/>
  <c r="B70" i="18"/>
  <c r="B70" i="12"/>
  <c r="C131" i="12" s="1"/>
  <c r="B28" i="18"/>
  <c r="B28" i="12"/>
  <c r="B20" i="11" s="1"/>
  <c r="B30" i="12"/>
  <c r="B22" i="11" s="1"/>
  <c r="B30" i="18"/>
  <c r="I30" i="18" s="1"/>
  <c r="B31" i="18"/>
  <c r="I31" i="18" s="1"/>
  <c r="B31" i="12"/>
  <c r="B23" i="11" s="1"/>
  <c r="I23" i="11" s="1"/>
  <c r="AB41" i="18"/>
  <c r="AD41" i="18"/>
  <c r="AF41" i="18" s="1"/>
  <c r="X41" i="18"/>
  <c r="P205" i="2"/>
  <c r="Q205" i="2" s="1"/>
  <c r="B45" i="18"/>
  <c r="B52" i="18"/>
  <c r="B52" i="12"/>
  <c r="B44" i="11" s="1"/>
  <c r="B55" i="18"/>
  <c r="I55" i="18" s="1"/>
  <c r="B55" i="12"/>
  <c r="B47" i="11" s="1"/>
  <c r="P221" i="2"/>
  <c r="Q221" i="2" s="1"/>
  <c r="B61" i="18"/>
  <c r="I61" i="18" s="1"/>
  <c r="B61" i="12"/>
  <c r="B53" i="11" s="1"/>
  <c r="I53" i="11" s="1"/>
  <c r="B66" i="18"/>
  <c r="I66" i="18" s="1"/>
  <c r="B66" i="12"/>
  <c r="B59" i="11" s="1"/>
  <c r="B32" i="16" s="1"/>
  <c r="I32" i="16" s="1"/>
  <c r="P236" i="2"/>
  <c r="Q236" i="2" s="1"/>
  <c r="B79" i="18"/>
  <c r="P248" i="2"/>
  <c r="Q248" i="2" s="1"/>
  <c r="B71" i="18"/>
  <c r="B71" i="12"/>
  <c r="C129" i="12" s="1"/>
  <c r="X95" i="18"/>
  <c r="AB95" i="18"/>
  <c r="B135" i="18"/>
  <c r="I102" i="18"/>
  <c r="P272" i="2"/>
  <c r="Q272" i="2" s="1"/>
  <c r="B108" i="18"/>
  <c r="I108" i="18" s="1"/>
  <c r="C9" i="11"/>
  <c r="I9" i="11" s="1"/>
  <c r="C17" i="18"/>
  <c r="C17" i="12"/>
  <c r="C70" i="11"/>
  <c r="C40" i="16" s="1"/>
  <c r="C79" i="18"/>
  <c r="C96" i="18" s="1"/>
  <c r="F43" i="12"/>
  <c r="F43" i="18"/>
  <c r="F64" i="12"/>
  <c r="F64" i="18"/>
  <c r="F56" i="12"/>
  <c r="F56" i="18"/>
  <c r="F73" i="12"/>
  <c r="F73" i="18"/>
  <c r="F78" i="11"/>
  <c r="F87" i="18"/>
  <c r="F101" i="12"/>
  <c r="F101" i="18"/>
  <c r="F114" i="18" s="1"/>
  <c r="C28" i="18"/>
  <c r="C95" i="11"/>
  <c r="C104" i="18"/>
  <c r="I104" i="18" s="1"/>
  <c r="B85" i="12"/>
  <c r="I85" i="12" s="1"/>
  <c r="AB85" i="12" s="1"/>
  <c r="B85" i="18"/>
  <c r="G107" i="12"/>
  <c r="G107" i="18"/>
  <c r="G97" i="11"/>
  <c r="G58" i="16" s="1"/>
  <c r="G106" i="18"/>
  <c r="E19" i="17"/>
  <c r="E29" i="17" s="1"/>
  <c r="H55" i="11"/>
  <c r="H69" i="18"/>
  <c r="H74" i="18" s="1"/>
  <c r="H98" i="18" s="1"/>
  <c r="H116" i="18" s="1"/>
  <c r="H79" i="12"/>
  <c r="H96" i="12" s="1"/>
  <c r="H32" i="15" s="1"/>
  <c r="H79" i="18"/>
  <c r="H96" i="18" s="1"/>
  <c r="D40" i="12"/>
  <c r="D40" i="18"/>
  <c r="I40" i="18" s="1"/>
  <c r="D42" i="12"/>
  <c r="D42" i="18"/>
  <c r="F18" i="14"/>
  <c r="F28" i="14" s="1"/>
  <c r="Q27" i="15"/>
  <c r="G35" i="12"/>
  <c r="I109" i="12"/>
  <c r="X109" i="12" s="1"/>
  <c r="B100" i="11"/>
  <c r="I100" i="11" s="1"/>
  <c r="I105" i="12"/>
  <c r="AB105" i="12" s="1"/>
  <c r="B96" i="11"/>
  <c r="I112" i="12"/>
  <c r="X112" i="12" s="1"/>
  <c r="B103" i="11"/>
  <c r="I103" i="11" s="1"/>
  <c r="C8" i="11"/>
  <c r="B76" i="11"/>
  <c r="I76" i="11" s="1"/>
  <c r="P130" i="2"/>
  <c r="Q130" i="2" s="1"/>
  <c r="P144" i="2"/>
  <c r="Q144" i="2" s="1"/>
  <c r="P136" i="2"/>
  <c r="Q136" i="2" s="1"/>
  <c r="P182" i="2"/>
  <c r="Q182" i="2" s="1"/>
  <c r="P137" i="2"/>
  <c r="Q137" i="2" s="1"/>
  <c r="P154" i="2"/>
  <c r="Q154" i="2" s="1"/>
  <c r="B106" i="12"/>
  <c r="B97" i="11" s="1"/>
  <c r="B58" i="16" s="1"/>
  <c r="N231" i="2"/>
  <c r="P231" i="2" s="1"/>
  <c r="Q231" i="2" s="1"/>
  <c r="B102" i="12"/>
  <c r="B135" i="12" s="1"/>
  <c r="N278" i="2"/>
  <c r="E196" i="2"/>
  <c r="E197" i="2" s="1"/>
  <c r="E280" i="2" s="1"/>
  <c r="N187" i="2"/>
  <c r="P187" i="2" s="1"/>
  <c r="Q187" i="2" s="1"/>
  <c r="P252" i="2"/>
  <c r="Q252" i="2" s="1"/>
  <c r="B87" i="12"/>
  <c r="B78" i="11" s="1"/>
  <c r="B44" i="16" s="1"/>
  <c r="C22" i="12"/>
  <c r="C14" i="11" s="1"/>
  <c r="S35" i="12"/>
  <c r="J18" i="14"/>
  <c r="G69" i="12"/>
  <c r="G74" i="12" s="1"/>
  <c r="K12" i="14"/>
  <c r="F59" i="12"/>
  <c r="I59" i="12" s="1"/>
  <c r="X59" i="12" s="1"/>
  <c r="E70" i="11"/>
  <c r="E74" i="11"/>
  <c r="E84" i="12"/>
  <c r="E75" i="11"/>
  <c r="E82" i="12"/>
  <c r="C32" i="12"/>
  <c r="C79" i="12"/>
  <c r="D70" i="12"/>
  <c r="I70" i="12" s="1"/>
  <c r="X70" i="12" s="1"/>
  <c r="D70" i="11"/>
  <c r="D40" i="16" s="1"/>
  <c r="D61" i="12"/>
  <c r="D37" i="11"/>
  <c r="C88" i="12"/>
  <c r="K17" i="6"/>
  <c r="D61" i="6"/>
  <c r="E61" i="6"/>
  <c r="C19" i="12"/>
  <c r="C11" i="11" s="1"/>
  <c r="K13" i="7"/>
  <c r="J20" i="7"/>
  <c r="G101" i="12"/>
  <c r="H70" i="11"/>
  <c r="H40" i="16" s="1"/>
  <c r="H51" i="16" s="1"/>
  <c r="D75" i="2"/>
  <c r="P238" i="2"/>
  <c r="Q238" i="2" s="1"/>
  <c r="D47" i="2"/>
  <c r="B78" i="12"/>
  <c r="I78" i="12" s="1"/>
  <c r="AD78" i="12" s="1"/>
  <c r="AF78" i="12" s="1"/>
  <c r="P263" i="2"/>
  <c r="Q263" i="2" s="1"/>
  <c r="N43" i="2"/>
  <c r="P43" i="2" s="1"/>
  <c r="Q43" i="2" s="1"/>
  <c r="B107" i="12"/>
  <c r="B98" i="11" s="1"/>
  <c r="B59" i="16" s="1"/>
  <c r="B48" i="12"/>
  <c r="E11" i="2"/>
  <c r="P129" i="2"/>
  <c r="Q129" i="2" s="1"/>
  <c r="N18" i="2"/>
  <c r="P18" i="2" s="1"/>
  <c r="Q18" i="2" s="1"/>
  <c r="N53" i="2"/>
  <c r="P53" i="2" s="1"/>
  <c r="Q53" i="2" s="1"/>
  <c r="F197" i="2"/>
  <c r="F280" i="2" s="1"/>
  <c r="C197" i="2"/>
  <c r="C280" i="2" s="1"/>
  <c r="G11" i="2"/>
  <c r="J280" i="2"/>
  <c r="K75" i="2"/>
  <c r="B48" i="16"/>
  <c r="I48" i="16" s="1"/>
  <c r="D57" i="2"/>
  <c r="F93" i="2"/>
  <c r="F94" i="2" s="1"/>
  <c r="L75" i="2"/>
  <c r="B31" i="16"/>
  <c r="N9" i="2"/>
  <c r="P9" i="2" s="1"/>
  <c r="Q9" i="2" s="1"/>
  <c r="M75" i="2"/>
  <c r="C67" i="2"/>
  <c r="N39" i="2"/>
  <c r="P39" i="2" s="1"/>
  <c r="Q39" i="2" s="1"/>
  <c r="B17" i="16"/>
  <c r="M280" i="2"/>
  <c r="P202" i="2"/>
  <c r="Q202" i="2" s="1"/>
  <c r="D53" i="12"/>
  <c r="D45" i="11"/>
  <c r="D23" i="16" s="1"/>
  <c r="D75" i="5"/>
  <c r="D78" i="5" s="1"/>
  <c r="B57" i="2"/>
  <c r="B63" i="6"/>
  <c r="K280" i="2"/>
  <c r="D61" i="2"/>
  <c r="D67" i="2" s="1"/>
  <c r="D93" i="2"/>
  <c r="F72" i="12"/>
  <c r="P98" i="12"/>
  <c r="D18" i="14"/>
  <c r="D28" i="14" s="1"/>
  <c r="H27" i="11"/>
  <c r="D29" i="17"/>
  <c r="G19" i="16"/>
  <c r="D50" i="11"/>
  <c r="I64" i="11"/>
  <c r="N66" i="2"/>
  <c r="P66" i="2" s="1"/>
  <c r="Q66" i="2" s="1"/>
  <c r="N143" i="2"/>
  <c r="K38" i="5"/>
  <c r="D52" i="18" s="1"/>
  <c r="D74" i="18" s="1"/>
  <c r="F82" i="11"/>
  <c r="F79" i="11"/>
  <c r="F45" i="16" s="1"/>
  <c r="E20" i="7"/>
  <c r="F53" i="5"/>
  <c r="B18" i="14"/>
  <c r="B28" i="14" s="1"/>
  <c r="G38" i="6"/>
  <c r="M57" i="2"/>
  <c r="P253" i="2"/>
  <c r="Q253" i="2" s="1"/>
  <c r="B93" i="2"/>
  <c r="C20" i="7"/>
  <c r="F57" i="11"/>
  <c r="I41" i="16"/>
  <c r="F72" i="10"/>
  <c r="F82" i="10" s="1"/>
  <c r="F85" i="10" s="1"/>
  <c r="L20" i="15"/>
  <c r="L21" i="15" s="1"/>
  <c r="T25" i="12"/>
  <c r="Z25" i="12" s="1"/>
  <c r="N27" i="15"/>
  <c r="O35" i="12"/>
  <c r="I96" i="11"/>
  <c r="B42" i="16"/>
  <c r="B88" i="12"/>
  <c r="B79" i="11" s="1"/>
  <c r="B45" i="16" s="1"/>
  <c r="B92" i="12"/>
  <c r="P250" i="2"/>
  <c r="Q250" i="2" s="1"/>
  <c r="P242" i="2"/>
  <c r="Q242" i="2" s="1"/>
  <c r="B95" i="12"/>
  <c r="P233" i="2"/>
  <c r="Q233" i="2" s="1"/>
  <c r="I66" i="12"/>
  <c r="AB66" i="12" s="1"/>
  <c r="C75" i="2"/>
  <c r="B41" i="12"/>
  <c r="P270" i="2"/>
  <c r="Q270" i="2" s="1"/>
  <c r="M67" i="2"/>
  <c r="N23" i="2"/>
  <c r="P23" i="2" s="1"/>
  <c r="Q23" i="2" s="1"/>
  <c r="B75" i="2"/>
  <c r="I94" i="2"/>
  <c r="N56" i="2"/>
  <c r="P56" i="2" s="1"/>
  <c r="Q56" i="2" s="1"/>
  <c r="J67" i="2"/>
  <c r="B45" i="12"/>
  <c r="B37" i="11" s="1"/>
  <c r="N24" i="2"/>
  <c r="P24" i="2" s="1"/>
  <c r="Q24" i="2" s="1"/>
  <c r="N32" i="2"/>
  <c r="P32" i="2" s="1"/>
  <c r="Q32" i="2" s="1"/>
  <c r="J92" i="2"/>
  <c r="J93" i="2" s="1"/>
  <c r="L197" i="2"/>
  <c r="L280" i="2" s="1"/>
  <c r="D197" i="2"/>
  <c r="D280" i="2" s="1"/>
  <c r="J19" i="17"/>
  <c r="J29" i="17" s="1"/>
  <c r="K27" i="17"/>
  <c r="H61" i="16"/>
  <c r="H114" i="12"/>
  <c r="H35" i="15" s="1"/>
  <c r="H105" i="11"/>
  <c r="G98" i="11"/>
  <c r="G59" i="16" s="1"/>
  <c r="G92" i="11"/>
  <c r="G56" i="16" s="1"/>
  <c r="G60" i="11"/>
  <c r="G31" i="16" s="1"/>
  <c r="G36" i="16" s="1"/>
  <c r="G43" i="16"/>
  <c r="G51" i="16" s="1"/>
  <c r="K80" i="10"/>
  <c r="F70" i="11"/>
  <c r="F40" i="16" s="1"/>
  <c r="F67" i="12"/>
  <c r="F52" i="11"/>
  <c r="F25" i="16" s="1"/>
  <c r="F44" i="11"/>
  <c r="F22" i="16" s="1"/>
  <c r="C72" i="10"/>
  <c r="C82" i="10" s="1"/>
  <c r="C85" i="10" s="1"/>
  <c r="E72" i="10"/>
  <c r="E82" i="10" s="1"/>
  <c r="E85" i="10" s="1"/>
  <c r="I56" i="12"/>
  <c r="AD56" i="12" s="1"/>
  <c r="AF56" i="12" s="1"/>
  <c r="D20" i="10"/>
  <c r="B82" i="10"/>
  <c r="B85" i="10" s="1"/>
  <c r="F34" i="11"/>
  <c r="F17" i="16" s="1"/>
  <c r="J20" i="10"/>
  <c r="E107" i="12"/>
  <c r="K18" i="7"/>
  <c r="E97" i="11"/>
  <c r="C103" i="12"/>
  <c r="C135" i="12" s="1"/>
  <c r="C65" i="11"/>
  <c r="C35" i="16" s="1"/>
  <c r="C27" i="12"/>
  <c r="C69" i="12"/>
  <c r="C60" i="16"/>
  <c r="I60" i="16" s="1"/>
  <c r="C73" i="11"/>
  <c r="C50" i="11"/>
  <c r="K59" i="6"/>
  <c r="C61" i="6"/>
  <c r="K53" i="6"/>
  <c r="D63" i="6"/>
  <c r="C60" i="11"/>
  <c r="C31" i="16" s="1"/>
  <c r="C24" i="11"/>
  <c r="K44" i="6"/>
  <c r="G61" i="6"/>
  <c r="C38" i="6"/>
  <c r="D97" i="11"/>
  <c r="D58" i="16" s="1"/>
  <c r="D57" i="11"/>
  <c r="D29" i="16" s="1"/>
  <c r="D35" i="11"/>
  <c r="D79" i="11"/>
  <c r="D45" i="16" s="1"/>
  <c r="F25" i="5"/>
  <c r="I90" i="12"/>
  <c r="X90" i="12" s="1"/>
  <c r="E25" i="5"/>
  <c r="T33" i="12"/>
  <c r="U26" i="12" s="1"/>
  <c r="N35" i="12"/>
  <c r="R33" i="15"/>
  <c r="M33" i="15"/>
  <c r="N98" i="12"/>
  <c r="S98" i="12"/>
  <c r="N33" i="15"/>
  <c r="O98" i="12"/>
  <c r="T96" i="12"/>
  <c r="Z96" i="12" s="1"/>
  <c r="S32" i="15"/>
  <c r="Y32" i="15" s="1"/>
  <c r="T49" i="12"/>
  <c r="U46" i="12" s="1"/>
  <c r="M98" i="12"/>
  <c r="L24" i="15"/>
  <c r="L25" i="15" s="1"/>
  <c r="S25" i="15" s="1"/>
  <c r="Y25" i="15" s="1"/>
  <c r="M35" i="12"/>
  <c r="F11" i="2"/>
  <c r="B280" i="2"/>
  <c r="B110" i="12"/>
  <c r="B101" i="11" s="1"/>
  <c r="I101" i="11" s="1"/>
  <c r="H19" i="16"/>
  <c r="E36" i="16"/>
  <c r="O33" i="15"/>
  <c r="M27" i="15"/>
  <c r="R27" i="15"/>
  <c r="P225" i="2"/>
  <c r="Q225" i="2" s="1"/>
  <c r="B89" i="12"/>
  <c r="P201" i="2"/>
  <c r="Q201" i="2" s="1"/>
  <c r="P267" i="2"/>
  <c r="Q267" i="2" s="1"/>
  <c r="P243" i="2"/>
  <c r="Q243" i="2" s="1"/>
  <c r="D85" i="2"/>
  <c r="I17" i="12"/>
  <c r="AB17" i="12" s="1"/>
  <c r="B111" i="12"/>
  <c r="B94" i="12"/>
  <c r="B108" i="12"/>
  <c r="P216" i="2"/>
  <c r="Q216" i="2" s="1"/>
  <c r="B22" i="16"/>
  <c r="P204" i="2"/>
  <c r="Q204" i="2" s="1"/>
  <c r="I57" i="12"/>
  <c r="AD57" i="12" s="1"/>
  <c r="AF57" i="12" s="1"/>
  <c r="G85" i="2"/>
  <c r="I59" i="11"/>
  <c r="I22" i="11"/>
  <c r="C34" i="2"/>
  <c r="N14" i="2"/>
  <c r="P14" i="2" s="1"/>
  <c r="Q14" i="2" s="1"/>
  <c r="B44" i="12"/>
  <c r="B36" i="11" s="1"/>
  <c r="L85" i="2"/>
  <c r="B85" i="2"/>
  <c r="N29" i="2"/>
  <c r="P29" i="2" s="1"/>
  <c r="Q29" i="2" s="1"/>
  <c r="N30" i="2"/>
  <c r="P30" i="2" s="1"/>
  <c r="Q30" i="2" s="1"/>
  <c r="P117" i="2"/>
  <c r="Q117" i="2" s="1"/>
  <c r="G47" i="2"/>
  <c r="D44" i="12"/>
  <c r="D56" i="16"/>
  <c r="D101" i="12"/>
  <c r="K66" i="5"/>
  <c r="D69" i="11"/>
  <c r="D39" i="16" s="1"/>
  <c r="D77" i="12"/>
  <c r="D72" i="12"/>
  <c r="D60" i="12"/>
  <c r="D34" i="11"/>
  <c r="D17" i="16" s="1"/>
  <c r="D32" i="11"/>
  <c r="D16" i="16" s="1"/>
  <c r="J25" i="5"/>
  <c r="C68" i="5"/>
  <c r="C75" i="5" s="1"/>
  <c r="C78" i="5" s="1"/>
  <c r="D35" i="16"/>
  <c r="D48" i="11"/>
  <c r="D74" i="11"/>
  <c r="B75" i="5"/>
  <c r="B78" i="5" s="1"/>
  <c r="D58" i="11"/>
  <c r="D30" i="16" s="1"/>
  <c r="D73" i="12"/>
  <c r="D73" i="11"/>
  <c r="D63" i="11"/>
  <c r="D34" i="16" s="1"/>
  <c r="F68" i="5"/>
  <c r="F75" i="5" s="1"/>
  <c r="F78" i="5" s="1"/>
  <c r="K23" i="5"/>
  <c r="D32" i="18" s="1"/>
  <c r="D33" i="18" s="1"/>
  <c r="K73" i="5"/>
  <c r="C19" i="11"/>
  <c r="C21" i="11"/>
  <c r="N70" i="2"/>
  <c r="N71" i="2"/>
  <c r="P71" i="2" s="1"/>
  <c r="Q71" i="2" s="1"/>
  <c r="B79" i="12"/>
  <c r="B70" i="11" s="1"/>
  <c r="B40" i="16" s="1"/>
  <c r="P245" i="2"/>
  <c r="Q245" i="2" s="1"/>
  <c r="P218" i="2"/>
  <c r="Q218" i="2" s="1"/>
  <c r="P213" i="2"/>
  <c r="Q213" i="2" s="1"/>
  <c r="P226" i="2"/>
  <c r="Q226" i="2" s="1"/>
  <c r="B25" i="16"/>
  <c r="P224" i="2"/>
  <c r="Q224" i="2" s="1"/>
  <c r="B30" i="16"/>
  <c r="B46" i="12"/>
  <c r="G75" i="2"/>
  <c r="P203" i="2"/>
  <c r="Q203" i="2" s="1"/>
  <c r="G280" i="2"/>
  <c r="J34" i="2"/>
  <c r="K34" i="2"/>
  <c r="N17" i="2"/>
  <c r="P17" i="2" s="1"/>
  <c r="Q17" i="2" s="1"/>
  <c r="C11" i="2"/>
  <c r="G57" i="2"/>
  <c r="G67" i="2"/>
  <c r="P142" i="2"/>
  <c r="Q142" i="2" s="1"/>
  <c r="L11" i="2"/>
  <c r="N8" i="2"/>
  <c r="P8" i="2" s="1"/>
  <c r="Q8" i="2" s="1"/>
  <c r="K89" i="2"/>
  <c r="N89" i="2" s="1"/>
  <c r="P89" i="2" s="1"/>
  <c r="Q89" i="2" s="1"/>
  <c r="K67" i="2"/>
  <c r="P107" i="2"/>
  <c r="Q107" i="2" s="1"/>
  <c r="I18" i="12"/>
  <c r="P139" i="2"/>
  <c r="Q139" i="2" s="1"/>
  <c r="C47" i="2"/>
  <c r="N40" i="2"/>
  <c r="P40" i="2" s="1"/>
  <c r="Q40" i="2" s="1"/>
  <c r="J57" i="2"/>
  <c r="J83" i="2"/>
  <c r="K84" i="2"/>
  <c r="K85" i="2" s="1"/>
  <c r="K57" i="2"/>
  <c r="M85" i="2"/>
  <c r="L67" i="2"/>
  <c r="L57" i="2"/>
  <c r="K11" i="2"/>
  <c r="N16" i="2"/>
  <c r="P16" i="2" s="1"/>
  <c r="Q16" i="2" s="1"/>
  <c r="D34" i="2"/>
  <c r="N91" i="2"/>
  <c r="P91" i="2" s="1"/>
  <c r="Q91" i="2" s="1"/>
  <c r="I43" i="12"/>
  <c r="AB43" i="12" s="1"/>
  <c r="N28" i="2"/>
  <c r="P28" i="2" s="1"/>
  <c r="Q28" i="2" s="1"/>
  <c r="N64" i="2"/>
  <c r="P64" i="2" s="1"/>
  <c r="Q64" i="2" s="1"/>
  <c r="N27" i="2"/>
  <c r="P27" i="2" s="1"/>
  <c r="Q27" i="2" s="1"/>
  <c r="N22" i="2"/>
  <c r="P22" i="2" s="1"/>
  <c r="Q22" i="2" s="1"/>
  <c r="M93" i="2"/>
  <c r="M11" i="2"/>
  <c r="N6" i="2"/>
  <c r="P6" i="2" s="1"/>
  <c r="Q6" i="2" s="1"/>
  <c r="J11" i="2"/>
  <c r="N10" i="2"/>
  <c r="F34" i="2"/>
  <c r="L34" i="2"/>
  <c r="N25" i="2"/>
  <c r="P25" i="2" s="1"/>
  <c r="Q25" i="2" s="1"/>
  <c r="G93" i="2"/>
  <c r="N90" i="2"/>
  <c r="P90" i="2" s="1"/>
  <c r="Q90" i="2" s="1"/>
  <c r="I197" i="2"/>
  <c r="I280" i="2" s="1"/>
  <c r="F80" i="12"/>
  <c r="I80" i="12" s="1"/>
  <c r="AB80" i="12" s="1"/>
  <c r="F54" i="11"/>
  <c r="F36" i="11"/>
  <c r="F35" i="11"/>
  <c r="F56" i="16"/>
  <c r="F44" i="16"/>
  <c r="F87" i="12"/>
  <c r="F51" i="11"/>
  <c r="I51" i="11" s="1"/>
  <c r="F40" i="12"/>
  <c r="F81" i="11"/>
  <c r="F32" i="11"/>
  <c r="F16" i="16" s="1"/>
  <c r="F91" i="12"/>
  <c r="I91" i="12" s="1"/>
  <c r="F48" i="11"/>
  <c r="F24" i="11"/>
  <c r="F25" i="11" s="1"/>
  <c r="F98" i="11"/>
  <c r="K14" i="10"/>
  <c r="F65" i="11"/>
  <c r="P199" i="2"/>
  <c r="Q199" i="2" s="1"/>
  <c r="B40" i="12"/>
  <c r="B32" i="11" s="1"/>
  <c r="I49" i="11"/>
  <c r="F81" i="12"/>
  <c r="I81" i="12" s="1"/>
  <c r="K70" i="10"/>
  <c r="F72" i="11"/>
  <c r="F42" i="16" s="1"/>
  <c r="N63" i="2"/>
  <c r="P63" i="2" s="1"/>
  <c r="Q63" i="2" s="1"/>
  <c r="E67" i="2"/>
  <c r="F38" i="11"/>
  <c r="F46" i="12"/>
  <c r="K32" i="10"/>
  <c r="F54" i="12"/>
  <c r="F46" i="11"/>
  <c r="G27" i="15"/>
  <c r="G7" i="16"/>
  <c r="G11" i="16" s="1"/>
  <c r="D25" i="16"/>
  <c r="E75" i="2"/>
  <c r="N72" i="2"/>
  <c r="P72" i="2" s="1"/>
  <c r="Q72" i="2" s="1"/>
  <c r="M34" i="2"/>
  <c r="N73" i="2"/>
  <c r="P73" i="2" s="1"/>
  <c r="Q73" i="2" s="1"/>
  <c r="F75" i="2"/>
  <c r="N74" i="2"/>
  <c r="P74" i="2" s="1"/>
  <c r="Q74" i="2" s="1"/>
  <c r="P104" i="2"/>
  <c r="Q104" i="2" s="1"/>
  <c r="P127" i="2"/>
  <c r="Q127" i="2" s="1"/>
  <c r="P108" i="2"/>
  <c r="Q108" i="2" s="1"/>
  <c r="B67" i="2"/>
  <c r="N60" i="2"/>
  <c r="P60" i="2" s="1"/>
  <c r="Q60" i="2" s="1"/>
  <c r="B47" i="2"/>
  <c r="N33" i="2"/>
  <c r="P33" i="2" s="1"/>
  <c r="Q33" i="2" s="1"/>
  <c r="B34" i="2"/>
  <c r="N15" i="2"/>
  <c r="P15" i="2" s="1"/>
  <c r="Q15" i="2" s="1"/>
  <c r="B11" i="2"/>
  <c r="N7" i="2"/>
  <c r="P7" i="2" s="1"/>
  <c r="Q7" i="2" s="1"/>
  <c r="G34" i="2"/>
  <c r="E34" i="2"/>
  <c r="E35" i="2" s="1"/>
  <c r="N55" i="2"/>
  <c r="P55" i="2" s="1"/>
  <c r="Q55" i="2" s="1"/>
  <c r="F57" i="2"/>
  <c r="E93" i="2"/>
  <c r="L93" i="2"/>
  <c r="N62" i="2"/>
  <c r="P62" i="2" s="1"/>
  <c r="Q62" i="2" s="1"/>
  <c r="I67" i="2"/>
  <c r="I68" i="2" s="1"/>
  <c r="P116" i="2"/>
  <c r="Q116" i="2" s="1"/>
  <c r="P138" i="2"/>
  <c r="Q138" i="2" s="1"/>
  <c r="E83" i="2"/>
  <c r="E85" i="2" s="1"/>
  <c r="E57" i="2"/>
  <c r="P112" i="2"/>
  <c r="Q112" i="2" s="1"/>
  <c r="I12" i="11"/>
  <c r="I20" i="12"/>
  <c r="I13" i="11"/>
  <c r="I21" i="12"/>
  <c r="P168" i="2"/>
  <c r="Q168" i="2" s="1"/>
  <c r="P235" i="2"/>
  <c r="Q235" i="2" s="1"/>
  <c r="C88" i="2"/>
  <c r="N59" i="2"/>
  <c r="C83" i="2"/>
  <c r="C57" i="2"/>
  <c r="D11" i="2"/>
  <c r="N5" i="2"/>
  <c r="N38" i="2"/>
  <c r="P38" i="2" s="1"/>
  <c r="Q38" i="2" s="1"/>
  <c r="E47" i="2"/>
  <c r="J84" i="2"/>
  <c r="N54" i="2"/>
  <c r="P54" i="2" s="1"/>
  <c r="Q54" i="2" s="1"/>
  <c r="P209" i="2"/>
  <c r="Q209" i="2" s="1"/>
  <c r="B47" i="12"/>
  <c r="J75" i="2"/>
  <c r="P214" i="2"/>
  <c r="Q214" i="2" s="1"/>
  <c r="I64" i="12"/>
  <c r="K41" i="10"/>
  <c r="D56" i="10"/>
  <c r="D72" i="10" s="1"/>
  <c r="F56" i="11"/>
  <c r="F63" i="12"/>
  <c r="I63" i="12" s="1"/>
  <c r="C106" i="12"/>
  <c r="C97" i="11"/>
  <c r="C105" i="11" s="1"/>
  <c r="E69" i="12"/>
  <c r="E74" i="12" s="1"/>
  <c r="E31" i="15" s="1"/>
  <c r="E72" i="11"/>
  <c r="E7" i="16"/>
  <c r="E11" i="16" s="1"/>
  <c r="E27" i="15"/>
  <c r="Z31" i="12"/>
  <c r="E30" i="15"/>
  <c r="E40" i="16"/>
  <c r="I71" i="11"/>
  <c r="F55" i="11"/>
  <c r="F37" i="11"/>
  <c r="F45" i="12"/>
  <c r="J72" i="10"/>
  <c r="Z62" i="12"/>
  <c r="Z82" i="12"/>
  <c r="P20" i="15"/>
  <c r="P21" i="15" s="1"/>
  <c r="P27" i="15" s="1"/>
  <c r="Q35" i="12"/>
  <c r="F55" i="12"/>
  <c r="I55" i="12" s="1"/>
  <c r="F47" i="11"/>
  <c r="F77" i="12"/>
  <c r="F69" i="11"/>
  <c r="F83" i="12"/>
  <c r="F74" i="11"/>
  <c r="F43" i="16" s="1"/>
  <c r="L33" i="15"/>
  <c r="Z55" i="12"/>
  <c r="B104" i="12"/>
  <c r="B95" i="11" s="1"/>
  <c r="F36" i="6"/>
  <c r="F38" i="6" s="1"/>
  <c r="K31" i="6"/>
  <c r="C18" i="11" s="1"/>
  <c r="F107" i="12"/>
  <c r="H7" i="16"/>
  <c r="H11" i="16" s="1"/>
  <c r="H27" i="15"/>
  <c r="O20" i="15"/>
  <c r="O21" i="15" s="1"/>
  <c r="O27" i="15" s="1"/>
  <c r="P35" i="12"/>
  <c r="T23" i="12"/>
  <c r="Z71" i="12"/>
  <c r="O35" i="15"/>
  <c r="D77" i="11"/>
  <c r="D86" i="12"/>
  <c r="H60" i="11"/>
  <c r="H66" i="11" s="1"/>
  <c r="H67" i="12"/>
  <c r="K12" i="17"/>
  <c r="K19" i="17" s="1"/>
  <c r="F45" i="11"/>
  <c r="F82" i="12"/>
  <c r="F92" i="11"/>
  <c r="H35" i="12"/>
  <c r="E35" i="12"/>
  <c r="C20" i="11"/>
  <c r="C28" i="12"/>
  <c r="R35" i="12"/>
  <c r="H28" i="16"/>
  <c r="K17" i="5"/>
  <c r="D22" i="18" s="1"/>
  <c r="D23" i="18" s="1"/>
  <c r="D35" i="18" s="1"/>
  <c r="F61" i="6"/>
  <c r="J35" i="5"/>
  <c r="J68" i="5" s="1"/>
  <c r="K34" i="5"/>
  <c r="D46" i="18" s="1"/>
  <c r="E68" i="5"/>
  <c r="B83" i="12"/>
  <c r="B74" i="11" s="1"/>
  <c r="K18" i="14"/>
  <c r="G32" i="15"/>
  <c r="G106" i="12"/>
  <c r="K26" i="14"/>
  <c r="J28" i="14"/>
  <c r="R98" i="12"/>
  <c r="Q30" i="15"/>
  <c r="Q33" i="15" s="1"/>
  <c r="Q74" i="12"/>
  <c r="Q98" i="12" s="1"/>
  <c r="T59" i="12"/>
  <c r="P35" i="15"/>
  <c r="T107" i="12"/>
  <c r="Z107" i="12" s="1"/>
  <c r="F61" i="2"/>
  <c r="C104" i="12"/>
  <c r="C74" i="11"/>
  <c r="X93" i="12" l="1"/>
  <c r="AB93" i="12"/>
  <c r="C74" i="12"/>
  <c r="B32" i="18"/>
  <c r="I32" i="18" s="1"/>
  <c r="AB32" i="18" s="1"/>
  <c r="E63" i="6"/>
  <c r="I84" i="12"/>
  <c r="X84" i="12" s="1"/>
  <c r="D96" i="18"/>
  <c r="D133" i="12"/>
  <c r="C133" i="12"/>
  <c r="D132" i="12"/>
  <c r="C132" i="12"/>
  <c r="B38" i="11"/>
  <c r="I71" i="12"/>
  <c r="I61" i="12"/>
  <c r="AB61" i="12" s="1"/>
  <c r="E43" i="16"/>
  <c r="B84" i="11"/>
  <c r="I84" i="11" s="1"/>
  <c r="B75" i="11"/>
  <c r="I42" i="18"/>
  <c r="I87" i="18"/>
  <c r="I83" i="18"/>
  <c r="X83" i="18" s="1"/>
  <c r="D127" i="12"/>
  <c r="C127" i="12"/>
  <c r="D61" i="16"/>
  <c r="E114" i="12"/>
  <c r="E35" i="15" s="1"/>
  <c r="B133" i="12"/>
  <c r="G114" i="18"/>
  <c r="B114" i="18"/>
  <c r="F49" i="18"/>
  <c r="F96" i="18"/>
  <c r="B49" i="18"/>
  <c r="AB40" i="18"/>
  <c r="X40" i="18"/>
  <c r="AD40" i="18"/>
  <c r="AF40" i="18" s="1"/>
  <c r="H141" i="18"/>
  <c r="H145" i="18" s="1"/>
  <c r="H120" i="18"/>
  <c r="AB106" i="18"/>
  <c r="X106" i="18"/>
  <c r="G116" i="18"/>
  <c r="AD32" i="18"/>
  <c r="AF32" i="18" s="1"/>
  <c r="AB104" i="18"/>
  <c r="X104" i="18"/>
  <c r="AB87" i="18"/>
  <c r="X87" i="18"/>
  <c r="AD87" i="18"/>
  <c r="AF87" i="18" s="1"/>
  <c r="AD67" i="18"/>
  <c r="AF67" i="18" s="1"/>
  <c r="AB67" i="18"/>
  <c r="X67" i="18"/>
  <c r="AB102" i="18"/>
  <c r="X102" i="18"/>
  <c r="I79" i="18"/>
  <c r="X30" i="18"/>
  <c r="AD30" i="18"/>
  <c r="AF30" i="18" s="1"/>
  <c r="AB30" i="18"/>
  <c r="B32" i="12"/>
  <c r="B24" i="11" s="1"/>
  <c r="X27" i="18"/>
  <c r="AD27" i="18"/>
  <c r="AF27" i="18" s="1"/>
  <c r="AB27" i="18"/>
  <c r="X68" i="18"/>
  <c r="AB68" i="18"/>
  <c r="AD68" i="18"/>
  <c r="AF68" i="18" s="1"/>
  <c r="AB83" i="18"/>
  <c r="D132" i="18"/>
  <c r="B132" i="18"/>
  <c r="I84" i="18"/>
  <c r="C132" i="18"/>
  <c r="AB44" i="18"/>
  <c r="X44" i="18"/>
  <c r="AD44" i="18"/>
  <c r="AF44" i="18" s="1"/>
  <c r="AB109" i="18"/>
  <c r="X109" i="18"/>
  <c r="AB80" i="18"/>
  <c r="AD80" i="18"/>
  <c r="AF80" i="18" s="1"/>
  <c r="X80" i="18"/>
  <c r="AB81" i="18"/>
  <c r="AD81" i="18"/>
  <c r="AF81" i="18" s="1"/>
  <c r="X81" i="18"/>
  <c r="I64" i="18"/>
  <c r="I46" i="18"/>
  <c r="AB90" i="18"/>
  <c r="X90" i="18"/>
  <c r="F14" i="11"/>
  <c r="F15" i="11" s="1"/>
  <c r="F22" i="18"/>
  <c r="F23" i="18" s="1"/>
  <c r="F35" i="18" s="1"/>
  <c r="AB42" i="18"/>
  <c r="X42" i="18"/>
  <c r="AD42" i="18"/>
  <c r="AF42" i="18" s="1"/>
  <c r="AB108" i="18"/>
  <c r="X108" i="18"/>
  <c r="B129" i="12"/>
  <c r="I129" i="12" s="1"/>
  <c r="B63" i="11"/>
  <c r="B34" i="16" s="1"/>
  <c r="AD55" i="18"/>
  <c r="AF55" i="18" s="1"/>
  <c r="AB55" i="18"/>
  <c r="X55" i="18"/>
  <c r="X105" i="18"/>
  <c r="AB105" i="18"/>
  <c r="I68" i="12"/>
  <c r="I43" i="18"/>
  <c r="I107" i="18"/>
  <c r="I91" i="18"/>
  <c r="AB47" i="18"/>
  <c r="X47" i="18"/>
  <c r="AD47" i="18"/>
  <c r="AF47" i="18" s="1"/>
  <c r="X18" i="18"/>
  <c r="AD18" i="18"/>
  <c r="AF18" i="18" s="1"/>
  <c r="AB18" i="18"/>
  <c r="B54" i="11"/>
  <c r="B27" i="16" s="1"/>
  <c r="B130" i="12"/>
  <c r="I130" i="12" s="1"/>
  <c r="I73" i="18"/>
  <c r="C74" i="18"/>
  <c r="C98" i="18" s="1"/>
  <c r="I59" i="18"/>
  <c r="I88" i="18"/>
  <c r="D133" i="18"/>
  <c r="I85" i="18"/>
  <c r="B133" i="18"/>
  <c r="C133" i="18"/>
  <c r="B129" i="18"/>
  <c r="C129" i="18"/>
  <c r="I71" i="18"/>
  <c r="AB61" i="18"/>
  <c r="X61" i="18"/>
  <c r="AD61" i="18"/>
  <c r="AF61" i="18" s="1"/>
  <c r="B62" i="11"/>
  <c r="I62" i="11" s="1"/>
  <c r="B131" i="12"/>
  <c r="I69" i="18"/>
  <c r="AD78" i="18"/>
  <c r="AF78" i="18" s="1"/>
  <c r="X78" i="18"/>
  <c r="AB78" i="18"/>
  <c r="I65" i="18"/>
  <c r="I62" i="18"/>
  <c r="B130" i="18"/>
  <c r="C130" i="18"/>
  <c r="I60" i="18"/>
  <c r="I82" i="18"/>
  <c r="C135" i="18"/>
  <c r="I135" i="18" s="1"/>
  <c r="I103" i="18"/>
  <c r="C114" i="18"/>
  <c r="I48" i="18"/>
  <c r="D127" i="18"/>
  <c r="D139" i="18" s="1"/>
  <c r="C127" i="18"/>
  <c r="I45" i="18"/>
  <c r="I72" i="18"/>
  <c r="K56" i="10"/>
  <c r="F58" i="18"/>
  <c r="F74" i="18" s="1"/>
  <c r="I75" i="11"/>
  <c r="D49" i="18"/>
  <c r="D98" i="18" s="1"/>
  <c r="C26" i="18"/>
  <c r="C33" i="18" s="1"/>
  <c r="C23" i="18"/>
  <c r="I17" i="18"/>
  <c r="AD66" i="18"/>
  <c r="AF66" i="18" s="1"/>
  <c r="AB66" i="18"/>
  <c r="X66" i="18"/>
  <c r="B74" i="18"/>
  <c r="I52" i="18"/>
  <c r="AB31" i="18"/>
  <c r="X31" i="18"/>
  <c r="I28" i="18"/>
  <c r="B131" i="18"/>
  <c r="I131" i="18" s="1"/>
  <c r="I70" i="18"/>
  <c r="C131" i="18"/>
  <c r="AD29" i="18"/>
  <c r="AF29" i="18" s="1"/>
  <c r="X29" i="18"/>
  <c r="AB29" i="18"/>
  <c r="I58" i="18"/>
  <c r="I22" i="18"/>
  <c r="X94" i="18"/>
  <c r="AB94" i="18"/>
  <c r="I77" i="18"/>
  <c r="B96" i="18"/>
  <c r="I96" i="18" s="1"/>
  <c r="J90" i="18" s="1"/>
  <c r="X54" i="18"/>
  <c r="AB54" i="18"/>
  <c r="AD54" i="18"/>
  <c r="AF54" i="18" s="1"/>
  <c r="I56" i="18"/>
  <c r="AB92" i="18"/>
  <c r="X92" i="18"/>
  <c r="D114" i="18"/>
  <c r="I101" i="18"/>
  <c r="AB93" i="18"/>
  <c r="X93" i="18"/>
  <c r="I53" i="18"/>
  <c r="E114" i="18"/>
  <c r="E116" i="18" s="1"/>
  <c r="AB57" i="18"/>
  <c r="AD57" i="18"/>
  <c r="AF57" i="18" s="1"/>
  <c r="X57" i="18"/>
  <c r="S116" i="12"/>
  <c r="S120" i="12" s="1"/>
  <c r="I132" i="12"/>
  <c r="B127" i="12"/>
  <c r="Q37" i="15"/>
  <c r="Q41" i="15" s="1"/>
  <c r="AB109" i="12"/>
  <c r="I103" i="12"/>
  <c r="X103" i="12" s="1"/>
  <c r="I135" i="12"/>
  <c r="X85" i="12"/>
  <c r="O116" i="12"/>
  <c r="O120" i="12" s="1"/>
  <c r="I36" i="11"/>
  <c r="X105" i="12"/>
  <c r="I111" i="12"/>
  <c r="AB111" i="12" s="1"/>
  <c r="B102" i="11"/>
  <c r="I102" i="11" s="1"/>
  <c r="I41" i="12"/>
  <c r="AD41" i="12" s="1"/>
  <c r="AF41" i="12" s="1"/>
  <c r="B33" i="11"/>
  <c r="I33" i="11" s="1"/>
  <c r="I92" i="12"/>
  <c r="X92" i="12" s="1"/>
  <c r="B83" i="11"/>
  <c r="I94" i="12"/>
  <c r="AB94" i="12" s="1"/>
  <c r="B85" i="11"/>
  <c r="I85" i="11" s="1"/>
  <c r="I95" i="12"/>
  <c r="AB95" i="12" s="1"/>
  <c r="B86" i="11"/>
  <c r="I86" i="11" s="1"/>
  <c r="I47" i="12"/>
  <c r="X47" i="12" s="1"/>
  <c r="B39" i="11"/>
  <c r="I39" i="11" s="1"/>
  <c r="I108" i="12"/>
  <c r="X108" i="12" s="1"/>
  <c r="B99" i="11"/>
  <c r="I99" i="11" s="1"/>
  <c r="I89" i="12"/>
  <c r="AB89" i="12" s="1"/>
  <c r="B80" i="11"/>
  <c r="I72" i="12"/>
  <c r="X72" i="12" s="1"/>
  <c r="I48" i="12"/>
  <c r="AB48" i="12" s="1"/>
  <c r="B40" i="11"/>
  <c r="I40" i="11" s="1"/>
  <c r="I102" i="12"/>
  <c r="B93" i="11"/>
  <c r="I93" i="11" s="1"/>
  <c r="C23" i="12"/>
  <c r="I87" i="12"/>
  <c r="AD87" i="12" s="1"/>
  <c r="AF87" i="12" s="1"/>
  <c r="AB78" i="12"/>
  <c r="E96" i="12"/>
  <c r="E32" i="15" s="1"/>
  <c r="E33" i="15" s="1"/>
  <c r="N37" i="15"/>
  <c r="N41" i="15" s="1"/>
  <c r="I79" i="12"/>
  <c r="X79" i="12" s="1"/>
  <c r="K29" i="17"/>
  <c r="K31" i="17" s="1"/>
  <c r="G31" i="15"/>
  <c r="G33" i="15" s="1"/>
  <c r="G98" i="12"/>
  <c r="J82" i="10"/>
  <c r="J85" i="10" s="1"/>
  <c r="F27" i="11"/>
  <c r="C96" i="12"/>
  <c r="C32" i="15" s="1"/>
  <c r="I19" i="12"/>
  <c r="X19" i="12" s="1"/>
  <c r="D24" i="16"/>
  <c r="D105" i="11"/>
  <c r="AB56" i="12"/>
  <c r="I88" i="12"/>
  <c r="X88" i="12" s="1"/>
  <c r="C63" i="6"/>
  <c r="G63" i="6"/>
  <c r="I82" i="12"/>
  <c r="AB82" i="12" s="1"/>
  <c r="H87" i="11"/>
  <c r="H89" i="11" s="1"/>
  <c r="H107" i="11" s="1"/>
  <c r="H111" i="11" s="1"/>
  <c r="P70" i="2"/>
  <c r="Q70" i="2" s="1"/>
  <c r="N75" i="2"/>
  <c r="P75" i="2" s="1"/>
  <c r="Q75" i="2" s="1"/>
  <c r="X78" i="12"/>
  <c r="F35" i="2"/>
  <c r="N92" i="2"/>
  <c r="P92" i="2" s="1"/>
  <c r="Q92" i="2" s="1"/>
  <c r="I79" i="11"/>
  <c r="C68" i="2"/>
  <c r="G35" i="2"/>
  <c r="G36" i="2" s="1"/>
  <c r="J68" i="2"/>
  <c r="B94" i="2"/>
  <c r="N196" i="2"/>
  <c r="P196" i="2" s="1"/>
  <c r="Q196" i="2" s="1"/>
  <c r="K93" i="2"/>
  <c r="G94" i="2"/>
  <c r="X66" i="12"/>
  <c r="D68" i="2"/>
  <c r="D35" i="2"/>
  <c r="D36" i="2" s="1"/>
  <c r="I82" i="11"/>
  <c r="D94" i="2"/>
  <c r="M68" i="2"/>
  <c r="E94" i="2"/>
  <c r="L94" i="2"/>
  <c r="B68" i="2"/>
  <c r="I44" i="16"/>
  <c r="B26" i="16"/>
  <c r="I26" i="16" s="1"/>
  <c r="I73" i="11"/>
  <c r="B35" i="16"/>
  <c r="I78" i="11"/>
  <c r="P143" i="2"/>
  <c r="Q143" i="2" s="1"/>
  <c r="P116" i="12"/>
  <c r="P120" i="12" s="1"/>
  <c r="I107" i="12"/>
  <c r="AB107" i="12" s="1"/>
  <c r="I45" i="12"/>
  <c r="X45" i="12" s="1"/>
  <c r="AD80" i="12"/>
  <c r="AF80" i="12" s="1"/>
  <c r="AB90" i="12"/>
  <c r="I19" i="11"/>
  <c r="I65" i="11"/>
  <c r="C114" i="12"/>
  <c r="C35" i="15" s="1"/>
  <c r="G66" i="11"/>
  <c r="G89" i="11" s="1"/>
  <c r="F105" i="11"/>
  <c r="I47" i="11"/>
  <c r="AD66" i="12"/>
  <c r="AF66" i="12" s="1"/>
  <c r="I8" i="11"/>
  <c r="C15" i="11"/>
  <c r="N116" i="12"/>
  <c r="N120" i="12" s="1"/>
  <c r="M37" i="15"/>
  <c r="M41" i="15" s="1"/>
  <c r="U27" i="12"/>
  <c r="U32" i="12"/>
  <c r="S35" i="15"/>
  <c r="Y35" i="15" s="1"/>
  <c r="R37" i="15"/>
  <c r="R41" i="15" s="1"/>
  <c r="I73" i="12"/>
  <c r="X73" i="12" s="1"/>
  <c r="AB84" i="12"/>
  <c r="I52" i="11"/>
  <c r="I44" i="12"/>
  <c r="AB44" i="12" s="1"/>
  <c r="I27" i="12"/>
  <c r="X27" i="12" s="1"/>
  <c r="I101" i="12"/>
  <c r="AB101" i="12" s="1"/>
  <c r="G105" i="11"/>
  <c r="I119" i="12"/>
  <c r="K28" i="14"/>
  <c r="K30" i="14" s="1"/>
  <c r="G114" i="12"/>
  <c r="I70" i="11"/>
  <c r="X56" i="12"/>
  <c r="F114" i="12"/>
  <c r="F35" i="15" s="1"/>
  <c r="D82" i="10"/>
  <c r="D85" i="10" s="1"/>
  <c r="I17" i="16"/>
  <c r="K20" i="7"/>
  <c r="E58" i="16"/>
  <c r="E61" i="16" s="1"/>
  <c r="E105" i="11"/>
  <c r="C66" i="11"/>
  <c r="C31" i="15"/>
  <c r="C24" i="16"/>
  <c r="C36" i="16" s="1"/>
  <c r="K61" i="6"/>
  <c r="J63" i="6"/>
  <c r="I45" i="16"/>
  <c r="D114" i="12"/>
  <c r="D35" i="15" s="1"/>
  <c r="E75" i="5"/>
  <c r="E78" i="5" s="1"/>
  <c r="AD43" i="12"/>
  <c r="AF43" i="12" s="1"/>
  <c r="I35" i="11"/>
  <c r="U31" i="12"/>
  <c r="U29" i="12"/>
  <c r="U30" i="12"/>
  <c r="U28" i="12"/>
  <c r="Z33" i="12"/>
  <c r="U40" i="12"/>
  <c r="U82" i="12"/>
  <c r="U93" i="12"/>
  <c r="U86" i="12"/>
  <c r="U90" i="12"/>
  <c r="U87" i="12"/>
  <c r="U84" i="12"/>
  <c r="U88" i="12"/>
  <c r="U94" i="12"/>
  <c r="U80" i="12"/>
  <c r="U85" i="12"/>
  <c r="U79" i="12"/>
  <c r="U92" i="12"/>
  <c r="U89" i="12"/>
  <c r="U91" i="12"/>
  <c r="U77" i="12"/>
  <c r="U83" i="12"/>
  <c r="U95" i="12"/>
  <c r="U81" i="12"/>
  <c r="U78" i="12"/>
  <c r="T98" i="12"/>
  <c r="Z98" i="12" s="1"/>
  <c r="U44" i="12"/>
  <c r="M116" i="12"/>
  <c r="M120" i="12" s="1"/>
  <c r="Z49" i="12"/>
  <c r="U48" i="12"/>
  <c r="U47" i="12"/>
  <c r="U41" i="12"/>
  <c r="U45" i="12"/>
  <c r="U42" i="12"/>
  <c r="U43" i="12"/>
  <c r="S24" i="15"/>
  <c r="Y24" i="15" s="1"/>
  <c r="AD17" i="12"/>
  <c r="AF17" i="12" s="1"/>
  <c r="P278" i="2"/>
  <c r="Q278" i="2" s="1"/>
  <c r="I110" i="12"/>
  <c r="AB110" i="12" s="1"/>
  <c r="B114" i="12"/>
  <c r="I40" i="16"/>
  <c r="I21" i="11"/>
  <c r="I106" i="12"/>
  <c r="X106" i="12" s="1"/>
  <c r="I25" i="16"/>
  <c r="J35" i="2"/>
  <c r="J36" i="2" s="1"/>
  <c r="I63" i="11"/>
  <c r="X17" i="12"/>
  <c r="I29" i="12"/>
  <c r="X29" i="12" s="1"/>
  <c r="N210" i="2"/>
  <c r="P210" i="2" s="1"/>
  <c r="Q210" i="2" s="1"/>
  <c r="C35" i="2"/>
  <c r="C48" i="2" s="1"/>
  <c r="I30" i="12"/>
  <c r="AB30" i="12" s="1"/>
  <c r="I31" i="12"/>
  <c r="AD70" i="12"/>
  <c r="AF70" i="12" s="1"/>
  <c r="I60" i="12"/>
  <c r="AB60" i="12" s="1"/>
  <c r="AB70" i="12"/>
  <c r="I30" i="16"/>
  <c r="AB62" i="12"/>
  <c r="X57" i="12"/>
  <c r="I48" i="11"/>
  <c r="I34" i="11"/>
  <c r="J75" i="5"/>
  <c r="J78" i="5" s="1"/>
  <c r="K53" i="5"/>
  <c r="D52" i="12"/>
  <c r="D74" i="12" s="1"/>
  <c r="D31" i="15" s="1"/>
  <c r="D44" i="11"/>
  <c r="AB57" i="12"/>
  <c r="X65" i="12"/>
  <c r="AD61" i="12"/>
  <c r="AF61" i="12" s="1"/>
  <c r="D24" i="11"/>
  <c r="D25" i="11" s="1"/>
  <c r="D32" i="12"/>
  <c r="D33" i="12" s="1"/>
  <c r="D24" i="15" s="1"/>
  <c r="D25" i="15" s="1"/>
  <c r="D9" i="16" s="1"/>
  <c r="AD65" i="12"/>
  <c r="AF65" i="12" s="1"/>
  <c r="AD62" i="12"/>
  <c r="AF62" i="12" s="1"/>
  <c r="X61" i="12"/>
  <c r="I34" i="16"/>
  <c r="I10" i="11"/>
  <c r="K36" i="6"/>
  <c r="K38" i="6" s="1"/>
  <c r="C26" i="12"/>
  <c r="C33" i="12" s="1"/>
  <c r="C24" i="15" s="1"/>
  <c r="C25" i="15" s="1"/>
  <c r="AD71" i="12"/>
  <c r="AF71" i="12" s="1"/>
  <c r="AB71" i="12"/>
  <c r="X71" i="12"/>
  <c r="B33" i="16"/>
  <c r="I33" i="16" s="1"/>
  <c r="I61" i="11"/>
  <c r="I46" i="11"/>
  <c r="I58" i="11"/>
  <c r="I54" i="12"/>
  <c r="X54" i="12" s="1"/>
  <c r="AD42" i="12"/>
  <c r="AF42" i="12" s="1"/>
  <c r="N197" i="2"/>
  <c r="M94" i="2"/>
  <c r="L35" i="2"/>
  <c r="K35" i="2"/>
  <c r="AB42" i="12"/>
  <c r="F48" i="2"/>
  <c r="F36" i="2"/>
  <c r="K94" i="2"/>
  <c r="X43" i="12"/>
  <c r="L68" i="2"/>
  <c r="K68" i="2"/>
  <c r="AB18" i="12"/>
  <c r="X18" i="12"/>
  <c r="AD18" i="12"/>
  <c r="AF18" i="12" s="1"/>
  <c r="G68" i="2"/>
  <c r="N20" i="2"/>
  <c r="N34" i="2" s="1"/>
  <c r="P34" i="2" s="1"/>
  <c r="Q34" i="2" s="1"/>
  <c r="I76" i="2"/>
  <c r="N47" i="2"/>
  <c r="P47" i="2" s="1"/>
  <c r="Q47" i="2" s="1"/>
  <c r="X80" i="12"/>
  <c r="I74" i="11"/>
  <c r="F27" i="16"/>
  <c r="I27" i="16" s="1"/>
  <c r="I54" i="11"/>
  <c r="F35" i="16"/>
  <c r="K20" i="10"/>
  <c r="F22" i="12"/>
  <c r="F23" i="12" s="1"/>
  <c r="F20" i="15" s="1"/>
  <c r="F21" i="15" s="1"/>
  <c r="X91" i="12"/>
  <c r="AB91" i="12"/>
  <c r="AD91" i="12"/>
  <c r="F23" i="16"/>
  <c r="F49" i="12"/>
  <c r="F30" i="15" s="1"/>
  <c r="F59" i="16"/>
  <c r="I98" i="11"/>
  <c r="I81" i="11"/>
  <c r="F47" i="16"/>
  <c r="I47" i="16" s="1"/>
  <c r="I77" i="11"/>
  <c r="D87" i="11"/>
  <c r="D43" i="16"/>
  <c r="D51" i="16" s="1"/>
  <c r="B43" i="16"/>
  <c r="F96" i="12"/>
  <c r="F32" i="15" s="1"/>
  <c r="I77" i="12"/>
  <c r="AB63" i="12"/>
  <c r="X63" i="12"/>
  <c r="AD63" i="12"/>
  <c r="AF63" i="12" s="1"/>
  <c r="B23" i="16"/>
  <c r="I45" i="11"/>
  <c r="B66" i="11"/>
  <c r="I11" i="11"/>
  <c r="B15" i="11"/>
  <c r="M35" i="2"/>
  <c r="N57" i="2"/>
  <c r="G53" i="16"/>
  <c r="H31" i="16"/>
  <c r="I60" i="11"/>
  <c r="T114" i="12"/>
  <c r="Z23" i="12"/>
  <c r="U20" i="12"/>
  <c r="U22" i="12"/>
  <c r="U17" i="12"/>
  <c r="U19" i="12"/>
  <c r="U21" i="12"/>
  <c r="U18" i="12"/>
  <c r="U16" i="12"/>
  <c r="I104" i="12"/>
  <c r="E42" i="16"/>
  <c r="I42" i="16" s="1"/>
  <c r="I72" i="11"/>
  <c r="I56" i="11"/>
  <c r="F29" i="16"/>
  <c r="F50" i="11"/>
  <c r="F24" i="16" s="1"/>
  <c r="F58" i="12"/>
  <c r="I58" i="12" s="1"/>
  <c r="I53" i="12"/>
  <c r="B74" i="12"/>
  <c r="C85" i="2"/>
  <c r="N83" i="2"/>
  <c r="AB21" i="12"/>
  <c r="X21" i="12"/>
  <c r="I16" i="12"/>
  <c r="B23" i="12"/>
  <c r="B20" i="15" s="1"/>
  <c r="X81" i="12"/>
  <c r="AD81" i="12"/>
  <c r="AF81" i="12" s="1"/>
  <c r="AB81" i="12"/>
  <c r="B49" i="12"/>
  <c r="I40" i="12"/>
  <c r="Z59" i="12"/>
  <c r="H74" i="12"/>
  <c r="H98" i="12" s="1"/>
  <c r="I67" i="12"/>
  <c r="I95" i="11"/>
  <c r="B24" i="16"/>
  <c r="B16" i="16"/>
  <c r="I32" i="11"/>
  <c r="I83" i="12"/>
  <c r="B96" i="12"/>
  <c r="C43" i="16"/>
  <c r="C51" i="16" s="1"/>
  <c r="C87" i="11"/>
  <c r="G61" i="16"/>
  <c r="I56" i="16"/>
  <c r="AB59" i="12"/>
  <c r="C25" i="11"/>
  <c r="X55" i="12"/>
  <c r="AD55" i="12"/>
  <c r="AF55" i="12" s="1"/>
  <c r="AB55" i="12"/>
  <c r="F18" i="16"/>
  <c r="F19" i="16" s="1"/>
  <c r="I37" i="11"/>
  <c r="S20" i="15"/>
  <c r="Y20" i="15" s="1"/>
  <c r="F41" i="11"/>
  <c r="I57" i="11"/>
  <c r="B29" i="16"/>
  <c r="N11" i="2"/>
  <c r="P5" i="2"/>
  <c r="Q5" i="2" s="1"/>
  <c r="P59" i="2"/>
  <c r="Q59" i="2" s="1"/>
  <c r="B39" i="16"/>
  <c r="I69" i="11"/>
  <c r="I28" i="12"/>
  <c r="K72" i="10"/>
  <c r="N61" i="2"/>
  <c r="P61" i="2" s="1"/>
  <c r="Q61" i="2" s="1"/>
  <c r="F67" i="2"/>
  <c r="F68" i="2" s="1"/>
  <c r="F76" i="2" s="1"/>
  <c r="D38" i="11"/>
  <c r="K35" i="5"/>
  <c r="D46" i="12"/>
  <c r="P31" i="15"/>
  <c r="T74" i="12"/>
  <c r="D22" i="12"/>
  <c r="D14" i="11"/>
  <c r="K25" i="5"/>
  <c r="R116" i="12"/>
  <c r="R120" i="12" s="1"/>
  <c r="I92" i="11"/>
  <c r="I86" i="12"/>
  <c r="D96" i="12"/>
  <c r="D32" i="15" s="1"/>
  <c r="O37" i="15"/>
  <c r="O41" i="15" s="1"/>
  <c r="AD59" i="12"/>
  <c r="AF59" i="12" s="1"/>
  <c r="F63" i="6"/>
  <c r="S30" i="15"/>
  <c r="F39" i="16"/>
  <c r="F87" i="11"/>
  <c r="Q116" i="12"/>
  <c r="Q120" i="12" s="1"/>
  <c r="F28" i="16"/>
  <c r="I28" i="16" s="1"/>
  <c r="I55" i="11"/>
  <c r="L27" i="15"/>
  <c r="S21" i="15"/>
  <c r="Y21" i="15" s="1"/>
  <c r="E87" i="11"/>
  <c r="E89" i="11" s="1"/>
  <c r="I97" i="11"/>
  <c r="C58" i="16"/>
  <c r="T35" i="12"/>
  <c r="I69" i="12"/>
  <c r="AD64" i="12"/>
  <c r="AF64" i="12" s="1"/>
  <c r="AB64" i="12"/>
  <c r="X64" i="12"/>
  <c r="J85" i="2"/>
  <c r="J94" i="2" s="1"/>
  <c r="N84" i="2"/>
  <c r="P84" i="2" s="1"/>
  <c r="Q84" i="2" s="1"/>
  <c r="N88" i="2"/>
  <c r="C93" i="2"/>
  <c r="I18" i="11"/>
  <c r="B25" i="11"/>
  <c r="X20" i="12"/>
  <c r="AB20" i="12"/>
  <c r="AD20" i="12"/>
  <c r="AF20" i="12" s="1"/>
  <c r="E68" i="2"/>
  <c r="E76" i="2" s="1"/>
  <c r="I20" i="11"/>
  <c r="E36" i="2"/>
  <c r="E48" i="2"/>
  <c r="B35" i="2"/>
  <c r="B49" i="16" l="1"/>
  <c r="I49" i="16" s="1"/>
  <c r="B98" i="18"/>
  <c r="I133" i="18"/>
  <c r="X32" i="18"/>
  <c r="E37" i="15"/>
  <c r="E41" i="15" s="1"/>
  <c r="F98" i="18"/>
  <c r="F116" i="18" s="1"/>
  <c r="F141" i="18" s="1"/>
  <c r="F145" i="18" s="1"/>
  <c r="B33" i="18"/>
  <c r="B139" i="18"/>
  <c r="AD83" i="18"/>
  <c r="AF83" i="18" s="1"/>
  <c r="I133" i="12"/>
  <c r="E120" i="18"/>
  <c r="E141" i="18"/>
  <c r="E145" i="18" s="1"/>
  <c r="F120" i="18"/>
  <c r="AD22" i="18"/>
  <c r="AF22" i="18" s="1"/>
  <c r="AB22" i="18"/>
  <c r="X22" i="18"/>
  <c r="J22" i="18"/>
  <c r="C35" i="18"/>
  <c r="C116" i="18" s="1"/>
  <c r="I23" i="18"/>
  <c r="B35" i="18"/>
  <c r="I33" i="18"/>
  <c r="X48" i="18"/>
  <c r="AB48" i="18"/>
  <c r="AD48" i="18"/>
  <c r="AF48" i="18" s="1"/>
  <c r="J48" i="18"/>
  <c r="I130" i="18"/>
  <c r="AB85" i="18"/>
  <c r="X85" i="18"/>
  <c r="J85" i="18"/>
  <c r="AB43" i="18"/>
  <c r="X43" i="18"/>
  <c r="AD43" i="18"/>
  <c r="AF43" i="18" s="1"/>
  <c r="J43" i="18"/>
  <c r="X64" i="18"/>
  <c r="AB64" i="18"/>
  <c r="AD64" i="18"/>
  <c r="AF64" i="18" s="1"/>
  <c r="J64" i="18"/>
  <c r="X84" i="18"/>
  <c r="AB84" i="18"/>
  <c r="J84" i="18"/>
  <c r="X79" i="18"/>
  <c r="AB79" i="18"/>
  <c r="AD79" i="18"/>
  <c r="AF79" i="18" s="1"/>
  <c r="I49" i="18"/>
  <c r="J46" i="18" s="1"/>
  <c r="J79" i="18"/>
  <c r="AB96" i="18"/>
  <c r="X96" i="18"/>
  <c r="AD96" i="18"/>
  <c r="AF96" i="18" s="1"/>
  <c r="J89" i="18"/>
  <c r="J86" i="18"/>
  <c r="J95" i="18"/>
  <c r="X17" i="18"/>
  <c r="AD17" i="18"/>
  <c r="AF17" i="18" s="1"/>
  <c r="AB17" i="18"/>
  <c r="X45" i="18"/>
  <c r="AB45" i="18"/>
  <c r="AD45" i="18"/>
  <c r="AF45" i="18" s="1"/>
  <c r="B33" i="12"/>
  <c r="AD77" i="18"/>
  <c r="AF77" i="18" s="1"/>
  <c r="X77" i="18"/>
  <c r="AB77" i="18"/>
  <c r="J77" i="18"/>
  <c r="X53" i="18"/>
  <c r="AD53" i="18"/>
  <c r="AF53" i="18" s="1"/>
  <c r="AB53" i="18"/>
  <c r="X101" i="18"/>
  <c r="I114" i="18"/>
  <c r="AB101" i="18"/>
  <c r="J94" i="18"/>
  <c r="AB58" i="18"/>
  <c r="X58" i="18"/>
  <c r="AD58" i="18"/>
  <c r="AF58" i="18" s="1"/>
  <c r="AD28" i="18"/>
  <c r="AF28" i="18" s="1"/>
  <c r="X28" i="18"/>
  <c r="AB28" i="18"/>
  <c r="AB52" i="18"/>
  <c r="X52" i="18"/>
  <c r="AD52" i="18"/>
  <c r="AF52" i="18" s="1"/>
  <c r="I26" i="18"/>
  <c r="I127" i="18"/>
  <c r="J82" i="18"/>
  <c r="X82" i="18"/>
  <c r="AB82" i="18"/>
  <c r="AD82" i="18"/>
  <c r="AF82" i="18" s="1"/>
  <c r="X62" i="18"/>
  <c r="AD62" i="18"/>
  <c r="AF62" i="18" s="1"/>
  <c r="AB62" i="18"/>
  <c r="I131" i="12"/>
  <c r="I129" i="18"/>
  <c r="X68" i="12"/>
  <c r="AD68" i="12"/>
  <c r="AF68" i="12" s="1"/>
  <c r="AB68" i="12"/>
  <c r="J81" i="18"/>
  <c r="J80" i="18"/>
  <c r="I132" i="18"/>
  <c r="J87" i="18"/>
  <c r="J92" i="18"/>
  <c r="X70" i="18"/>
  <c r="AD70" i="18"/>
  <c r="AF70" i="18" s="1"/>
  <c r="AB70" i="18"/>
  <c r="X103" i="18"/>
  <c r="AB103" i="18"/>
  <c r="J78" i="18"/>
  <c r="AB69" i="18"/>
  <c r="X69" i="18"/>
  <c r="AD69" i="18"/>
  <c r="AF69" i="18" s="1"/>
  <c r="AB71" i="18"/>
  <c r="X71" i="18"/>
  <c r="AD71" i="18"/>
  <c r="AF71" i="18" s="1"/>
  <c r="AD59" i="18"/>
  <c r="AF59" i="18" s="1"/>
  <c r="AB59" i="18"/>
  <c r="X59" i="18"/>
  <c r="X107" i="18"/>
  <c r="AB107" i="18"/>
  <c r="AD46" i="18"/>
  <c r="AF46" i="18" s="1"/>
  <c r="AB46" i="18"/>
  <c r="X46" i="18"/>
  <c r="J83" i="18"/>
  <c r="G107" i="11"/>
  <c r="G111" i="11" s="1"/>
  <c r="J93" i="18"/>
  <c r="X56" i="18"/>
  <c r="AB56" i="18"/>
  <c r="AD56" i="18"/>
  <c r="AF56" i="18" s="1"/>
  <c r="I74" i="18"/>
  <c r="D116" i="18"/>
  <c r="AB72" i="18"/>
  <c r="X72" i="18"/>
  <c r="C139" i="18"/>
  <c r="AB60" i="18"/>
  <c r="AD60" i="18"/>
  <c r="AF60" i="18" s="1"/>
  <c r="X60" i="18"/>
  <c r="J60" i="18"/>
  <c r="AD65" i="18"/>
  <c r="AF65" i="18" s="1"/>
  <c r="X65" i="18"/>
  <c r="AB65" i="18"/>
  <c r="J65" i="18"/>
  <c r="X88" i="18"/>
  <c r="AD88" i="18"/>
  <c r="AF88" i="18" s="1"/>
  <c r="AB88" i="18"/>
  <c r="J88" i="18"/>
  <c r="AB73" i="18"/>
  <c r="X73" i="18"/>
  <c r="X91" i="18"/>
  <c r="AB91" i="18"/>
  <c r="AD91" i="18"/>
  <c r="J91" i="18"/>
  <c r="G141" i="18"/>
  <c r="G145" i="18" s="1"/>
  <c r="G120" i="18"/>
  <c r="I127" i="12"/>
  <c r="AB103" i="12"/>
  <c r="AD48" i="12"/>
  <c r="AF48" i="12" s="1"/>
  <c r="I83" i="11"/>
  <c r="B87" i="11"/>
  <c r="I87" i="11" s="1"/>
  <c r="AB108" i="12"/>
  <c r="AB92" i="12"/>
  <c r="B57" i="16"/>
  <c r="B61" i="16" s="1"/>
  <c r="AB72" i="12"/>
  <c r="X89" i="12"/>
  <c r="E98" i="12"/>
  <c r="E116" i="12" s="1"/>
  <c r="X95" i="12"/>
  <c r="AD47" i="12"/>
  <c r="AF47" i="12" s="1"/>
  <c r="B18" i="16"/>
  <c r="B19" i="16" s="1"/>
  <c r="X94" i="12"/>
  <c r="AB47" i="12"/>
  <c r="B41" i="11"/>
  <c r="X41" i="12"/>
  <c r="B105" i="11"/>
  <c r="X48" i="12"/>
  <c r="AB41" i="12"/>
  <c r="X87" i="12"/>
  <c r="AB102" i="12"/>
  <c r="X102" i="12"/>
  <c r="B46" i="16"/>
  <c r="I46" i="16" s="1"/>
  <c r="I80" i="11"/>
  <c r="B50" i="16"/>
  <c r="I50" i="16" s="1"/>
  <c r="AB87" i="12"/>
  <c r="AB79" i="12"/>
  <c r="AD79" i="12"/>
  <c r="AF79" i="12" s="1"/>
  <c r="C89" i="11"/>
  <c r="C33" i="15"/>
  <c r="G116" i="12"/>
  <c r="AD88" i="12"/>
  <c r="AF88" i="12" s="1"/>
  <c r="X82" i="12"/>
  <c r="E107" i="11"/>
  <c r="E111" i="11" s="1"/>
  <c r="C98" i="12"/>
  <c r="AB19" i="12"/>
  <c r="AD19" i="12"/>
  <c r="AF19" i="12" s="1"/>
  <c r="AB88" i="12"/>
  <c r="C20" i="15"/>
  <c r="C21" i="15" s="1"/>
  <c r="C7" i="16" s="1"/>
  <c r="I25" i="12"/>
  <c r="AD82" i="12"/>
  <c r="AF82" i="12" s="1"/>
  <c r="C27" i="11"/>
  <c r="E51" i="16"/>
  <c r="E53" i="16" s="1"/>
  <c r="E63" i="16" s="1"/>
  <c r="E67" i="16" s="1"/>
  <c r="G48" i="2"/>
  <c r="D48" i="2"/>
  <c r="G76" i="2"/>
  <c r="G282" i="2" s="1"/>
  <c r="X107" i="12"/>
  <c r="AB73" i="12"/>
  <c r="J76" i="2"/>
  <c r="J80" i="2" s="1"/>
  <c r="D76" i="2"/>
  <c r="D282" i="2" s="1"/>
  <c r="AD45" i="12"/>
  <c r="AF45" i="12" s="1"/>
  <c r="I35" i="16"/>
  <c r="C76" i="2"/>
  <c r="C80" i="2" s="1"/>
  <c r="AB45" i="12"/>
  <c r="X101" i="12"/>
  <c r="J48" i="2"/>
  <c r="U33" i="12"/>
  <c r="X44" i="12"/>
  <c r="AD44" i="12"/>
  <c r="AF44" i="12" s="1"/>
  <c r="N280" i="2"/>
  <c r="P280" i="2" s="1"/>
  <c r="Q280" i="2" s="1"/>
  <c r="AB27" i="12"/>
  <c r="AD27" i="12"/>
  <c r="AF27" i="12" s="1"/>
  <c r="G63" i="16"/>
  <c r="G67" i="16" s="1"/>
  <c r="G35" i="15"/>
  <c r="G37" i="15" s="1"/>
  <c r="G41" i="15" s="1"/>
  <c r="AB106" i="12"/>
  <c r="AD54" i="12"/>
  <c r="AF54" i="12" s="1"/>
  <c r="AB54" i="12"/>
  <c r="K82" i="10"/>
  <c r="K85" i="10" s="1"/>
  <c r="K63" i="6"/>
  <c r="C53" i="16"/>
  <c r="I24" i="16"/>
  <c r="AD29" i="12"/>
  <c r="AF29" i="12" s="1"/>
  <c r="I105" i="11"/>
  <c r="I114" i="12"/>
  <c r="J114" i="12" s="1"/>
  <c r="U96" i="12"/>
  <c r="U98" i="12"/>
  <c r="U49" i="12"/>
  <c r="F51" i="16"/>
  <c r="AB29" i="12"/>
  <c r="C35" i="12"/>
  <c r="I32" i="12"/>
  <c r="AB32" i="12" s="1"/>
  <c r="I26" i="12"/>
  <c r="AD26" i="12" s="1"/>
  <c r="AF26" i="12" s="1"/>
  <c r="I52" i="12"/>
  <c r="X52" i="12" s="1"/>
  <c r="C36" i="2"/>
  <c r="AD30" i="12"/>
  <c r="AF30" i="12" s="1"/>
  <c r="X30" i="12"/>
  <c r="AB31" i="12"/>
  <c r="X31" i="12"/>
  <c r="X60" i="12"/>
  <c r="AD60" i="12"/>
  <c r="AF60" i="12" s="1"/>
  <c r="K68" i="5"/>
  <c r="K75" i="5" s="1"/>
  <c r="K78" i="5" s="1"/>
  <c r="I24" i="11"/>
  <c r="D22" i="16"/>
  <c r="D66" i="11"/>
  <c r="I44" i="11"/>
  <c r="I25" i="11"/>
  <c r="I33" i="12"/>
  <c r="J30" i="12" s="1"/>
  <c r="B24" i="15"/>
  <c r="B25" i="15" s="1"/>
  <c r="I25" i="15" s="1"/>
  <c r="P197" i="2"/>
  <c r="Q197" i="2" s="1"/>
  <c r="I80" i="2"/>
  <c r="I282" i="2"/>
  <c r="K76" i="2"/>
  <c r="K48" i="2"/>
  <c r="K36" i="2"/>
  <c r="L76" i="2"/>
  <c r="L282" i="2" s="1"/>
  <c r="L36" i="2"/>
  <c r="L48" i="2"/>
  <c r="I36" i="2"/>
  <c r="I48" i="2"/>
  <c r="F74" i="12"/>
  <c r="F31" i="15" s="1"/>
  <c r="F33" i="15" s="1"/>
  <c r="F35" i="12"/>
  <c r="I50" i="11"/>
  <c r="F36" i="16"/>
  <c r="I29" i="16"/>
  <c r="I59" i="16"/>
  <c r="F61" i="16"/>
  <c r="E282" i="2"/>
  <c r="E80" i="2"/>
  <c r="L37" i="15"/>
  <c r="L41" i="15" s="1"/>
  <c r="S27" i="15"/>
  <c r="Y27" i="15" s="1"/>
  <c r="X86" i="12"/>
  <c r="AB86" i="12"/>
  <c r="C9" i="16"/>
  <c r="B30" i="15"/>
  <c r="B98" i="12"/>
  <c r="AB16" i="12"/>
  <c r="X16" i="12"/>
  <c r="AD16" i="12"/>
  <c r="AF16" i="12" s="1"/>
  <c r="Z35" i="12"/>
  <c r="I14" i="11"/>
  <c r="D15" i="11"/>
  <c r="D27" i="11" s="1"/>
  <c r="U69" i="12"/>
  <c r="U65" i="12"/>
  <c r="U63" i="12"/>
  <c r="U66" i="12"/>
  <c r="U58" i="12"/>
  <c r="U67" i="12"/>
  <c r="U70" i="12"/>
  <c r="U72" i="12"/>
  <c r="U60" i="12"/>
  <c r="U73" i="12"/>
  <c r="U68" i="12"/>
  <c r="U53" i="12"/>
  <c r="U52" i="12"/>
  <c r="U57" i="12"/>
  <c r="U54" i="12"/>
  <c r="U56" i="12"/>
  <c r="Z74" i="12"/>
  <c r="U61" i="12"/>
  <c r="U64" i="12"/>
  <c r="U71" i="12"/>
  <c r="U55" i="12"/>
  <c r="U62" i="12"/>
  <c r="AD28" i="12"/>
  <c r="AF28" i="12" s="1"/>
  <c r="X28" i="12"/>
  <c r="AB28" i="12"/>
  <c r="F27" i="15"/>
  <c r="F7" i="16"/>
  <c r="F11" i="16" s="1"/>
  <c r="B89" i="11"/>
  <c r="U59" i="12"/>
  <c r="C94" i="2"/>
  <c r="B35" i="15"/>
  <c r="U23" i="12"/>
  <c r="Z114" i="12"/>
  <c r="U114" i="12"/>
  <c r="M36" i="2"/>
  <c r="M76" i="2"/>
  <c r="M48" i="2"/>
  <c r="I23" i="16"/>
  <c r="B36" i="16"/>
  <c r="I43" i="16"/>
  <c r="D49" i="12"/>
  <c r="I49" i="12" s="1"/>
  <c r="I46" i="12"/>
  <c r="I39" i="16"/>
  <c r="F80" i="2"/>
  <c r="F282" i="2"/>
  <c r="C61" i="16"/>
  <c r="I58" i="16"/>
  <c r="D23" i="12"/>
  <c r="I23" i="12" s="1"/>
  <c r="I22" i="12"/>
  <c r="S31" i="15"/>
  <c r="Y31" i="15" s="1"/>
  <c r="P33" i="15"/>
  <c r="P37" i="15" s="1"/>
  <c r="P41" i="15" s="1"/>
  <c r="I38" i="11"/>
  <c r="D41" i="11"/>
  <c r="D18" i="16"/>
  <c r="D19" i="16" s="1"/>
  <c r="N67" i="2"/>
  <c r="P67" i="2" s="1"/>
  <c r="Q67" i="2" s="1"/>
  <c r="B32" i="15"/>
  <c r="I96" i="12"/>
  <c r="J86" i="12" s="1"/>
  <c r="B31" i="15"/>
  <c r="X104" i="12"/>
  <c r="AB104" i="12"/>
  <c r="P57" i="2"/>
  <c r="Q57" i="2" s="1"/>
  <c r="B27" i="11"/>
  <c r="AB69" i="12"/>
  <c r="X69" i="12"/>
  <c r="AD69" i="12"/>
  <c r="AF69" i="12" s="1"/>
  <c r="P11" i="2"/>
  <c r="Q11" i="2" s="1"/>
  <c r="N35" i="2"/>
  <c r="H31" i="15"/>
  <c r="H33" i="15" s="1"/>
  <c r="H37" i="15" s="1"/>
  <c r="H41" i="15" s="1"/>
  <c r="H116" i="12"/>
  <c r="N85" i="2"/>
  <c r="P83" i="2"/>
  <c r="Q83" i="2" s="1"/>
  <c r="AD58" i="12"/>
  <c r="AF58" i="12" s="1"/>
  <c r="AB58" i="12"/>
  <c r="X58" i="12"/>
  <c r="B48" i="2"/>
  <c r="B36" i="2"/>
  <c r="B76" i="2"/>
  <c r="N93" i="2"/>
  <c r="P93" i="2" s="1"/>
  <c r="Q93" i="2" s="1"/>
  <c r="P88" i="2"/>
  <c r="Q88" i="2" s="1"/>
  <c r="Y30" i="15"/>
  <c r="T116" i="12"/>
  <c r="T121" i="12" s="1"/>
  <c r="X83" i="12"/>
  <c r="AD83" i="12"/>
  <c r="AF83" i="12" s="1"/>
  <c r="AB83" i="12"/>
  <c r="I16" i="16"/>
  <c r="X67" i="12"/>
  <c r="AB67" i="12"/>
  <c r="AD67" i="12"/>
  <c r="AF67" i="12" s="1"/>
  <c r="AD40" i="12"/>
  <c r="AF40" i="12" s="1"/>
  <c r="X40" i="12"/>
  <c r="AB40" i="12"/>
  <c r="B35" i="12"/>
  <c r="AD53" i="12"/>
  <c r="AF53" i="12" s="1"/>
  <c r="AB53" i="12"/>
  <c r="X53" i="12"/>
  <c r="F66" i="11"/>
  <c r="F89" i="11" s="1"/>
  <c r="F107" i="11" s="1"/>
  <c r="F111" i="11" s="1"/>
  <c r="H36" i="16"/>
  <c r="H53" i="16" s="1"/>
  <c r="H63" i="16" s="1"/>
  <c r="H67" i="16" s="1"/>
  <c r="I31" i="16"/>
  <c r="AB77" i="12"/>
  <c r="X77" i="12"/>
  <c r="AD77" i="12"/>
  <c r="AF77" i="12" s="1"/>
  <c r="I98" i="18" l="1"/>
  <c r="X33" i="18"/>
  <c r="AD33" i="18"/>
  <c r="AF33" i="18" s="1"/>
  <c r="J31" i="18"/>
  <c r="J29" i="18"/>
  <c r="J32" i="18"/>
  <c r="J27" i="18"/>
  <c r="J30" i="18"/>
  <c r="J62" i="18"/>
  <c r="AD74" i="18"/>
  <c r="AF74" i="18" s="1"/>
  <c r="AB74" i="18"/>
  <c r="X74" i="18"/>
  <c r="J63" i="18"/>
  <c r="J68" i="18"/>
  <c r="J61" i="18"/>
  <c r="J66" i="18"/>
  <c r="J54" i="18"/>
  <c r="J57" i="18"/>
  <c r="J67" i="18"/>
  <c r="J55" i="18"/>
  <c r="J71" i="18"/>
  <c r="AB26" i="18"/>
  <c r="AB33" i="18" s="1"/>
  <c r="X26" i="18"/>
  <c r="AD26" i="18"/>
  <c r="AF26" i="18" s="1"/>
  <c r="J26" i="18"/>
  <c r="X49" i="18"/>
  <c r="AB49" i="18"/>
  <c r="AD49" i="18"/>
  <c r="AF49" i="18" s="1"/>
  <c r="J41" i="18"/>
  <c r="J40" i="18"/>
  <c r="J42" i="18"/>
  <c r="J47" i="18"/>
  <c r="J44" i="18"/>
  <c r="B116" i="18"/>
  <c r="I35" i="18"/>
  <c r="D141" i="18"/>
  <c r="D145" i="18" s="1"/>
  <c r="D120" i="18"/>
  <c r="J73" i="18"/>
  <c r="J72" i="18"/>
  <c r="J56" i="18"/>
  <c r="J70" i="18"/>
  <c r="J52" i="18"/>
  <c r="J28" i="18"/>
  <c r="J58" i="18"/>
  <c r="J53" i="18"/>
  <c r="J96" i="18"/>
  <c r="J17" i="18"/>
  <c r="AD23" i="18"/>
  <c r="AF23" i="18" s="1"/>
  <c r="AB23" i="18"/>
  <c r="X23" i="18"/>
  <c r="J20" i="18"/>
  <c r="J21" i="18"/>
  <c r="J19" i="18"/>
  <c r="J16" i="18"/>
  <c r="J18" i="18"/>
  <c r="J114" i="18"/>
  <c r="X114" i="18"/>
  <c r="AB114" i="18"/>
  <c r="C107" i="11"/>
  <c r="C111" i="11" s="1"/>
  <c r="J59" i="18"/>
  <c r="J69" i="18"/>
  <c r="I139" i="18"/>
  <c r="J45" i="18"/>
  <c r="C120" i="18"/>
  <c r="C141" i="18"/>
  <c r="I57" i="16"/>
  <c r="G120" i="12"/>
  <c r="G141" i="12"/>
  <c r="G145" i="12" s="1"/>
  <c r="H120" i="12"/>
  <c r="H141" i="12"/>
  <c r="H145" i="12" s="1"/>
  <c r="E120" i="12"/>
  <c r="E141" i="12"/>
  <c r="E145" i="12" s="1"/>
  <c r="B51" i="16"/>
  <c r="B53" i="16" s="1"/>
  <c r="C116" i="12"/>
  <c r="G80" i="2"/>
  <c r="C282" i="2"/>
  <c r="J282" i="2"/>
  <c r="C27" i="15"/>
  <c r="C37" i="15" s="1"/>
  <c r="C41" i="15" s="1"/>
  <c r="C11" i="16"/>
  <c r="C63" i="16" s="1"/>
  <c r="C67" i="16" s="1"/>
  <c r="D80" i="2"/>
  <c r="I35" i="15"/>
  <c r="W35" i="15" s="1"/>
  <c r="F53" i="16"/>
  <c r="F63" i="16" s="1"/>
  <c r="F67" i="16" s="1"/>
  <c r="AB52" i="12"/>
  <c r="AD52" i="12"/>
  <c r="AF52" i="12" s="1"/>
  <c r="F98" i="12"/>
  <c r="F116" i="12" s="1"/>
  <c r="J27" i="12"/>
  <c r="AD32" i="12"/>
  <c r="AF32" i="12" s="1"/>
  <c r="B116" i="12"/>
  <c r="I15" i="11"/>
  <c r="B9" i="16"/>
  <c r="I9" i="16" s="1"/>
  <c r="AB26" i="12"/>
  <c r="AB33" i="12" s="1"/>
  <c r="X26" i="12"/>
  <c r="X32" i="12"/>
  <c r="I22" i="16"/>
  <c r="D36" i="16"/>
  <c r="D53" i="16" s="1"/>
  <c r="D89" i="11"/>
  <c r="I89" i="11" s="1"/>
  <c r="I24" i="15"/>
  <c r="AC24" i="15" s="1"/>
  <c r="AE24" i="15" s="1"/>
  <c r="J29" i="12"/>
  <c r="J28" i="12"/>
  <c r="X33" i="12"/>
  <c r="J32" i="12"/>
  <c r="J31" i="12"/>
  <c r="J26" i="12"/>
  <c r="AD33" i="12"/>
  <c r="AF33" i="12" s="1"/>
  <c r="K282" i="2"/>
  <c r="K80" i="2"/>
  <c r="N68" i="2"/>
  <c r="P68" i="2" s="1"/>
  <c r="Q68" i="2" s="1"/>
  <c r="I74" i="12"/>
  <c r="J69" i="12" s="1"/>
  <c r="J83" i="12"/>
  <c r="I31" i="15"/>
  <c r="AA31" i="15" s="1"/>
  <c r="J77" i="12"/>
  <c r="I66" i="11"/>
  <c r="J17" i="12"/>
  <c r="AD23" i="12"/>
  <c r="AF23" i="12" s="1"/>
  <c r="AB23" i="12"/>
  <c r="X23" i="12"/>
  <c r="J18" i="12"/>
  <c r="J19" i="12"/>
  <c r="J20" i="12"/>
  <c r="J21" i="12"/>
  <c r="AD22" i="12"/>
  <c r="AF22" i="12" s="1"/>
  <c r="J22" i="12"/>
  <c r="AB22" i="12"/>
  <c r="X22" i="12"/>
  <c r="AD46" i="12"/>
  <c r="AF46" i="12" s="1"/>
  <c r="J46" i="12"/>
  <c r="X46" i="12"/>
  <c r="AB46" i="12"/>
  <c r="X114" i="12"/>
  <c r="AB114" i="12"/>
  <c r="B33" i="15"/>
  <c r="S37" i="15"/>
  <c r="P35" i="2"/>
  <c r="Q35" i="2" s="1"/>
  <c r="N36" i="2"/>
  <c r="P36" i="2" s="1"/>
  <c r="Q36" i="2" s="1"/>
  <c r="N48" i="2"/>
  <c r="P48" i="2" s="1"/>
  <c r="Q48" i="2" s="1"/>
  <c r="M282" i="2"/>
  <c r="AB49" i="12"/>
  <c r="J43" i="12"/>
  <c r="X49" i="12"/>
  <c r="AD49" i="12"/>
  <c r="AF49" i="12" s="1"/>
  <c r="J42" i="12"/>
  <c r="J44" i="12"/>
  <c r="J48" i="12"/>
  <c r="J41" i="12"/>
  <c r="J45" i="12"/>
  <c r="J47" i="12"/>
  <c r="I27" i="11"/>
  <c r="B107" i="11"/>
  <c r="D20" i="15"/>
  <c r="D21" i="15" s="1"/>
  <c r="D35" i="12"/>
  <c r="I35" i="12" s="1"/>
  <c r="D30" i="15"/>
  <c r="D33" i="15" s="1"/>
  <c r="D98" i="12"/>
  <c r="I61" i="16"/>
  <c r="F37" i="15"/>
  <c r="F41" i="15" s="1"/>
  <c r="B80" i="2"/>
  <c r="B282" i="2"/>
  <c r="N94" i="2"/>
  <c r="P94" i="2" s="1"/>
  <c r="Q94" i="2" s="1"/>
  <c r="P85" i="2"/>
  <c r="Q85" i="2" s="1"/>
  <c r="W25" i="15"/>
  <c r="AC25" i="15"/>
  <c r="AE25" i="15" s="1"/>
  <c r="U74" i="12"/>
  <c r="J40" i="12"/>
  <c r="I19" i="16"/>
  <c r="B21" i="15"/>
  <c r="Z116" i="12"/>
  <c r="T120" i="12"/>
  <c r="S33" i="15"/>
  <c r="Y33" i="15" s="1"/>
  <c r="I18" i="16"/>
  <c r="J85" i="12"/>
  <c r="J78" i="12"/>
  <c r="J91" i="12"/>
  <c r="J84" i="12"/>
  <c r="AD96" i="12"/>
  <c r="AF96" i="12" s="1"/>
  <c r="I32" i="15"/>
  <c r="X96" i="12"/>
  <c r="J89" i="12"/>
  <c r="J94" i="12"/>
  <c r="J79" i="12"/>
  <c r="J87" i="12"/>
  <c r="AB96" i="12"/>
  <c r="J88" i="12"/>
  <c r="J80" i="12"/>
  <c r="J95" i="12"/>
  <c r="J92" i="12"/>
  <c r="J93" i="12"/>
  <c r="J90" i="12"/>
  <c r="J81" i="12"/>
  <c r="J82" i="12"/>
  <c r="I41" i="11"/>
  <c r="J16" i="12"/>
  <c r="J33" i="18" l="1"/>
  <c r="J98" i="18"/>
  <c r="X98" i="18"/>
  <c r="AD98" i="18"/>
  <c r="AB98" i="18"/>
  <c r="J49" i="18"/>
  <c r="AD35" i="18"/>
  <c r="AF35" i="18" s="1"/>
  <c r="AB35" i="18"/>
  <c r="X35" i="18"/>
  <c r="J23" i="18"/>
  <c r="J74" i="18"/>
  <c r="B141" i="18"/>
  <c r="B145" i="18" s="1"/>
  <c r="B120" i="18"/>
  <c r="I116" i="18"/>
  <c r="I141" i="18" s="1"/>
  <c r="F120" i="12"/>
  <c r="F141" i="12"/>
  <c r="F145" i="12" s="1"/>
  <c r="C120" i="12"/>
  <c r="I51" i="16"/>
  <c r="AA35" i="15"/>
  <c r="AC35" i="15"/>
  <c r="AE35" i="15" s="1"/>
  <c r="I98" i="12"/>
  <c r="AB98" i="12" s="1"/>
  <c r="W24" i="15"/>
  <c r="D107" i="11"/>
  <c r="D111" i="11" s="1"/>
  <c r="J58" i="12"/>
  <c r="I36" i="16"/>
  <c r="I20" i="15"/>
  <c r="AC20" i="15" s="1"/>
  <c r="AE20" i="15" s="1"/>
  <c r="I53" i="16"/>
  <c r="AA24" i="15"/>
  <c r="AA25" i="15" s="1"/>
  <c r="J33" i="12"/>
  <c r="AC31" i="15"/>
  <c r="AE31" i="15" s="1"/>
  <c r="J63" i="12"/>
  <c r="J60" i="12"/>
  <c r="J56" i="12"/>
  <c r="W31" i="15"/>
  <c r="N76" i="2"/>
  <c r="J61" i="12"/>
  <c r="J57" i="12"/>
  <c r="J54" i="12"/>
  <c r="J73" i="12"/>
  <c r="J72" i="12"/>
  <c r="J68" i="12"/>
  <c r="J65" i="12"/>
  <c r="J70" i="12"/>
  <c r="J55" i="12"/>
  <c r="J52" i="12"/>
  <c r="AD74" i="12"/>
  <c r="AF74" i="12" s="1"/>
  <c r="J62" i="12"/>
  <c r="J66" i="12"/>
  <c r="J67" i="12"/>
  <c r="J64" i="12"/>
  <c r="X74" i="12"/>
  <c r="AB74" i="12"/>
  <c r="J71" i="12"/>
  <c r="J59" i="12"/>
  <c r="J53" i="12"/>
  <c r="J23" i="12"/>
  <c r="J96" i="12"/>
  <c r="I21" i="15"/>
  <c r="B7" i="16"/>
  <c r="B27" i="15"/>
  <c r="J49" i="12"/>
  <c r="D116" i="12"/>
  <c r="S41" i="15"/>
  <c r="Y37" i="15"/>
  <c r="Y41" i="15" s="1"/>
  <c r="I30" i="15"/>
  <c r="B120" i="12"/>
  <c r="D7" i="16"/>
  <c r="D11" i="16" s="1"/>
  <c r="D63" i="16" s="1"/>
  <c r="D67" i="16" s="1"/>
  <c r="D27" i="15"/>
  <c r="D37" i="15" s="1"/>
  <c r="D41" i="15" s="1"/>
  <c r="W32" i="15"/>
  <c r="AC32" i="15"/>
  <c r="AE32" i="15" s="1"/>
  <c r="AA32" i="15"/>
  <c r="X35" i="12"/>
  <c r="AB35" i="12"/>
  <c r="AD35" i="12"/>
  <c r="AF35" i="12" s="1"/>
  <c r="B111" i="11"/>
  <c r="I120" i="18" l="1"/>
  <c r="X116" i="18"/>
  <c r="I145" i="18"/>
  <c r="AB116" i="18"/>
  <c r="I121" i="18"/>
  <c r="D120" i="12"/>
  <c r="J98" i="12"/>
  <c r="AD98" i="12"/>
  <c r="X98" i="12"/>
  <c r="I107" i="11"/>
  <c r="I111" i="11" s="1"/>
  <c r="W20" i="15"/>
  <c r="AA20" i="15"/>
  <c r="I116" i="12"/>
  <c r="P79" i="2"/>
  <c r="Q79" i="2" s="1"/>
  <c r="N282" i="2"/>
  <c r="P282" i="2" s="1"/>
  <c r="Q282" i="2" s="1"/>
  <c r="J74" i="12"/>
  <c r="P76" i="2"/>
  <c r="Q76" i="2" s="1"/>
  <c r="B37" i="15"/>
  <c r="B41" i="15" s="1"/>
  <c r="I27" i="15"/>
  <c r="I7" i="16"/>
  <c r="B11" i="16"/>
  <c r="AA30" i="15"/>
  <c r="W30" i="15"/>
  <c r="AC30" i="15"/>
  <c r="AE30" i="15" s="1"/>
  <c r="I33" i="15"/>
  <c r="AC21" i="15"/>
  <c r="AE21" i="15" s="1"/>
  <c r="AA21" i="15"/>
  <c r="W21" i="15"/>
  <c r="I120" i="12" l="1"/>
  <c r="I121" i="12"/>
  <c r="X116" i="12"/>
  <c r="AB116" i="12"/>
  <c r="W33" i="15"/>
  <c r="AC33" i="15"/>
  <c r="AE33" i="15" s="1"/>
  <c r="AA33" i="15"/>
  <c r="I11" i="16"/>
  <c r="B63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41" i="15"/>
  <c r="B67" i="16"/>
  <c r="I63" i="16"/>
  <c r="I67" i="16" s="1"/>
  <c r="I126" i="12" l="1"/>
  <c r="I124" i="12"/>
  <c r="I123" i="12"/>
  <c r="D139" i="12" l="1"/>
  <c r="D141" i="12" s="1"/>
  <c r="D145" i="12" s="1"/>
  <c r="B139" i="12"/>
  <c r="B141" i="12" s="1"/>
  <c r="B145" i="12" s="1"/>
  <c r="C139" i="12"/>
  <c r="C141" i="12" s="1"/>
  <c r="C145" i="12" s="1"/>
  <c r="I125" i="12" l="1"/>
  <c r="I139" i="12" s="1"/>
  <c r="I141" i="12" s="1"/>
  <c r="I14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18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19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2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<sst xmlns="http://schemas.openxmlformats.org/spreadsheetml/2006/main" count="1483" uniqueCount="504">
  <si>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</si>
  <si>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</si>
  <si>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</si>
  <si>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</si>
  <si>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</si>
  <si>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</si>
  <si>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</si>
  <si>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</si>
  <si>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</si>
  <si>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</si>
  <si>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</si>
  <si>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</si>
  <si>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</si>
  <si>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</si>
  <si>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</si>
  <si>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</si>
  <si>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</si>
  <si>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</si>
  <si>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</si>
  <si>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</si>
  <si>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</si>
  <si>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</si>
  <si>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</si>
  <si>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</si>
  <si>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</si>
  <si>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</si>
  <si>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</si>
  <si>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</si>
  <si>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</si>
  <si>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</si>
  <si>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</si>
  <si>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</si>
  <si>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</si>
  <si>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</si>
  <si>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</si>
  <si>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</si>
  <si>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</si>
  <si>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</si>
  <si>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</si>
  <si>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</si>
  <si>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</si>
  <si>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</si>
  <si>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</si>
  <si>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</si>
  <si>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</si>
  <si>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</si>
  <si>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</si>
  <si>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</si>
  <si>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</si>
  <si>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</si>
  <si>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</si>
  <si>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</si>
  <si>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</si>
  <si>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</si>
  <si>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</si>
  <si>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</si>
  <si>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</si>
  <si>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</si>
  <si>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</si>
  <si>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</si>
  <si>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</si>
  <si>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</si>
  <si>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</si>
  <si>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</si>
  <si>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</si>
  <si>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</si>
  <si>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</si>
  <si>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</si>
  <si>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</si>
  <si>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</si>
  <si>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</si>
  <si>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</si>
  <si>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</si>
  <si>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</si>
  <si>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</si>
  <si>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</si>
  <si>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</si>
  <si>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</si>
  <si>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</si>
  <si>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</si>
  <si>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</si>
  <si>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</si>
  <si>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</si>
  <si>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</si>
  <si>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</si>
  <si>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</si>
  <si>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</si>
  <si>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</si>
  <si>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</si>
  <si>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</si>
  <si>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</si>
  <si>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</si>
  <si>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</si>
  <si>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</si>
  <si>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</si>
  <si>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</si>
  <si>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</si>
  <si>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</si>
  <si>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</si>
  <si>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</si>
  <si>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</si>
  <si>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</si>
  <si>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</si>
  <si>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</si>
  <si>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</si>
  <si>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</si>
  <si>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</si>
  <si>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</si>
  <si>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</si>
  <si>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</si>
  <si>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</si>
  <si>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</si>
  <si>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</si>
  <si>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</si>
  <si>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</si>
  <si>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</si>
  <si>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</si>
  <si>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</si>
  <si>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</si>
  <si>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</si>
  <si>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</si>
  <si>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</si>
  <si>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</si>
  <si>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</si>
  <si>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</si>
  <si>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</si>
  <si>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</si>
  <si>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</si>
  <si>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</si>
  <si>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</si>
  <si>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</si>
  <si>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</si>
  <si>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</si>
  <si>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</si>
  <si>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</si>
  <si>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</si>
  <si>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</si>
  <si>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</si>
  <si>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</si>
  <si>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</si>
  <si>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</si>
  <si>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</si>
  <si>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</si>
  <si>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</si>
  <si>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</si>
  <si>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</si>
  <si>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</si>
  <si>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</si>
  <si>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</si>
  <si>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</si>
  <si>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</si>
  <si>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</si>
  <si>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</si>
  <si>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</si>
  <si>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</si>
  <si>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</si>
  <si>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</si>
  <si>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</si>
  <si>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</si>
  <si>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</si>
  <si>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</si>
  <si>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</si>
  <si>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</si>
  <si>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</si>
  <si>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</si>
  <si>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</si>
  <si>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</si>
  <si>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</si>
  <si>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</si>
  <si>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</si>
  <si>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</si>
  <si>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</si>
  <si>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</si>
  <si>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</si>
  <si>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</si>
  <si>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</si>
  <si>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</si>
  <si>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</si>
  <si>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</si>
  <si>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</si>
  <si>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</si>
  <si>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</si>
  <si>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</si>
  <si>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</si>
  <si>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</si>
  <si>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</si>
  <si>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</si>
  <si>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</si>
  <si>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</si>
  <si>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</si>
  <si>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</si>
  <si>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</si>
  <si>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</si>
  <si>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</si>
  <si>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</si>
  <si>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</si>
  <si>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</si>
  <si>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</si>
  <si>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</si>
  <si>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</si>
  <si>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</si>
  <si>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</si>
  <si>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</si>
  <si>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</si>
  <si>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</si>
  <si>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</si>
  <si>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</si>
  <si>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</si>
  <si>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</si>
  <si>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</si>
  <si>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</si>
  <si>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</si>
  <si>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</si>
  <si>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</si>
  <si>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</si>
  <si>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</si>
  <si>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</si>
  <si>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</si>
  <si>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</si>
  <si>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</si>
  <si>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</si>
  <si>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</si>
  <si>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</si>
  <si>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</si>
  <si>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</si>
  <si>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</si>
  <si>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</si>
  <si>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</si>
  <si>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</si>
  <si>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</si>
  <si>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</si>
  <si>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</si>
  <si>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</si>
  <si>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</si>
  <si>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Facilitiy Expense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</si>
  <si>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</si>
  <si>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</si>
  <si>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</si>
  <si>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</si>
  <si>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</si>
  <si>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</si>
  <si>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</si>
  <si>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</si>
  <si>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</si>
  <si>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</si>
  <si>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</si>
  <si>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</si>
  <si>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</si>
  <si>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</si>
  <si>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</si>
  <si>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</si>
  <si>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</si>
  <si>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</si>
  <si>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</si>
  <si>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</si>
  <si>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</si>
  <si>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</si>
  <si>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</si>
  <si>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</si>
  <si>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</si>
  <si>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</si>
  <si>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</si>
  <si>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</si>
  <si>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</si>
  <si>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</si>
  <si>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</si>
  <si>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</si>
  <si>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</si>
  <si>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</si>
  <si>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</si>
  <si>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</si>
  <si>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</si>
  <si>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</si>
  <si>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</si>
  <si>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</si>
  <si>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</si>
  <si>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</si>
  <si>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</si>
  <si>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</si>
  <si>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</si>
  <si>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</si>
  <si>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</si>
  <si>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</si>
  <si>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</si>
  <si>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</si>
  <si>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</si>
  <si>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</si>
  <si>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</si>
  <si>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</si>
  <si>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</si>
  <si>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</si>
  <si>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</si>
  <si>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</si>
  <si>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</si>
  <si>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</si>
  <si>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</si>
  <si>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</si>
  <si>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</si>
  <si>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</si>
  <si>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</si>
  <si>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</si>
  <si>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</si>
  <si>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</si>
  <si>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</si>
  <si>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</si>
  <si>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</si>
  <si>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</si>
  <si>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</si>
  <si>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</si>
  <si>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</si>
  <si>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</si>
  <si>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</si>
  <si>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</si>
  <si>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</si>
  <si>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</si>
  <si>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</si>
  <si>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</si>
  <si>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</si>
  <si>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</si>
  <si>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</si>
  <si>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</si>
  <si>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</si>
  <si>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</si>
  <si>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</si>
  <si>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</si>
  <si>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</si>
  <si>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</si>
  <si>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</si>
  <si>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</si>
  <si>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</si>
  <si>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</si>
  <si>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</si>
  <si>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</si>
  <si>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</si>
  <si>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</si>
  <si>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</si>
  <si>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</si>
  <si>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</si>
  <si>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</si>
  <si>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</si>
  <si>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</si>
  <si>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</si>
  <si>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</si>
  <si>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</si>
  <si>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</si>
  <si>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</si>
  <si>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</si>
  <si>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</si>
  <si>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</si>
  <si>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</si>
  <si>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Aquafine Machine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</si>
  <si>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</si>
  <si>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</si>
  <si>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</si>
  <si>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</si>
  <si>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</si>
  <si>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</si>
  <si>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</si>
  <si>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</si>
  <si>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</si>
  <si>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</si>
  <si>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</si>
  <si>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</si>
  <si>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</si>
  <si>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</si>
  <si>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</si>
  <si>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</si>
  <si>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</si>
  <si>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Misc Income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</si>
  <si>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</si>
  <si>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</si>
  <si>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</si>
  <si>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</si>
  <si>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</si>
  <si>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</si>
  <si>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</si>
  <si>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</si>
  <si>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</si>
  <si>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</si>
  <si>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</si>
  <si>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</si>
  <si>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</si>
  <si>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</si>
  <si>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</si>
  <si>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</si>
  <si>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</si>
  <si>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</si>
  <si>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</si>
  <si>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</si>
  <si>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</si>
  <si>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</si>
  <si>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</si>
  <si>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</si>
  <si>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</si>
  <si>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</si>
  <si>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</si>
  <si>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</si>
  <si>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</si>
  <si>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</si>
  <si>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</si>
  <si>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</si>
  <si>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</si>
  <si>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</si>
  <si>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</si>
  <si>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</si>
  <si>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</si>
  <si>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</si>
  <si>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</si>
  <si>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</si>
  <si>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</si>
  <si>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</si>
  <si>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</si>
  <si>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</si>
  <si>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</si>
  <si>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</si>
  <si>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</si>
  <si>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</si>
  <si>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</si>
  <si>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</si>
  <si>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</si>
  <si>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</si>
  <si>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</si>
  <si>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</si>
  <si>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</si>
  <si>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>Accounting</t>
  </si>
  <si>
    <t>Appraisal fee</t>
  </si>
  <si>
    <t>includes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</si>
  <si>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</si>
  <si>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</si>
  <si>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</si>
  <si>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</si>
  <si>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</si>
  <si>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</si>
  <si>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</si>
  <si>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</si>
  <si>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</si>
  <si>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</si>
  <si>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</si>
  <si>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</si>
  <si>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</si>
  <si>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</si>
  <si>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</si>
  <si>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</si>
  <si>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</si>
  <si>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</si>
  <si>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</si>
  <si>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</si>
  <si>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</si>
  <si>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</si>
  <si>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</si>
  <si>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</si>
  <si>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</si>
  <si>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</si>
  <si>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</si>
  <si>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</si>
  <si>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</si>
  <si>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</si>
  <si>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</si>
  <si>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</si>
  <si>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</si>
  <si>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</si>
  <si>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</si>
  <si>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</si>
  <si>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</si>
  <si>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</si>
  <si>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</si>
  <si>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</si>
  <si>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</si>
  <si>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</si>
  <si>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</si>
  <si>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09/01/2018 to 09/30/2017</t>
  </si>
  <si>
    <t>09/30/2018 to 9/30/2017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</si>
  <si>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</si>
  <si>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</si>
  <si>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</si>
  <si>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</si>
  <si>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</si>
  <si>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</si>
  <si>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</si>
  <si>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</si>
  <si>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</si>
  <si>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</si>
  <si>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</si>
  <si>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>Suggested Allocation</t>
  </si>
  <si>
    <t xml:space="preserve">      Salary </t>
  </si>
  <si>
    <t xml:space="preserve">      Payroll Taxes</t>
  </si>
  <si>
    <t xml:space="preserve">      Employee Benefits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</si>
  <si>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</si>
  <si>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</si>
  <si>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</si>
  <si>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Management Fees</t>
  </si>
  <si>
    <t xml:space="preserve">      Travel expense for DEP (Estimated)</t>
  </si>
  <si>
    <t xml:space="preserve">      Travel expense for BPM (Estimated)</t>
  </si>
  <si>
    <t>Total suggested Allocations</t>
  </si>
  <si>
    <t>Adjusted Net Income (loss):</t>
  </si>
  <si>
    <t xml:space="preserve">      Rent - $5,000 mnthly  (BPM to Oliari Co)</t>
  </si>
  <si>
    <t xml:space="preserve">      Prof Fees - Legal ( 10% each of CNT)</t>
  </si>
  <si>
    <t xml:space="preserve">      Prof Fees - HR ( 25% DEP &amp; 10% BPM)</t>
  </si>
  <si>
    <t xml:space="preserve">      Lunch Program (25% DEP 10 % BPM)</t>
  </si>
  <si>
    <t xml:space="preserve">      3% Safe Harbor</t>
  </si>
  <si>
    <t xml:space="preserve">      Event (accrued to date of $35,000)</t>
  </si>
  <si>
    <t>Projected 4th Quarter Income (Loss):</t>
  </si>
  <si>
    <t>Projected Year End Income (Loss):</t>
  </si>
  <si>
    <t xml:space="preserve">      Auto (Ford lease)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</si>
</sst>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4">
    <xf numFmtId="0" fontId="0" fillId="0" borderId="0" xfId="0"/>
    <xf numFmtId="44" fontId="1" fillId="0" borderId="0" xfId="2" applyFont="1" applyFill="1"/>
    <xf numFmtId="0" fontId="0" fillId="0" borderId="0" xfId="0" applyFont="1" applyFill="1"/>
    <xf numFmtId="17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1" fillId="0" borderId="0" xfId="2" applyNumberFormat="1" applyFont="1" applyFill="1"/>
    <xf numFmtId="44" fontId="1" fillId="0" borderId="0" xfId="2" applyFont="1" applyFill="1" applyBorder="1"/>
    <xf numFmtId="0" fontId="0" fillId="0" borderId="0" xfId="0" applyFont="1" applyFill="1"/>
    <xf numFmtId="44" fontId="1" fillId="0" borderId="2" xfId="2" applyFont="1" applyFill="1" applyBorder="1"/>
    <xf numFmtId="44" fontId="1" fillId="0" borderId="2" xfId="2" applyNumberFormat="1" applyFont="1" applyFill="1" applyBorder="1"/>
    <xf numFmtId="8" fontId="1" fillId="0" borderId="0" xfId="2" applyNumberFormat="1" applyFont="1" applyFill="1"/>
    <xf numFmtId="44" fontId="1" fillId="0" borderId="0" xfId="3" applyNumberFormat="1" applyFont="1" applyFill="1"/>
    <xf numFmtId="44" fontId="3" fillId="0" borderId="0" xfId="2" applyNumberFormat="1" applyFont="1" applyFill="1"/>
    <xf numFmtId="44" fontId="4" fillId="0" borderId="0" xfId="2" applyNumberFormat="1" applyFont="1" applyFill="1"/>
    <xf numFmtId="44" fontId="3" fillId="0" borderId="0" xfId="2" applyFont="1" applyFill="1"/>
    <xf numFmtId="44" fontId="1" fillId="2" borderId="3" xfId="2" applyFont="1" applyFill="1" applyBorder="1"/>
    <xf numFmtId="10" fontId="1" fillId="0" borderId="0" xfId="3" applyNumberFormat="1" applyFont="1" applyFill="1" applyBorder="1"/>
    <xf numFmtId="0" fontId="0" fillId="0" borderId="0" xfId="0" applyFont="1" applyFill="1" applyBorder="1"/>
    <xf numFmtId="8" fontId="1" fillId="0" borderId="0" xfId="2" applyNumberFormat="1" applyFont="1" applyFill="1" applyBorder="1"/>
    <xf numFmtId="8" fontId="1" fillId="0" borderId="0" xfId="2" applyNumberFormat="1" applyFont="1" applyFill="1" applyBorder="1"/>
    <xf numFmtId="44" fontId="0" fillId="0" borderId="0" xfId="0" applyNumberFormat="1" applyFont="1" applyFill="1" applyBorder="1"/>
    <xf numFmtId="44" fontId="1" fillId="0" borderId="0" xfId="2" applyNumberFormat="1" applyFont="1" applyFill="1" applyBorder="1"/>
    <xf numFmtId="44" fontId="1" fillId="2" borderId="4" xfId="2" applyFont="1" applyFill="1" applyBorder="1"/>
    <xf numFmtId="44" fontId="5" fillId="0" borderId="0" xfId="2" applyFont="1" applyFill="1"/>
    <xf numFmtId="44" fontId="1" fillId="0" borderId="5" xfId="2" applyFont="1" applyFill="1" applyBorder="1"/>
    <xf numFmtId="44" fontId="4" fillId="0" borderId="6" xfId="2" applyNumberFormat="1" applyFont="1" applyFill="1" applyBorder="1"/>
    <xf numFmtId="44" fontId="4" fillId="0" borderId="2" xfId="2" applyNumberFormat="1" applyFont="1" applyFill="1" applyBorder="1"/>
    <xf numFmtId="44" fontId="4" fillId="0" borderId="5" xfId="2" applyNumberFormat="1" applyFont="1" applyFill="1" applyBorder="1"/>
    <xf numFmtId="44" fontId="1" fillId="0" borderId="7" xfId="2" applyFont="1" applyFill="1" applyBorder="1"/>
    <xf numFmtId="0" fontId="0" fillId="0" borderId="8" xfId="0" applyFont="1" applyFill="1" applyBorder="1"/>
    <xf numFmtId="44" fontId="0" fillId="0" borderId="9" xfId="0" applyNumberFormat="1" applyFont="1" applyFill="1" applyBorder="1"/>
    <xf numFmtId="44" fontId="1" fillId="0" borderId="10" xfId="2" applyFont="1" applyFill="1" applyBorder="1"/>
    <xf numFmtId="0" fontId="0" fillId="0" borderId="9" xfId="0" applyFont="1" applyFill="1" applyBorder="1"/>
    <xf numFmtId="44" fontId="1" fillId="0" borderId="3" xfId="2" applyFont="1" applyFill="1" applyBorder="1"/>
    <xf numFmtId="44" fontId="1" fillId="0" borderId="11" xfId="2" applyFont="1" applyFill="1" applyBorder="1"/>
    <xf numFmtId="44" fontId="1" fillId="0" borderId="12" xfId="2" applyFont="1" applyFill="1" applyBorder="1"/>
    <xf numFmtId="0" fontId="0" fillId="0" borderId="13" xfId="0" applyFont="1" applyFill="1" applyBorder="1"/>
    <xf numFmtId="0" fontId="0" fillId="0" borderId="12" xfId="0" applyFont="1" applyFill="1" applyBorder="1"/>
    <xf numFmtId="0" fontId="2" fillId="0" borderId="0" xfId="0" applyFont="1" applyFill="1"/>
    <xf numFmtId="44" fontId="2" fillId="0" borderId="3" xfId="2" applyFont="1" applyFill="1" applyBorder="1"/>
    <xf numFmtId="44" fontId="1" fillId="3" borderId="0" xfId="2" applyFont="1" applyFill="1"/>
    <xf numFmtId="44" fontId="1" fillId="3" borderId="0" xfId="2" applyNumberFormat="1" applyFont="1" applyFill="1"/>
    <xf numFmtId="8" fontId="1" fillId="3" borderId="0" xfId="2" applyNumberFormat="1" applyFont="1" applyFill="1"/>
    <xf numFmtId="43" fontId="1" fillId="3" borderId="0" xfId="1" applyFont="1" applyFill="1"/>
    <xf numFmtId="44" fontId="2" fillId="0" borderId="5" xfId="2" applyFont="1" applyFill="1" applyBorder="1"/>
    <xf numFmtId="44" fontId="2" fillId="0" borderId="3" xfId="0" applyNumberFormat="1" applyFont="1" applyFill="1" applyBorder="1"/>
    <xf numFmtId="44" fontId="0" fillId="0" borderId="0" xfId="0" applyNumberFormat="1" applyFont="1" applyFill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6" fillId="0" borderId="0" xfId="0" applyFont="1"/>
    <xf numFmtId="0" fontId="0" fillId="0" borderId="0" xfId="0" applyFill="1"/>
    <xf numFmtId="0" fontId="6" fillId="0" borderId="0" xfId="0" applyFont="1" applyFill="1"/>
    <xf numFmtId="43" fontId="1" fillId="0" borderId="0" xfId="1" applyFont="1" applyFill="1"/>
    <xf numFmtId="44" fontId="1" fillId="0" borderId="0" xfId="2" applyFont="1" applyFill="1"/>
    <xf numFmtId="43" fontId="0" fillId="0" borderId="0" xfId="0" applyNumberForma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/>
    <xf numFmtId="43" fontId="7" fillId="0" borderId="0" xfId="1" applyFont="1" applyAlignment="1">
      <alignment horizontal="center"/>
    </xf>
    <xf numFmtId="0" fontId="7" fillId="0" borderId="0" xfId="0" applyFont="1" applyFill="1" applyAlignment="1">
      <alignment vertical="center"/>
    </xf>
    <xf numFmtId="43" fontId="8" fillId="0" borderId="0" xfId="1" applyFont="1"/>
    <xf numFmtId="0" fontId="8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43" fontId="8" fillId="0" borderId="0" xfId="0" applyNumberFormat="1" applyFont="1" applyFill="1"/>
    <xf numFmtId="10" fontId="8" fillId="0" borderId="0" xfId="3" applyNumberFormat="1" applyFont="1" applyFill="1" applyAlignment="1">
      <alignment horizontal="center"/>
    </xf>
    <xf numFmtId="10" fontId="8" fillId="0" borderId="0" xfId="3" applyNumberFormat="1" applyFont="1" applyAlignment="1">
      <alignment horizontal="center"/>
    </xf>
    <xf numFmtId="43" fontId="8" fillId="0" borderId="0" xfId="0" applyNumberFormat="1" applyFont="1"/>
    <xf numFmtId="43" fontId="8" fillId="0" borderId="2" xfId="0" applyNumberFormat="1" applyFont="1" applyFill="1" applyBorder="1"/>
    <xf numFmtId="10" fontId="8" fillId="0" borderId="0" xfId="3" applyNumberFormat="1" applyFont="1" applyFill="1" applyBorder="1" applyAlignment="1">
      <alignment horizontal="center"/>
    </xf>
    <xf numFmtId="10" fontId="8" fillId="0" borderId="2" xfId="3" applyNumberFormat="1" applyFont="1" applyBorder="1" applyAlignment="1">
      <alignment horizontal="center"/>
    </xf>
    <xf numFmtId="10" fontId="8" fillId="0" borderId="0" xfId="3" applyNumberFormat="1" applyFont="1" applyBorder="1" applyAlignment="1">
      <alignment horizontal="center"/>
    </xf>
    <xf numFmtId="43" fontId="8" fillId="0" borderId="2" xfId="0" applyNumberFormat="1" applyFont="1" applyBorder="1"/>
    <xf numFmtId="9" fontId="8" fillId="0" borderId="0" xfId="3" applyFont="1" applyAlignment="1">
      <alignment horizontal="center"/>
    </xf>
    <xf numFmtId="43" fontId="8" fillId="0" borderId="14" xfId="0" applyNumberFormat="1" applyFont="1" applyFill="1" applyBorder="1"/>
    <xf numFmtId="43" fontId="8" fillId="0" borderId="14" xfId="0" applyNumberFormat="1" applyFont="1" applyBorder="1"/>
    <xf numFmtId="10" fontId="8" fillId="0" borderId="14" xfId="3" applyNumberFormat="1" applyFont="1" applyBorder="1" applyAlignment="1">
      <alignment horizontal="center"/>
    </xf>
    <xf numFmtId="9" fontId="8" fillId="0" borderId="14" xfId="3" applyFont="1" applyBorder="1" applyAlignment="1">
      <alignment horizontal="center"/>
    </xf>
    <xf numFmtId="43" fontId="7" fillId="0" borderId="3" xfId="0" applyNumberFormat="1" applyFont="1" applyFill="1" applyBorder="1"/>
    <xf numFmtId="43" fontId="7" fillId="0" borderId="3" xfId="0" applyNumberFormat="1" applyFont="1" applyBorder="1"/>
    <xf numFmtId="0" fontId="9" fillId="0" borderId="0" xfId="0" applyFont="1"/>
    <xf numFmtId="0" fontId="10" fillId="0" borderId="6" xfId="0" applyFont="1" applyFill="1" applyBorder="1" applyAlignment="1">
      <alignment horizontal="center"/>
    </xf>
    <xf numFmtId="43" fontId="9" fillId="0" borderId="0" xfId="1" applyFont="1"/>
    <xf numFmtId="0" fontId="10" fillId="0" borderId="0" xfId="0" applyFont="1"/>
    <xf numFmtId="43" fontId="9" fillId="0" borderId="0" xfId="0" applyNumberFormat="1" applyFont="1" applyFill="1"/>
    <xf numFmtId="43" fontId="9" fillId="0" borderId="2" xfId="0" applyNumberFormat="1" applyFont="1" applyFill="1" applyBorder="1"/>
    <xf numFmtId="43" fontId="9" fillId="0" borderId="14" xfId="0" applyNumberFormat="1" applyFont="1" applyFill="1" applyBorder="1"/>
    <xf numFmtId="43" fontId="10" fillId="0" borderId="3" xfId="0" applyNumberFormat="1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8" fillId="0" borderId="0" xfId="0" applyNumberFormat="1" applyFont="1" applyFill="1" applyBorder="1"/>
    <xf numFmtId="43" fontId="7" fillId="0" borderId="0" xfId="0" applyNumberFormat="1" applyFont="1" applyFill="1" applyBorder="1"/>
    <xf numFmtId="0" fontId="8" fillId="0" borderId="0" xfId="0" applyFont="1" applyBorder="1"/>
    <xf numFmtId="43" fontId="8" fillId="0" borderId="0" xfId="0" applyNumberFormat="1" applyFont="1" applyBorder="1"/>
    <xf numFmtId="43" fontId="8" fillId="0" borderId="0" xfId="1" applyFont="1" applyBorder="1"/>
    <xf numFmtId="43" fontId="7" fillId="0" borderId="0" xfId="0" applyNumberFormat="1" applyFont="1" applyBorder="1"/>
    <xf numFmtId="43" fontId="1" fillId="0" borderId="0" xfId="1" applyFont="1" applyBorder="1"/>
    <xf numFmtId="43" fontId="9" fillId="0" borderId="6" xfId="0" applyNumberFormat="1" applyFont="1" applyFill="1" applyBorder="1"/>
    <xf numFmtId="43" fontId="9" fillId="0" borderId="0" xfId="0" applyNumberFormat="1" applyFont="1" applyFill="1" applyBorder="1"/>
    <xf numFmtId="43" fontId="1" fillId="0" borderId="6" xfId="1" applyFont="1" applyBorder="1"/>
    <xf numFmtId="43" fontId="8" fillId="4" borderId="0" xfId="0" applyNumberFormat="1" applyFont="1" applyFill="1"/>
    <xf numFmtId="43" fontId="1" fillId="4" borderId="0" xfId="1" applyFont="1" applyFill="1"/>
    <xf numFmtId="164" fontId="1" fillId="0" borderId="0" xfId="1" applyNumberFormat="1" applyFont="1"/>
    <xf numFmtId="43" fontId="0" fillId="0" borderId="0" xfId="0" applyNumberFormat="1"/>
    <xf numFmtId="0" fontId="12" fillId="0" borderId="0" xfId="0" applyFont="1" applyFill="1" applyAlignment="1"/>
    <xf numFmtId="0" fontId="4" fillId="0" borderId="0" xfId="0" applyFont="1" applyFill="1"/>
    <xf numFmtId="0" fontId="13" fillId="0" borderId="0" xfId="0" applyFont="1" applyFill="1"/>
    <xf numFmtId="0" fontId="4" fillId="2" borderId="0" xfId="0" applyFont="1" applyFill="1"/>
    <xf numFmtId="0" fontId="4" fillId="0" borderId="0" xfId="0" applyFont="1" applyFill="1" applyBorder="1"/>
    <xf numFmtId="0" fontId="14" fillId="0" borderId="0" xfId="0" applyFont="1" applyFill="1" applyAlignment="1">
      <alignment wrapText="1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2" xfId="0" applyFont="1" applyFill="1" applyBorder="1"/>
    <xf numFmtId="0" fontId="4" fillId="0" borderId="0" xfId="0" applyFont="1" applyAlignment="1">
      <alignment vertical="top"/>
    </xf>
    <xf numFmtId="0" fontId="14" fillId="0" borderId="0" xfId="0" applyFont="1" applyFill="1"/>
    <xf numFmtId="0" fontId="4" fillId="3" borderId="0" xfId="0" applyFont="1" applyFill="1"/>
    <xf numFmtId="0" fontId="15" fillId="0" borderId="0" xfId="0" applyFont="1"/>
    <xf numFmtId="0" fontId="15" fillId="0" borderId="0" xfId="0" applyFont="1" applyFill="1"/>
    <xf numFmtId="43" fontId="15" fillId="0" borderId="0" xfId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43" fontId="16" fillId="0" borderId="0" xfId="1" applyFont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0" xfId="0" applyFont="1"/>
    <xf numFmtId="0" fontId="16" fillId="0" borderId="0" xfId="0" applyFont="1" applyFill="1"/>
    <xf numFmtId="43" fontId="15" fillId="0" borderId="0" xfId="0" applyNumberFormat="1" applyFont="1" applyFill="1"/>
    <xf numFmtId="10" fontId="15" fillId="0" borderId="0" xfId="3" applyNumberFormat="1" applyFont="1" applyFill="1" applyAlignment="1">
      <alignment horizontal="center"/>
    </xf>
    <xf numFmtId="10" fontId="15" fillId="0" borderId="0" xfId="3" applyNumberFormat="1" applyFont="1" applyAlignment="1">
      <alignment horizontal="center"/>
    </xf>
    <xf numFmtId="43" fontId="15" fillId="0" borderId="0" xfId="0" applyNumberFormat="1" applyFont="1"/>
    <xf numFmtId="43" fontId="15" fillId="0" borderId="0" xfId="1" applyFont="1" applyAlignment="1">
      <alignment horizontal="center"/>
    </xf>
    <xf numFmtId="43" fontId="15" fillId="0" borderId="2" xfId="0" applyNumberFormat="1" applyFont="1" applyFill="1" applyBorder="1"/>
    <xf numFmtId="10" fontId="15" fillId="0" borderId="2" xfId="3" applyNumberFormat="1" applyFont="1" applyFill="1" applyBorder="1" applyAlignment="1">
      <alignment horizontal="center"/>
    </xf>
    <xf numFmtId="10" fontId="15" fillId="0" borderId="0" xfId="3" applyNumberFormat="1" applyFont="1" applyFill="1" applyBorder="1" applyAlignment="1">
      <alignment horizontal="center"/>
    </xf>
    <xf numFmtId="10" fontId="15" fillId="0" borderId="2" xfId="3" applyNumberFormat="1" applyFont="1" applyBorder="1" applyAlignment="1">
      <alignment horizontal="center"/>
    </xf>
    <xf numFmtId="10" fontId="15" fillId="0" borderId="0" xfId="3" applyNumberFormat="1" applyFont="1" applyBorder="1" applyAlignment="1">
      <alignment horizontal="center"/>
    </xf>
    <xf numFmtId="43" fontId="15" fillId="0" borderId="2" xfId="0" applyNumberFormat="1" applyFont="1" applyBorder="1"/>
    <xf numFmtId="9" fontId="15" fillId="0" borderId="0" xfId="3" applyFont="1" applyAlignment="1">
      <alignment horizontal="center"/>
    </xf>
    <xf numFmtId="43" fontId="15" fillId="0" borderId="14" xfId="0" applyNumberFormat="1" applyFont="1" applyFill="1" applyBorder="1"/>
    <xf numFmtId="43" fontId="15" fillId="0" borderId="14" xfId="0" applyNumberFormat="1" applyFont="1" applyBorder="1"/>
    <xf numFmtId="10" fontId="15" fillId="0" borderId="14" xfId="3" applyNumberFormat="1" applyFont="1" applyBorder="1" applyAlignment="1">
      <alignment horizontal="center"/>
    </xf>
    <xf numFmtId="43" fontId="15" fillId="0" borderId="0" xfId="3" applyNumberFormat="1" applyFont="1" applyAlignment="1">
      <alignment horizontal="center"/>
    </xf>
    <xf numFmtId="10" fontId="15" fillId="0" borderId="0" xfId="1" applyNumberFormat="1" applyFont="1" applyAlignment="1">
      <alignment horizontal="center"/>
    </xf>
    <xf numFmtId="9" fontId="15" fillId="0" borderId="2" xfId="3" applyFont="1" applyBorder="1" applyAlignment="1">
      <alignment horizontal="center"/>
    </xf>
    <xf numFmtId="9" fontId="15" fillId="0" borderId="14" xfId="3" applyFont="1" applyBorder="1" applyAlignment="1">
      <alignment horizontal="center"/>
    </xf>
    <xf numFmtId="43" fontId="15" fillId="0" borderId="0" xfId="3" applyNumberFormat="1" applyFont="1" applyFill="1" applyAlignment="1">
      <alignment horizontal="center"/>
    </xf>
    <xf numFmtId="0" fontId="4" fillId="5" borderId="0" xfId="0" applyFont="1" applyFill="1"/>
    <xf numFmtId="0" fontId="0" fillId="6" borderId="0" xfId="0" applyFont="1" applyFill="1"/>
    <xf numFmtId="44" fontId="1" fillId="7" borderId="0" xfId="2" applyFont="1" applyFill="1"/>
    <xf numFmtId="0" fontId="1" fillId="0" borderId="0" xfId="0" applyFont="1" applyFill="1"/>
    <xf numFmtId="165" fontId="1" fillId="0" borderId="0" xfId="0" applyNumberFormat="1" applyFont="1" applyFill="1"/>
    <xf numFmtId="44" fontId="1" fillId="7" borderId="0" xfId="2" applyFont="1" applyFill="1" applyBorder="1"/>
    <xf numFmtId="44" fontId="1" fillId="0" borderId="0" xfId="0" applyNumberFormat="1" applyFont="1" applyFill="1" applyBorder="1"/>
    <xf numFmtId="0" fontId="1" fillId="0" borderId="0" xfId="0" applyFont="1" applyFill="1" applyBorder="1"/>
    <xf numFmtId="43" fontId="15" fillId="8" borderId="0" xfId="0" applyNumberFormat="1" applyFont="1" applyFill="1"/>
    <xf numFmtId="0" fontId="0" fillId="2" borderId="0" xfId="0" applyFont="1" applyFill="1"/>
    <xf numFmtId="44" fontId="1" fillId="2" borderId="0" xfId="2" applyFont="1" applyFill="1" applyBorder="1"/>
    <xf numFmtId="43" fontId="22" fillId="0" borderId="0" xfId="0" applyNumberFormat="1" applyFont="1" applyFill="1"/>
    <xf numFmtId="43" fontId="15" fillId="0" borderId="3" xfId="0" applyNumberFormat="1" applyFont="1" applyFill="1" applyBorder="1"/>
    <xf numFmtId="0" fontId="16" fillId="0" borderId="0" xfId="0" applyFont="1" applyAlignment="1">
      <alignment horizontal="center"/>
    </xf>
    <xf numFmtId="0" fontId="23" fillId="0" borderId="0" xfId="0" applyFont="1"/>
    <xf numFmtId="43" fontId="23" fillId="0" borderId="0" xfId="0" applyNumberFormat="1" applyFont="1" applyFill="1"/>
    <xf numFmtId="10" fontId="23" fillId="0" borderId="0" xfId="3" applyNumberFormat="1" applyFont="1" applyFill="1" applyAlignment="1">
      <alignment horizontal="center"/>
    </xf>
    <xf numFmtId="10" fontId="23" fillId="0" borderId="0" xfId="3" applyNumberFormat="1" applyFont="1" applyAlignment="1">
      <alignment horizontal="center"/>
    </xf>
    <xf numFmtId="43" fontId="23" fillId="0" borderId="0" xfId="0" applyNumberFormat="1" applyFont="1"/>
    <xf numFmtId="0" fontId="23" fillId="0" borderId="0" xfId="0" applyFont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43" fontId="23" fillId="0" borderId="2" xfId="0" applyNumberFormat="1" applyFont="1" applyFill="1" applyBorder="1"/>
    <xf numFmtId="43" fontId="23" fillId="0" borderId="3" xfId="0" applyNumberFormat="1" applyFont="1" applyFill="1" applyBorder="1"/>
    <xf numFmtId="0" fontId="24" fillId="0" borderId="0" xfId="0" applyFont="1"/>
    <xf numFmtId="43" fontId="24" fillId="0" borderId="3" xfId="0" applyNumberFormat="1" applyFont="1" applyFill="1" applyBorder="1"/>
    <xf numFmtId="0" fontId="24" fillId="0" borderId="0" xfId="0" applyFont="1" applyFill="1"/>
    <xf numFmtId="43" fontId="24" fillId="0" borderId="3" xfId="0" applyNumberFormat="1" applyFont="1" applyBorder="1"/>
    <xf numFmtId="43" fontId="24" fillId="0" borderId="5" xfId="0" applyNumberFormat="1" applyFont="1" applyBorder="1"/>
    <xf numFmtId="0" fontId="17" fillId="0" borderId="0" xfId="0" applyFont="1" applyAlignment="1">
      <alignment horizontal="center" wrapText="1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4" fontId="7" fillId="0" borderId="18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14" fontId="7" fillId="0" borderId="19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3" fontId="11" fillId="0" borderId="15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43" fontId="11" fillId="0" borderId="16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center" vertical="center" wrapText="1"/>
    </xf>
    <xf numFmtId="43" fontId="11" fillId="0" borderId="9" xfId="1" applyFont="1" applyBorder="1" applyAlignment="1">
      <alignment horizontal="center" vertical="center" wrapText="1"/>
    </xf>
    <xf numFmtId="43" fontId="11" fillId="0" borderId="17" xfId="1" applyFont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3" fontId="11" fillId="0" borderId="13" xfId="1" applyFont="1" applyBorder="1" applyAlignment="1">
      <alignment horizontal="center" vertical="center" wrapText="1"/>
    </xf>
    <xf numFmtId="43" fontId="16" fillId="0" borderId="15" xfId="1" applyFont="1" applyBorder="1" applyAlignment="1">
      <alignment horizontal="center" vertical="center" wrapText="1"/>
    </xf>
    <xf numFmtId="43" fontId="16" fillId="0" borderId="7" xfId="1" applyFont="1" applyBorder="1" applyAlignment="1">
      <alignment horizontal="center" vertical="center" wrapText="1"/>
    </xf>
    <xf numFmtId="43" fontId="16" fillId="0" borderId="8" xfId="1" applyFont="1" applyBorder="1" applyAlignment="1">
      <alignment horizontal="center" vertical="center" wrapText="1"/>
    </xf>
    <xf numFmtId="43" fontId="16" fillId="0" borderId="16" xfId="1" applyFont="1" applyBorder="1" applyAlignment="1">
      <alignment horizontal="center" vertical="center" wrapText="1"/>
    </xf>
    <xf numFmtId="43" fontId="16" fillId="0" borderId="0" xfId="1" applyFont="1" applyBorder="1" applyAlignment="1">
      <alignment horizontal="center" vertical="center" wrapText="1"/>
    </xf>
    <xf numFmtId="43" fontId="16" fillId="0" borderId="9" xfId="1" applyFont="1" applyBorder="1" applyAlignment="1">
      <alignment horizontal="center" vertical="center" wrapText="1"/>
    </xf>
    <xf numFmtId="43" fontId="16" fillId="0" borderId="17" xfId="1" applyFont="1" applyBorder="1" applyAlignment="1">
      <alignment horizontal="center" vertical="center" wrapText="1"/>
    </xf>
    <xf numFmtId="43" fontId="16" fillId="0" borderId="12" xfId="1" applyFont="1" applyBorder="1" applyAlignment="1">
      <alignment horizontal="center" vertical="center" wrapText="1"/>
    </xf>
    <xf numFmtId="43" fontId="16" fillId="0" borderId="13" xfId="1" applyFont="1" applyBorder="1" applyAlignment="1">
      <alignment horizontal="center" vertical="center" wrapText="1"/>
    </xf>
    <xf numFmtId="14" fontId="16" fillId="0" borderId="18" xfId="0" applyNumberFormat="1" applyFont="1" applyBorder="1" applyAlignment="1">
      <alignment horizontal="center"/>
    </xf>
    <xf numFmtId="14" fontId="16" fillId="0" borderId="6" xfId="0" applyNumberFormat="1" applyFont="1" applyBorder="1" applyAlignment="1">
      <alignment horizontal="center"/>
    </xf>
    <xf numFmtId="14" fontId="16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zoomScaleNormal="100" workbookViewId="0">
      <pane ySplit="6" topLeftCell="A52" activePane="bottomLeft" state="frozen"/>
      <selection activeCell="C24" sqref="C24"/>
      <selection pane="bottomLeft" activeCell="B72" sqref="B72"/>
    </sheetView>
  </sheetViews>
  <sheetFormatPr defaultRowHeight="15" x14ac:dyDescent="0.25"/>
  <cols>
    <col min="1" max="1" width="47" bestFit="1" customWidth="1"/>
    <col min="2" max="2" width="23.42578125" style="55" bestFit="1" customWidth="1"/>
    <col min="3" max="3" width="19.7109375" style="55" bestFit="1" customWidth="1"/>
    <col min="4" max="8" width="18.7109375" style="55" customWidth="1"/>
    <col min="9" max="9" width="23.42578125" style="55" bestFit="1" customWidth="1"/>
    <col min="12" max="12" width="16.85546875" style="48" bestFit="1" customWidth="1"/>
  </cols>
  <sheetData>
    <row r="1" spans="1:12" ht="26.25" x14ac:dyDescent="0.4">
      <c r="A1" s="188" t="s">
        <v>331</v>
      </c>
      <c r="B1" s="188"/>
      <c r="C1" s="188"/>
      <c r="D1" s="188"/>
      <c r="E1" s="188"/>
      <c r="F1" s="188"/>
      <c r="G1" s="188"/>
      <c r="H1" s="188"/>
      <c r="I1" s="188"/>
    </row>
    <row r="2" spans="1:12" ht="26.25" x14ac:dyDescent="0.4">
      <c r="A2" s="188" t="s">
        <v>330</v>
      </c>
      <c r="B2" s="188"/>
      <c r="C2" s="188"/>
      <c r="D2" s="188"/>
      <c r="E2" s="188"/>
      <c r="F2" s="188"/>
      <c r="G2" s="188"/>
      <c r="H2" s="188"/>
      <c r="I2" s="188"/>
    </row>
    <row r="3" spans="1:12" ht="26.25" x14ac:dyDescent="0.4">
      <c r="A3" s="188" t="s">
        <v>266</v>
      </c>
      <c r="B3" s="188"/>
      <c r="C3" s="188"/>
      <c r="D3" s="188"/>
      <c r="E3" s="188"/>
      <c r="F3" s="188"/>
      <c r="G3" s="188"/>
      <c r="H3" s="188"/>
      <c r="I3" s="188"/>
    </row>
    <row r="4" spans="1:12" ht="26.25" x14ac:dyDescent="0.4">
      <c r="A4" s="189">
        <v>43373</v>
      </c>
      <c r="B4" s="190"/>
      <c r="C4" s="190"/>
      <c r="D4" s="190"/>
      <c r="E4" s="190"/>
      <c r="F4" s="190"/>
      <c r="G4" s="190"/>
      <c r="H4" s="190"/>
      <c r="I4" s="190"/>
    </row>
    <row r="6" spans="1:12" s="88" customFormat="1" ht="30" customHeight="1" x14ac:dyDescent="0.3">
      <c r="B6" s="89" t="s">
        <v>212</v>
      </c>
      <c r="C6" s="89" t="s">
        <v>214</v>
      </c>
      <c r="D6" s="89" t="s">
        <v>213</v>
      </c>
      <c r="E6" s="89" t="s">
        <v>215</v>
      </c>
      <c r="F6" s="89" t="s">
        <v>216</v>
      </c>
      <c r="G6" s="89" t="s">
        <v>411</v>
      </c>
      <c r="H6" s="89" t="s">
        <v>422</v>
      </c>
      <c r="I6" s="89" t="s">
        <v>207</v>
      </c>
      <c r="L6" s="90"/>
    </row>
    <row r="7" spans="1:12" s="88" customFormat="1" ht="39.950000000000003" customHeight="1" x14ac:dyDescent="0.3">
      <c r="A7" s="91" t="s">
        <v>62</v>
      </c>
      <c r="B7" s="93">
        <f>'Comp Summary YTD 2018-2017 Sept'!B21</f>
        <v>4117107118.1100001</v>
      </c>
      <c r="C7" s="93">
        <f>'Comp Summary YTD 2018-2017 Sept'!C21</f>
        <v>63519486.560000002</v>
      </c>
      <c r="D7" s="93">
        <f>'Comp Summary YTD 2018-2017 Sept'!D21</f>
        <v>2454254.9000000004</v>
      </c>
      <c r="E7" s="93">
        <f>'Comp Summary YTD 2018-2017 Sept'!E21</f>
        <v>0</v>
      </c>
      <c r="F7" s="93">
        <f>'Comp Summary YTD 2018-2017 Sept'!F21</f>
        <v>547363.97000000009</v>
      </c>
      <c r="G7" s="93">
        <f>'Comp Summary YTD 2018-2017 Sept'!G21</f>
        <v>0</v>
      </c>
      <c r="H7" s="93">
        <f>'Comp Summary YTD 2018-2017 Sept'!H21</f>
        <v>0</v>
      </c>
      <c r="I7" s="93">
        <f>SUM(B7:H7)</f>
        <v>4183628223.54</v>
      </c>
      <c r="L7" s="90"/>
    </row>
    <row r="8" spans="1:12" s="88" customFormat="1" ht="39.950000000000003" customHeight="1" x14ac:dyDescent="0.3">
      <c r="B8" s="107"/>
      <c r="C8" s="107"/>
      <c r="D8" s="107"/>
      <c r="E8" s="107"/>
      <c r="F8" s="107"/>
      <c r="G8" s="107"/>
      <c r="H8" s="107"/>
      <c r="I8" s="107"/>
      <c r="L8" s="90"/>
    </row>
    <row r="9" spans="1:12" s="88" customFormat="1" ht="39.950000000000003" customHeight="1" x14ac:dyDescent="0.3">
      <c r="A9" s="91" t="s">
        <v>224</v>
      </c>
      <c r="B9" s="106">
        <f>'Comp Summary YTD 2018-2017 Sept'!B25</f>
        <v>4112543928.4899983</v>
      </c>
      <c r="C9" s="106">
        <f>'Comp Summary YTD 2018-2017 Sept'!C25</f>
        <v>62695310.809999987</v>
      </c>
      <c r="D9" s="106">
        <f>'Comp Summary YTD 2018-2017 Sept'!D25</f>
        <v>278193.64</v>
      </c>
      <c r="E9" s="106">
        <f>'Comp Summary YTD 2018-2017 Sept'!E25</f>
        <v>0</v>
      </c>
      <c r="F9" s="106">
        <f>'Comp Summary YTD 2018-2017 Sept'!F25</f>
        <v>1648.2199999999998</v>
      </c>
      <c r="G9" s="106">
        <f>'Comp Summary YTD 2018-2017 Sept'!G25</f>
        <v>0</v>
      </c>
      <c r="H9" s="106">
        <f>'Comp Summary YTD 2018-2017 Sept'!H25</f>
        <v>0</v>
      </c>
      <c r="I9" s="106">
        <f>SUM(B9:H9)</f>
        <v>4175519081.1599979</v>
      </c>
      <c r="L9" s="90"/>
    </row>
    <row r="10" spans="1:12" s="88" customFormat="1" ht="39.950000000000003" customHeight="1" x14ac:dyDescent="0.3">
      <c r="B10" s="92"/>
      <c r="C10" s="92"/>
      <c r="D10" s="92"/>
      <c r="E10" s="92"/>
      <c r="F10" s="92"/>
      <c r="G10" s="92"/>
      <c r="H10" s="92"/>
      <c r="I10" s="92"/>
      <c r="L10" s="90"/>
    </row>
    <row r="11" spans="1:12" s="88" customFormat="1" ht="39.950000000000003" customHeight="1" thickBot="1" x14ac:dyDescent="0.35">
      <c r="A11" s="91" t="s">
        <v>211</v>
      </c>
      <c r="B11" s="94">
        <f t="shared" ref="B11:H11" si="0">B7-B9</f>
        <v>4563189.6200017929</v>
      </c>
      <c r="C11" s="94">
        <f t="shared" si="0"/>
        <v>824175.7500000149</v>
      </c>
      <c r="D11" s="94">
        <f t="shared" si="0"/>
        <v>2176061.2600000002</v>
      </c>
      <c r="E11" s="94">
        <f t="shared" si="0"/>
        <v>0</v>
      </c>
      <c r="F11" s="94">
        <f t="shared" si="0"/>
        <v>545715.75000000012</v>
      </c>
      <c r="G11" s="94">
        <f>G7-G9</f>
        <v>0</v>
      </c>
      <c r="H11" s="94">
        <f t="shared" si="0"/>
        <v>0</v>
      </c>
      <c r="I11" s="94">
        <f>SUM(B11:H11)</f>
        <v>8109142.3800018076</v>
      </c>
      <c r="L11" s="90"/>
    </row>
    <row r="12" spans="1:12" s="88" customFormat="1" ht="30" customHeight="1" x14ac:dyDescent="0.3">
      <c r="B12" s="92"/>
      <c r="C12" s="92"/>
      <c r="D12" s="92"/>
      <c r="E12" s="92"/>
      <c r="F12" s="92"/>
      <c r="G12" s="92"/>
      <c r="H12" s="92"/>
      <c r="I12" s="92"/>
      <c r="L12" s="90"/>
    </row>
    <row r="13" spans="1:12" s="88" customFormat="1" ht="30" customHeight="1" x14ac:dyDescent="0.3">
      <c r="A13" s="91" t="s">
        <v>209</v>
      </c>
      <c r="B13" s="92"/>
      <c r="C13" s="92"/>
      <c r="D13" s="92"/>
      <c r="E13" s="92"/>
      <c r="F13" s="92"/>
      <c r="G13" s="92"/>
      <c r="H13" s="92"/>
      <c r="I13" s="92"/>
      <c r="L13" s="90"/>
    </row>
    <row r="14" spans="1:12" s="88" customFormat="1" ht="30" customHeight="1" x14ac:dyDescent="0.3">
      <c r="B14" s="92"/>
      <c r="C14" s="92"/>
      <c r="D14" s="92"/>
      <c r="E14" s="92"/>
      <c r="F14" s="92"/>
      <c r="G14" s="92"/>
      <c r="H14" s="92"/>
      <c r="I14" s="92"/>
      <c r="L14" s="90"/>
    </row>
    <row r="15" spans="1:12" s="88" customFormat="1" ht="30" customHeight="1" x14ac:dyDescent="0.3">
      <c r="A15" s="91" t="s">
        <v>225</v>
      </c>
      <c r="B15" s="92"/>
      <c r="C15" s="92"/>
      <c r="D15" s="92"/>
      <c r="E15" s="92"/>
      <c r="F15" s="92"/>
      <c r="G15" s="92"/>
      <c r="H15" s="92"/>
      <c r="I15" s="92"/>
      <c r="L15" s="90"/>
    </row>
    <row r="16" spans="1:12" s="88" customFormat="1" ht="30" customHeight="1" x14ac:dyDescent="0.3">
      <c r="B16" s="92">
        <f>'Summary YTD 08.31.18'!B32</f>
        <v>2797645.5</v>
      </c>
      <c r="C16" s="92">
        <f>'Summary YTD 08.31.18'!C32</f>
        <v>0</v>
      </c>
      <c r="D16" s="92">
        <f>'Summary YTD 08.31.18'!D32</f>
        <v>78047.460000000006</v>
      </c>
      <c r="E16" s="92">
        <f>'Summary YTD 08.31.18'!E32</f>
        <v>0</v>
      </c>
      <c r="F16" s="92">
        <f>'Summary YTD 08.31.18'!F32</f>
        <v>228303.50999999998</v>
      </c>
      <c r="G16" s="92">
        <f>'Summary YTD 08.31.18'!G32</f>
        <v>0</v>
      </c>
      <c r="H16" s="92">
        <f>'Summary YTD 08.31.18'!H32</f>
        <v>0</v>
      </c>
      <c r="I16" s="92">
        <f>SUM(B16:H16)</f>
        <v>3103996.4699999997</v>
      </c>
      <c r="L16" s="90"/>
    </row>
    <row r="17" spans="1:12" s="88" customFormat="1" ht="30" customHeight="1" x14ac:dyDescent="0.3">
      <c r="A17" s="88" t="s">
        <v>228</v>
      </c>
      <c r="B17" s="92">
        <f>'Summary YTD 08.31.18'!B34</f>
        <v>234558.68999999997</v>
      </c>
      <c r="C17" s="92">
        <f>'Summary YTD 08.31.18'!C34</f>
        <v>0</v>
      </c>
      <c r="D17" s="92">
        <f>'Summary YTD 08.31.18'!D34</f>
        <v>8076.880000000001</v>
      </c>
      <c r="E17" s="92">
        <f>'Summary YTD 08.31.18'!E34</f>
        <v>0</v>
      </c>
      <c r="F17" s="92">
        <f>'Summary YTD 08.31.18'!F34</f>
        <v>15186.350000000002</v>
      </c>
      <c r="G17" s="92">
        <f>'Summary YTD 08.31.18'!G34</f>
        <v>0</v>
      </c>
      <c r="H17" s="92">
        <f>'Summary YTD 08.31.18'!H34</f>
        <v>0</v>
      </c>
      <c r="I17" s="92">
        <f>SUM(B17:H17)</f>
        <v>257821.91999999998</v>
      </c>
      <c r="L17" s="90"/>
    </row>
    <row r="18" spans="1:12" s="88" customFormat="1" ht="30" customHeight="1" x14ac:dyDescent="0.3">
      <c r="A18" s="88" t="s">
        <v>466</v>
      </c>
      <c r="B18" s="92">
        <f>'Summary YTD 08.31.18'!B33+'Summary YTD 08.31.18'!B35+'Summary YTD 08.31.18'!B36+'Summary YTD 08.31.18'!B37+'Summary YTD 08.31.18'!B38+'Summary YTD 08.31.18'!B39+'Summary YTD 08.31.18'!B40</f>
        <v>453443.70000000007</v>
      </c>
      <c r="C18" s="92">
        <f>'Summary YTD 08.31.18'!C33+'Summary YTD 08.31.18'!C35+'Summary YTD 08.31.18'!C36+'Summary YTD 08.31.18'!C37+'Summary YTD 08.31.18'!C38+'Summary YTD 08.31.18'!C39+'Summary YTD 08.31.18'!C40</f>
        <v>0</v>
      </c>
      <c r="D18" s="92">
        <f>'Summary YTD 08.31.18'!D33+'Summary YTD 08.31.18'!D35+'Summary YTD 08.31.18'!D36+'Summary YTD 08.31.18'!D37+'Summary YTD 08.31.18'!D38+'Summary YTD 08.31.18'!D39+'Summary YTD 08.31.18'!D40</f>
        <v>34331.82</v>
      </c>
      <c r="E18" s="92">
        <f>'Summary YTD 08.31.18'!E33+'Summary YTD 08.31.18'!E35+'Summary YTD 08.31.18'!E36+'Summary YTD 08.31.18'!E37+'Summary YTD 08.31.18'!E38+'Summary YTD 08.31.18'!E39+'Summary YTD 08.31.18'!E40</f>
        <v>0</v>
      </c>
      <c r="F18" s="92">
        <f>'Summary YTD 08.31.18'!F33+'Summary YTD 08.31.18'!F35+'Summary YTD 08.31.18'!F36+'Summary YTD 08.31.18'!F37+'Summary YTD 08.31.18'!F38+'Summary YTD 08.31.18'!F39+'Summary YTD 08.31.18'!F40</f>
        <v>54444.92</v>
      </c>
      <c r="G18" s="92">
        <v>0</v>
      </c>
      <c r="H18" s="92">
        <f>'BSC (Dome)'!L24</f>
        <v>0</v>
      </c>
      <c r="I18" s="92">
        <f>SUM(B18:H18)</f>
        <v>542220.44000000006</v>
      </c>
      <c r="L18" s="90"/>
    </row>
    <row r="19" spans="1:12" s="88" customFormat="1" ht="30" customHeight="1" x14ac:dyDescent="0.3">
      <c r="A19" s="91" t="s">
        <v>233</v>
      </c>
      <c r="B19" s="93">
        <f t="shared" ref="B19:H19" si="1">SUM(B16:B18)</f>
        <v>3485647.89</v>
      </c>
      <c r="C19" s="93">
        <f t="shared" si="1"/>
        <v>0</v>
      </c>
      <c r="D19" s="93">
        <f t="shared" si="1"/>
        <v>120456.16</v>
      </c>
      <c r="E19" s="93">
        <f t="shared" si="1"/>
        <v>0</v>
      </c>
      <c r="F19" s="93">
        <f t="shared" si="1"/>
        <v>297934.77999999997</v>
      </c>
      <c r="G19" s="93">
        <f t="shared" si="1"/>
        <v>0</v>
      </c>
      <c r="H19" s="93">
        <f t="shared" si="1"/>
        <v>0</v>
      </c>
      <c r="I19" s="93">
        <f>SUM(B19:H19)</f>
        <v>3904038.83</v>
      </c>
      <c r="L19" s="90"/>
    </row>
    <row r="20" spans="1:12" s="88" customFormat="1" ht="30" customHeight="1" x14ac:dyDescent="0.3">
      <c r="B20" s="92"/>
      <c r="C20" s="92"/>
      <c r="D20" s="92"/>
      <c r="E20" s="92"/>
      <c r="F20" s="92"/>
      <c r="G20" s="92"/>
      <c r="H20" s="92"/>
      <c r="I20" s="92"/>
      <c r="L20" s="90"/>
    </row>
    <row r="21" spans="1:12" s="88" customFormat="1" ht="30" customHeight="1" x14ac:dyDescent="0.3">
      <c r="A21" s="91" t="s">
        <v>234</v>
      </c>
      <c r="B21" s="92"/>
      <c r="C21" s="92"/>
      <c r="D21" s="92"/>
      <c r="E21" s="92"/>
      <c r="F21" s="92"/>
      <c r="G21" s="92"/>
      <c r="H21" s="92"/>
      <c r="I21" s="92"/>
      <c r="L21" s="90"/>
    </row>
    <row r="22" spans="1:12" s="88" customFormat="1" ht="30" customHeight="1" x14ac:dyDescent="0.3">
      <c r="A22" s="88" t="s">
        <v>235</v>
      </c>
      <c r="B22" s="92">
        <f>'Summary YTD 08.31.18'!B44</f>
        <v>387800</v>
      </c>
      <c r="C22" s="92">
        <f>'Summary YTD 08.31.18'!C44</f>
        <v>0</v>
      </c>
      <c r="D22" s="92">
        <f>'Summary YTD 08.31.18'!D44</f>
        <v>337500</v>
      </c>
      <c r="E22" s="92">
        <f>'Summary YTD 08.31.18'!E44</f>
        <v>0</v>
      </c>
      <c r="F22" s="92">
        <f>'Summary YTD 08.31.18'!F44</f>
        <v>9000</v>
      </c>
      <c r="G22" s="92">
        <f>'Summary YTD 08.31.18'!G44</f>
        <v>0</v>
      </c>
      <c r="H22" s="92">
        <f>'Summary YTD 08.31.18'!H44</f>
        <v>0</v>
      </c>
      <c r="I22" s="92">
        <f>SUM(B22:H22)</f>
        <v>734300</v>
      </c>
      <c r="L22" s="90"/>
    </row>
    <row r="23" spans="1:12" s="88" customFormat="1" ht="30" customHeight="1" x14ac:dyDescent="0.3">
      <c r="A23" s="88" t="s">
        <v>290</v>
      </c>
      <c r="B23" s="92">
        <f>'Summary YTD 08.31.18'!B45+'Summary YTD 08.31.18'!B46+'Summary YTD 08.31.18'!B47</f>
        <v>10284.720000000001</v>
      </c>
      <c r="C23" s="92">
        <f>'Summary YTD 08.31.18'!C45+'Summary YTD 08.31.18'!C46+'Summary YTD 08.31.18'!C47</f>
        <v>0</v>
      </c>
      <c r="D23" s="92">
        <f>'Summary YTD 08.31.18'!D45+'Summary YTD 08.31.18'!D46+'Summary YTD 08.31.18'!D47</f>
        <v>62173.06</v>
      </c>
      <c r="E23" s="92">
        <f>'Summary YTD 08.31.18'!E45+'Summary YTD 08.31.18'!E46+'Summary YTD 08.31.18'!E47</f>
        <v>0</v>
      </c>
      <c r="F23" s="92">
        <f>'Summary YTD 08.31.18'!F45+'Summary YTD 08.31.18'!F46+'Summary YTD 08.31.18'!F47</f>
        <v>67441.89</v>
      </c>
      <c r="G23" s="92">
        <f>'Summary YTD 08.31.18'!G45+'Summary YTD 08.31.18'!G46+'Summary YTD 08.31.18'!G47</f>
        <v>0</v>
      </c>
      <c r="H23" s="92">
        <f>'Summary YTD 08.31.18'!H45+'Summary YTD 08.31.18'!H46+'Summary YTD 08.31.18'!H47</f>
        <v>0</v>
      </c>
      <c r="I23" s="92">
        <f t="shared" ref="I23:I35" si="2">SUM(B23:H23)</f>
        <v>139899.66999999998</v>
      </c>
      <c r="L23" s="90"/>
    </row>
    <row r="24" spans="1:12" s="88" customFormat="1" ht="30" customHeight="1" x14ac:dyDescent="0.3">
      <c r="A24" s="88" t="s">
        <v>415</v>
      </c>
      <c r="B24" s="92">
        <f>'Summary YTD 08.31.18'!B48+'Summary YTD 08.31.18'!B49+'Summary YTD 08.31.18'!B50+'Summary YTD 08.31.18'!B51</f>
        <v>121956.04999999999</v>
      </c>
      <c r="C24" s="92">
        <f>'Summary YTD 08.31.18'!C48+'Summary YTD 08.31.18'!C49+'Summary YTD 08.31.18'!C50+'Summary YTD 08.31.18'!C51</f>
        <v>2719.73</v>
      </c>
      <c r="D24" s="92">
        <f>'Summary YTD 08.31.18'!D48+'Summary YTD 08.31.18'!D49+'Summary YTD 08.31.18'!D50+'Summary YTD 08.31.18'!D51</f>
        <v>47608.94</v>
      </c>
      <c r="E24" s="92">
        <f>'Summary YTD 08.31.18'!E48+'Summary YTD 08.31.18'!E49+'Summary YTD 08.31.18'!E50+'Summary YTD 08.31.18'!E51</f>
        <v>0</v>
      </c>
      <c r="F24" s="92">
        <f>'Summary YTD 08.31.18'!F48+'Summary YTD 08.31.18'!F49+'Summary YTD 08.31.18'!F50+'Summary YTD 08.31.18'!F51</f>
        <v>19799.080000000002</v>
      </c>
      <c r="G24" s="92">
        <f>'Summary YTD 08.31.18'!G48+'Summary YTD 08.31.18'!G49+'Summary YTD 08.31.18'!G50+'Summary YTD 08.31.18'!G51</f>
        <v>0</v>
      </c>
      <c r="H24" s="92">
        <f>'Summary YTD 08.31.18'!H48+'Summary YTD 08.31.18'!H49+'Summary YTD 08.31.18'!H50+'Summary YTD 08.31.18'!H51</f>
        <v>0</v>
      </c>
      <c r="I24" s="92">
        <f>SUM(B24:H24)</f>
        <v>192083.8</v>
      </c>
      <c r="L24" s="90"/>
    </row>
    <row r="25" spans="1:12" s="88" customFormat="1" ht="30" customHeight="1" x14ac:dyDescent="0.3">
      <c r="A25" s="88" t="s">
        <v>240</v>
      </c>
      <c r="B25" s="92">
        <f>'Summary YTD 08.31.18'!B52</f>
        <v>79598.200000000012</v>
      </c>
      <c r="C25" s="92">
        <f>'Summary YTD 08.31.18'!C52</f>
        <v>0</v>
      </c>
      <c r="D25" s="92">
        <f>'Summary YTD 08.31.18'!D52</f>
        <v>47875.950000000012</v>
      </c>
      <c r="E25" s="92">
        <f>'Summary YTD 08.31.18'!E52</f>
        <v>0</v>
      </c>
      <c r="F25" s="92">
        <f>'Summary YTD 08.31.18'!F52</f>
        <v>486.66999999999996</v>
      </c>
      <c r="G25" s="92">
        <f>'Summary YTD 08.31.18'!G52</f>
        <v>0</v>
      </c>
      <c r="H25" s="92">
        <f>'Summary YTD 08.31.18'!H52</f>
        <v>0</v>
      </c>
      <c r="I25" s="92">
        <f t="shared" si="2"/>
        <v>127960.82000000002</v>
      </c>
      <c r="L25" s="90"/>
    </row>
    <row r="26" spans="1:12" s="88" customFormat="1" ht="30" customHeight="1" x14ac:dyDescent="0.3">
      <c r="A26" s="88" t="s">
        <v>241</v>
      </c>
      <c r="B26" s="92">
        <f>'Summary YTD 08.31.18'!B53</f>
        <v>33500</v>
      </c>
      <c r="C26" s="92">
        <f>'Summary YTD 08.31.18'!C53</f>
        <v>0</v>
      </c>
      <c r="D26" s="92">
        <f>'Summary YTD 08.31.18'!D53</f>
        <v>11805.94</v>
      </c>
      <c r="E26" s="92">
        <f>'Summary YTD 08.31.18'!E53</f>
        <v>0</v>
      </c>
      <c r="F26" s="92">
        <f>'Summary YTD 08.31.18'!F53</f>
        <v>0</v>
      </c>
      <c r="G26" s="92">
        <f>'Summary YTD 08.31.18'!G53</f>
        <v>0</v>
      </c>
      <c r="H26" s="92">
        <f>'Summary YTD 08.31.18'!H53</f>
        <v>0</v>
      </c>
      <c r="I26" s="92">
        <f t="shared" si="2"/>
        <v>45305.94</v>
      </c>
      <c r="L26" s="90"/>
    </row>
    <row r="27" spans="1:12" s="88" customFormat="1" ht="30" customHeight="1" x14ac:dyDescent="0.3">
      <c r="A27" s="88" t="s">
        <v>239</v>
      </c>
      <c r="B27" s="92">
        <f>'Summary YTD 08.31.18'!B54</f>
        <v>45578.289999999994</v>
      </c>
      <c r="C27" s="92">
        <f>'Summary YTD 08.31.18'!C54</f>
        <v>0</v>
      </c>
      <c r="D27" s="92">
        <f>'Summary YTD 08.31.18'!D54</f>
        <v>149035.41</v>
      </c>
      <c r="E27" s="92">
        <f>'Summary YTD 08.31.18'!E54</f>
        <v>0</v>
      </c>
      <c r="F27" s="92">
        <f>'Summary YTD 08.31.18'!F54</f>
        <v>21818</v>
      </c>
      <c r="G27" s="92">
        <f>'Summary YTD 08.31.18'!G54</f>
        <v>0</v>
      </c>
      <c r="H27" s="92">
        <f>'Summary YTD 08.31.18'!H54</f>
        <v>0</v>
      </c>
      <c r="I27" s="92">
        <f t="shared" si="2"/>
        <v>216431.7</v>
      </c>
      <c r="L27" s="90"/>
    </row>
    <row r="28" spans="1:12" s="88" customFormat="1" ht="30" customHeight="1" x14ac:dyDescent="0.3">
      <c r="A28" s="88" t="s">
        <v>358</v>
      </c>
      <c r="B28" s="92">
        <f>'Summary YTD 08.31.18'!B55</f>
        <v>1663</v>
      </c>
      <c r="C28" s="92">
        <f>'Summary YTD 08.31.18'!C55</f>
        <v>349.02000000000004</v>
      </c>
      <c r="D28" s="92">
        <f>'Summary YTD 08.31.18'!D55</f>
        <v>449</v>
      </c>
      <c r="E28" s="92">
        <f>'Summary YTD 08.31.18'!E55</f>
        <v>0</v>
      </c>
      <c r="F28" s="92">
        <f>'Summary YTD 08.31.18'!F55</f>
        <v>865</v>
      </c>
      <c r="G28" s="92">
        <f>'Summary YTD 08.31.18'!G55</f>
        <v>520</v>
      </c>
      <c r="H28" s="92">
        <f>'Summary YTD 08.31.18'!H55</f>
        <v>520</v>
      </c>
      <c r="I28" s="92">
        <f t="shared" si="2"/>
        <v>4366.0200000000004</v>
      </c>
      <c r="L28" s="90"/>
    </row>
    <row r="29" spans="1:12" s="88" customFormat="1" ht="30" customHeight="1" x14ac:dyDescent="0.3">
      <c r="A29" s="88" t="s">
        <v>242</v>
      </c>
      <c r="B29" s="92">
        <f>'Summary YTD 08.31.18'!B57+'Summary YTD 08.31.18'!B56</f>
        <v>16793.27</v>
      </c>
      <c r="C29" s="92">
        <f>'Summary YTD 08.31.18'!C57+'Summary YTD 08.31.18'!C56</f>
        <v>0</v>
      </c>
      <c r="D29" s="92">
        <f>'Summary YTD 08.31.18'!D57+'Summary YTD 08.31.18'!D56</f>
        <v>187.99</v>
      </c>
      <c r="E29" s="92">
        <f>'Summary YTD 08.31.18'!E57+'Summary YTD 08.31.18'!E56</f>
        <v>0</v>
      </c>
      <c r="F29" s="92">
        <f>'Summary YTD 08.31.18'!F57+'Summary YTD 08.31.18'!F56</f>
        <v>14796.87</v>
      </c>
      <c r="G29" s="92">
        <f>'Summary YTD 08.31.18'!G57+'Summary YTD 08.31.18'!G56</f>
        <v>0</v>
      </c>
      <c r="H29" s="92">
        <f>'Summary YTD 08.31.18'!H57+'Summary YTD 08.31.18'!H56</f>
        <v>0</v>
      </c>
      <c r="I29" s="92">
        <f t="shared" si="2"/>
        <v>31778.130000000005</v>
      </c>
      <c r="L29" s="90"/>
    </row>
    <row r="30" spans="1:12" s="88" customFormat="1" ht="30" customHeight="1" x14ac:dyDescent="0.3">
      <c r="A30" s="88" t="s">
        <v>243</v>
      </c>
      <c r="B30" s="92">
        <f>'Summary YTD 08.31.18'!B58</f>
        <v>7006.41</v>
      </c>
      <c r="C30" s="92">
        <f>'Summary YTD 08.31.18'!C58</f>
        <v>0</v>
      </c>
      <c r="D30" s="92">
        <f>'Summary YTD 08.31.18'!D58</f>
        <v>3305.3999999999996</v>
      </c>
      <c r="E30" s="92">
        <f>'Summary YTD 08.31.18'!E58</f>
        <v>0</v>
      </c>
      <c r="F30" s="92">
        <f>'Summary YTD 08.31.18'!F58</f>
        <v>0</v>
      </c>
      <c r="G30" s="92">
        <f>'Summary YTD 08.31.18'!G58</f>
        <v>0</v>
      </c>
      <c r="H30" s="92">
        <f>'Summary YTD 08.31.18'!H58</f>
        <v>0</v>
      </c>
      <c r="I30" s="92">
        <f t="shared" si="2"/>
        <v>10311.81</v>
      </c>
      <c r="L30" s="90"/>
    </row>
    <row r="31" spans="1:12" s="88" customFormat="1" ht="30" customHeight="1" x14ac:dyDescent="0.3">
      <c r="A31" s="88" t="s">
        <v>245</v>
      </c>
      <c r="B31" s="92">
        <f>'Summary YTD 08.31.18'!B60</f>
        <v>1130261.8500000001</v>
      </c>
      <c r="C31" s="92">
        <f>'Summary YTD 08.31.18'!C60</f>
        <v>3488.74</v>
      </c>
      <c r="D31" s="92">
        <f>'Summary YTD 08.31.18'!D60</f>
        <v>94198.39</v>
      </c>
      <c r="E31" s="92">
        <f>'Summary YTD 08.31.18'!E60</f>
        <v>0</v>
      </c>
      <c r="F31" s="92">
        <f>'Summary YTD 08.31.18'!F60</f>
        <v>84595.9</v>
      </c>
      <c r="G31" s="92">
        <f>'Summary YTD 08.31.18'!G60</f>
        <v>83261.430000000022</v>
      </c>
      <c r="H31" s="92">
        <f>'Summary YTD 08.31.18'!H60</f>
        <v>132232.72</v>
      </c>
      <c r="I31" s="92">
        <f t="shared" si="2"/>
        <v>1528039.0299999998</v>
      </c>
      <c r="L31" s="90"/>
    </row>
    <row r="32" spans="1:12" s="88" customFormat="1" ht="30" customHeight="1" x14ac:dyDescent="0.3">
      <c r="A32" s="88" t="s">
        <v>244</v>
      </c>
      <c r="B32" s="92">
        <f>'Summary YTD 08.31.18'!B59</f>
        <v>2999.97</v>
      </c>
      <c r="C32" s="92">
        <f>'Summary YTD 08.31.18'!C59</f>
        <v>0</v>
      </c>
      <c r="D32" s="92">
        <f>'Summary YTD 08.31.18'!D59</f>
        <v>0</v>
      </c>
      <c r="E32" s="92">
        <f>'Summary YTD 08.31.18'!E59</f>
        <v>0</v>
      </c>
      <c r="F32" s="92">
        <f>'Summary YTD 08.31.18'!F59</f>
        <v>0</v>
      </c>
      <c r="G32" s="92">
        <f>'Summary YTD 08.31.18'!G59</f>
        <v>0</v>
      </c>
      <c r="H32" s="92">
        <f>'Summary YTD 08.31.18'!H59</f>
        <v>0</v>
      </c>
      <c r="I32" s="92">
        <f t="shared" si="2"/>
        <v>2999.97</v>
      </c>
      <c r="L32" s="90"/>
    </row>
    <row r="33" spans="1:12" s="88" customFormat="1" ht="30" customHeight="1" x14ac:dyDescent="0.3">
      <c r="A33" s="88" t="s">
        <v>255</v>
      </c>
      <c r="B33" s="92">
        <f>'Summary YTD 08.31.18'!B61</f>
        <v>1268.68</v>
      </c>
      <c r="C33" s="92">
        <f>'Summary YTD 08.31.18'!C61</f>
        <v>0</v>
      </c>
      <c r="D33" s="92">
        <f>'Summary YTD 08.31.18'!D61</f>
        <v>0</v>
      </c>
      <c r="E33" s="92">
        <f>'Summary YTD 08.31.18'!E61</f>
        <v>0</v>
      </c>
      <c r="F33" s="92">
        <f>'Summary YTD 08.31.18'!F61</f>
        <v>0</v>
      </c>
      <c r="G33" s="92">
        <f>'Summary YTD 08.31.18'!G61</f>
        <v>0</v>
      </c>
      <c r="H33" s="92">
        <f>'Summary YTD 08.31.18'!H61</f>
        <v>0</v>
      </c>
      <c r="I33" s="92">
        <f t="shared" si="2"/>
        <v>1268.68</v>
      </c>
      <c r="L33" s="90"/>
    </row>
    <row r="34" spans="1:12" s="88" customFormat="1" ht="30" customHeight="1" x14ac:dyDescent="0.3">
      <c r="A34" s="88" t="s">
        <v>249</v>
      </c>
      <c r="B34" s="92">
        <f>'Summary YTD 08.31.18'!B63</f>
        <v>120379.79999999999</v>
      </c>
      <c r="C34" s="92">
        <f>'Summary YTD 08.31.18'!C63</f>
        <v>0</v>
      </c>
      <c r="D34" s="92">
        <f>'Summary YTD 08.31.18'!D63</f>
        <v>64648.75</v>
      </c>
      <c r="E34" s="92">
        <f>'Summary YTD 08.31.18'!E63</f>
        <v>0</v>
      </c>
      <c r="F34" s="92">
        <f>'Summary YTD 08.31.18'!F63</f>
        <v>0</v>
      </c>
      <c r="G34" s="92">
        <f>'Summary YTD 08.31.18'!G63</f>
        <v>0</v>
      </c>
      <c r="H34" s="92">
        <f>'Summary YTD 08.31.18'!H63</f>
        <v>0</v>
      </c>
      <c r="I34" s="92">
        <f t="shared" si="2"/>
        <v>185028.55</v>
      </c>
      <c r="L34" s="90"/>
    </row>
    <row r="35" spans="1:12" s="88" customFormat="1" ht="30" customHeight="1" x14ac:dyDescent="0.3">
      <c r="A35" s="88" t="s">
        <v>416</v>
      </c>
      <c r="B35" s="92">
        <f>'Summary YTD 08.31.18'!B62+'Summary YTD 08.31.18'!B64+'Summary YTD 08.31.18'!B65</f>
        <v>54982.1</v>
      </c>
      <c r="C35" s="92">
        <f>'Summary YTD 08.31.18'!C62+'Summary YTD 08.31.18'!C64+'Summary YTD 08.31.18'!C65</f>
        <v>5419.07</v>
      </c>
      <c r="D35" s="92">
        <f>'Summary YTD 08.31.18'!D62+'Summary YTD 08.31.18'!D64+'Summary YTD 08.31.18'!D65</f>
        <v>29488.869999999995</v>
      </c>
      <c r="E35" s="92">
        <f>'Summary YTD 08.31.18'!E62+'Summary YTD 08.31.18'!E64+'Summary YTD 08.31.18'!E65</f>
        <v>0</v>
      </c>
      <c r="F35" s="92">
        <f>'Summary YTD 08.31.18'!F62+'Summary YTD 08.31.18'!F64+'Summary YTD 08.31.18'!F65</f>
        <v>7467.2699999999995</v>
      </c>
      <c r="G35" s="92">
        <f>'Summary YTD 08.31.18'!G62+'Summary YTD 08.31.18'!G64+'Summary YTD 08.31.18'!G65</f>
        <v>0</v>
      </c>
      <c r="H35" s="92">
        <f>'Summary YTD 08.31.18'!H62+'Summary YTD 08.31.18'!H64+'Summary YTD 08.31.18'!H65</f>
        <v>0</v>
      </c>
      <c r="I35" s="92">
        <f t="shared" si="2"/>
        <v>97357.31</v>
      </c>
      <c r="L35" s="90"/>
    </row>
    <row r="36" spans="1:12" s="88" customFormat="1" ht="30" customHeight="1" x14ac:dyDescent="0.3">
      <c r="A36" s="91" t="s">
        <v>250</v>
      </c>
      <c r="B36" s="93">
        <f t="shared" ref="B36:H36" si="3">SUM(B22:B35)</f>
        <v>2014072.34</v>
      </c>
      <c r="C36" s="93">
        <f t="shared" si="3"/>
        <v>11976.56</v>
      </c>
      <c r="D36" s="93">
        <f t="shared" si="3"/>
        <v>848277.70000000007</v>
      </c>
      <c r="E36" s="93">
        <f t="shared" si="3"/>
        <v>0</v>
      </c>
      <c r="F36" s="93">
        <f t="shared" si="3"/>
        <v>226270.68</v>
      </c>
      <c r="G36" s="93">
        <f t="shared" si="3"/>
        <v>83781.430000000022</v>
      </c>
      <c r="H36" s="93">
        <f t="shared" si="3"/>
        <v>132752.72</v>
      </c>
      <c r="I36" s="93">
        <f>SUM(B36:H36)</f>
        <v>3317131.4300000006</v>
      </c>
      <c r="L36" s="90"/>
    </row>
    <row r="37" spans="1:12" s="88" customFormat="1" ht="30" customHeight="1" x14ac:dyDescent="0.3">
      <c r="B37" s="92"/>
      <c r="C37" s="92"/>
      <c r="D37" s="92"/>
      <c r="E37" s="92"/>
      <c r="F37" s="92"/>
      <c r="G37" s="92"/>
      <c r="H37" s="92"/>
      <c r="I37" s="92">
        <f>SUM(B37:F37)</f>
        <v>0</v>
      </c>
      <c r="L37" s="90"/>
    </row>
    <row r="38" spans="1:12" s="88" customFormat="1" ht="30" customHeight="1" x14ac:dyDescent="0.3">
      <c r="A38" s="91" t="s">
        <v>251</v>
      </c>
      <c r="B38" s="92"/>
      <c r="C38" s="92"/>
      <c r="D38" s="92"/>
      <c r="E38" s="92"/>
      <c r="F38" s="92"/>
      <c r="G38" s="92"/>
      <c r="H38" s="92"/>
      <c r="I38" s="92">
        <f>SUM(B38:F38)</f>
        <v>0</v>
      </c>
      <c r="L38" s="90"/>
    </row>
    <row r="39" spans="1:12" s="88" customFormat="1" ht="30" customHeight="1" x14ac:dyDescent="0.3">
      <c r="A39" s="88" t="s">
        <v>252</v>
      </c>
      <c r="B39" s="92">
        <f>'Summary YTD 08.31.18'!B69</f>
        <v>8050.6</v>
      </c>
      <c r="C39" s="92">
        <f>'Summary YTD 08.31.18'!C69</f>
        <v>0</v>
      </c>
      <c r="D39" s="92">
        <f>'Summary YTD 08.31.18'!D69</f>
        <v>1409.28</v>
      </c>
      <c r="E39" s="92">
        <f>'Summary YTD 08.31.18'!E69</f>
        <v>0</v>
      </c>
      <c r="F39" s="92">
        <f>'Summary YTD 08.31.18'!F69</f>
        <v>2926.56</v>
      </c>
      <c r="G39" s="92">
        <f>'Summary YTD 08.31.18'!G69</f>
        <v>0</v>
      </c>
      <c r="H39" s="92">
        <f>'Summary YTD 08.31.18'!H69</f>
        <v>0</v>
      </c>
      <c r="I39" s="92">
        <f>SUM(B39:H39)</f>
        <v>12386.44</v>
      </c>
      <c r="L39" s="90"/>
    </row>
    <row r="40" spans="1:12" s="88" customFormat="1" ht="30" customHeight="1" x14ac:dyDescent="0.3">
      <c r="A40" s="88" t="s">
        <v>253</v>
      </c>
      <c r="B40" s="92">
        <f>'Summary YTD 08.31.18'!B70</f>
        <v>91089.459999999992</v>
      </c>
      <c r="C40" s="92">
        <f>'Summary YTD 08.31.18'!C70</f>
        <v>7737.42</v>
      </c>
      <c r="D40" s="92">
        <f>'Summary YTD 08.31.18'!D70</f>
        <v>6558.06</v>
      </c>
      <c r="E40" s="92">
        <f>'Summary YTD 08.31.18'!E70</f>
        <v>1833.2100000000003</v>
      </c>
      <c r="F40" s="92">
        <f>'Summary YTD 08.31.18'!F70</f>
        <v>2328.1199999999994</v>
      </c>
      <c r="G40" s="92">
        <f>'Summary YTD 08.31.18'!G70</f>
        <v>0</v>
      </c>
      <c r="H40" s="92">
        <f>'Summary YTD 08.31.18'!H70</f>
        <v>714.47000000000014</v>
      </c>
      <c r="I40" s="92">
        <f t="shared" ref="I40:I50" si="4">SUM(B40:H40)</f>
        <v>110260.73999999999</v>
      </c>
      <c r="L40" s="90"/>
    </row>
    <row r="41" spans="1:12" s="88" customFormat="1" ht="30" customHeight="1" x14ac:dyDescent="0.3">
      <c r="A41" s="88" t="s">
        <v>365</v>
      </c>
      <c r="B41" s="92">
        <f>'Summary YTD 08.31.18'!B71</f>
        <v>0</v>
      </c>
      <c r="C41" s="92">
        <f>'Summary YTD 08.31.18'!C71</f>
        <v>0</v>
      </c>
      <c r="D41" s="92">
        <f>'Summary YTD 08.31.18'!D71</f>
        <v>0</v>
      </c>
      <c r="E41" s="92">
        <f>'Summary YTD 08.31.18'!E71</f>
        <v>0</v>
      </c>
      <c r="F41" s="92">
        <f>'Summary YTD 08.31.18'!F71</f>
        <v>3495.7000000000003</v>
      </c>
      <c r="G41" s="92">
        <f>'Summary YTD 08.31.18'!G71</f>
        <v>0</v>
      </c>
      <c r="H41" s="92">
        <f>'Summary YTD 08.31.18'!H71</f>
        <v>0</v>
      </c>
      <c r="I41" s="92">
        <f t="shared" si="4"/>
        <v>3495.7000000000003</v>
      </c>
      <c r="L41" s="90"/>
    </row>
    <row r="42" spans="1:12" s="88" customFormat="1" ht="30" customHeight="1" x14ac:dyDescent="0.3">
      <c r="A42" s="88" t="s">
        <v>254</v>
      </c>
      <c r="B42" s="92">
        <f>'Summary YTD 08.31.18'!B72</f>
        <v>3820.81</v>
      </c>
      <c r="C42" s="92">
        <f>'Summary YTD 08.31.18'!C72</f>
        <v>0</v>
      </c>
      <c r="D42" s="92">
        <f>'Summary YTD 08.31.18'!D72</f>
        <v>0</v>
      </c>
      <c r="E42" s="92">
        <f>'Summary YTD 08.31.18'!E72</f>
        <v>109</v>
      </c>
      <c r="F42" s="92">
        <f>'Summary YTD 08.31.18'!F72</f>
        <v>1068.2</v>
      </c>
      <c r="G42" s="92">
        <f>'Summary YTD 08.31.18'!G72</f>
        <v>0</v>
      </c>
      <c r="H42" s="92">
        <f>'Summary YTD 08.31.18'!H72</f>
        <v>0</v>
      </c>
      <c r="I42" s="92">
        <f t="shared" si="4"/>
        <v>4998.01</v>
      </c>
      <c r="L42" s="90"/>
    </row>
    <row r="43" spans="1:12" s="88" customFormat="1" ht="30" customHeight="1" x14ac:dyDescent="0.3">
      <c r="A43" s="88" t="s">
        <v>465</v>
      </c>
      <c r="B43" s="92">
        <f>'Summary YTD 08.31.18'!B73+'Summary YTD 08.31.18'!B74+'Summary YTD 08.31.18'!B75+'Summary YTD 08.31.18'!B76+'Summary YTD 08.31.18'!B77</f>
        <v>422820.21</v>
      </c>
      <c r="C43" s="92">
        <f>'Summary YTD 08.31.18'!C73+'Summary YTD 08.31.18'!C74+'Summary YTD 08.31.18'!C75+'Summary YTD 08.31.18'!C76+'Summary YTD 08.31.18'!C77</f>
        <v>43853</v>
      </c>
      <c r="D43" s="92">
        <f>'Summary YTD 08.31.18'!D73+'Summary YTD 08.31.18'!D74+'Summary YTD 08.31.18'!D75+'Summary YTD 08.31.18'!D76+'Summary YTD 08.31.18'!D77</f>
        <v>62098.46</v>
      </c>
      <c r="E43" s="92">
        <f>'Summary YTD 08.31.18'!E73+'Summary YTD 08.31.18'!E74+'Summary YTD 08.31.18'!E75+'Summary YTD 08.31.18'!E76+'Summary YTD 08.31.18'!E77</f>
        <v>12672.51</v>
      </c>
      <c r="F43" s="92">
        <f>'Summary YTD 08.31.18'!F73+'Summary YTD 08.31.18'!F74+'Summary YTD 08.31.18'!F75+'Summary YTD 08.31.18'!F76+'Summary YTD 08.31.18'!F77</f>
        <v>17750</v>
      </c>
      <c r="G43" s="92">
        <f>'Summary YTD 08.31.18'!G73+'Summary YTD 08.31.18'!G74+'Summary YTD 08.31.18'!G75+'Summary YTD 08.31.18'!G76+'Summary YTD 08.31.18'!G77</f>
        <v>2650</v>
      </c>
      <c r="H43" s="92">
        <f>'Summary YTD 08.31.18'!H73+'Summary YTD 08.31.18'!H74+'Summary YTD 08.31.18'!H75+'Summary YTD 08.31.18'!H76+'Summary YTD 08.31.18'!H77</f>
        <v>0</v>
      </c>
      <c r="I43" s="92">
        <f t="shared" si="4"/>
        <v>561844.18000000005</v>
      </c>
      <c r="L43" s="90"/>
    </row>
    <row r="44" spans="1:12" s="88" customFormat="1" ht="30" customHeight="1" x14ac:dyDescent="0.3">
      <c r="A44" s="88" t="s">
        <v>256</v>
      </c>
      <c r="B44" s="92">
        <f>'Summary YTD 08.31.18'!B78</f>
        <v>39532.740000000005</v>
      </c>
      <c r="C44" s="92">
        <f>'Summary YTD 08.31.18'!C78</f>
        <v>0</v>
      </c>
      <c r="D44" s="92">
        <f>'Summary YTD 08.31.18'!D78</f>
        <v>5250</v>
      </c>
      <c r="E44" s="92">
        <f>'Summary YTD 08.31.18'!E78</f>
        <v>0</v>
      </c>
      <c r="F44" s="92">
        <f>'Summary YTD 08.31.18'!F78</f>
        <v>1328.0999999999997</v>
      </c>
      <c r="G44" s="92">
        <f>'Summary YTD 08.31.18'!G78</f>
        <v>0</v>
      </c>
      <c r="H44" s="92">
        <f>'Summary YTD 08.31.18'!H78</f>
        <v>0</v>
      </c>
      <c r="I44" s="92">
        <f t="shared" si="4"/>
        <v>46110.840000000004</v>
      </c>
      <c r="L44" s="90"/>
    </row>
    <row r="45" spans="1:12" s="88" customFormat="1" ht="30" customHeight="1" x14ac:dyDescent="0.3">
      <c r="A45" s="88" t="s">
        <v>257</v>
      </c>
      <c r="B45" s="92">
        <f>'Summary YTD 08.31.18'!B79</f>
        <v>27536.76</v>
      </c>
      <c r="C45" s="92">
        <f>'Summary YTD 08.31.18'!C79</f>
        <v>912.49</v>
      </c>
      <c r="D45" s="92">
        <f>'Summary YTD 08.31.18'!D79</f>
        <v>2477.5</v>
      </c>
      <c r="E45" s="92">
        <f>'Summary YTD 08.31.18'!E79</f>
        <v>0</v>
      </c>
      <c r="F45" s="92">
        <f>'Summary YTD 08.31.18'!F79</f>
        <v>642</v>
      </c>
      <c r="G45" s="92">
        <f>'Summary YTD 08.31.18'!G79</f>
        <v>0</v>
      </c>
      <c r="H45" s="92">
        <f>'Summary YTD 08.31.18'!H79</f>
        <v>0</v>
      </c>
      <c r="I45" s="92">
        <f t="shared" si="4"/>
        <v>31568.75</v>
      </c>
      <c r="L45" s="90"/>
    </row>
    <row r="46" spans="1:12" s="88" customFormat="1" ht="30" customHeight="1" x14ac:dyDescent="0.3">
      <c r="A46" s="88" t="s">
        <v>258</v>
      </c>
      <c r="B46" s="92">
        <f>'Summary YTD 08.31.18'!B80</f>
        <v>25516.5</v>
      </c>
      <c r="C46" s="92">
        <f>'Summary YTD 08.31.18'!C80</f>
        <v>0</v>
      </c>
      <c r="D46" s="92">
        <f>'Summary YTD 08.31.18'!D80</f>
        <v>0</v>
      </c>
      <c r="E46" s="92">
        <f>'Summary YTD 08.31.18'!E80</f>
        <v>0</v>
      </c>
      <c r="F46" s="92">
        <f>'Summary YTD 08.31.18'!F80</f>
        <v>0</v>
      </c>
      <c r="G46" s="92">
        <f>'Summary YTD 08.31.18'!G80</f>
        <v>0</v>
      </c>
      <c r="H46" s="92">
        <f>'Summary YTD 08.31.18'!H80</f>
        <v>0</v>
      </c>
      <c r="I46" s="92">
        <f t="shared" si="4"/>
        <v>25516.5</v>
      </c>
      <c r="L46" s="90"/>
    </row>
    <row r="47" spans="1:12" s="88" customFormat="1" ht="30" customHeight="1" x14ac:dyDescent="0.3">
      <c r="A47" s="88" t="s">
        <v>295</v>
      </c>
      <c r="B47" s="92">
        <f>'Summary YTD 08.31.18'!B81</f>
        <v>543.67999999999995</v>
      </c>
      <c r="C47" s="92">
        <f>'Summary YTD 08.31.18'!C81</f>
        <v>0</v>
      </c>
      <c r="D47" s="92">
        <f>'Summary YTD 08.31.18'!D81</f>
        <v>300</v>
      </c>
      <c r="E47" s="92">
        <f>'Summary YTD 08.31.18'!E81</f>
        <v>0</v>
      </c>
      <c r="F47" s="92">
        <f>'Summary YTD 08.31.18'!F81</f>
        <v>2600</v>
      </c>
      <c r="G47" s="92">
        <f>'Summary YTD 08.31.18'!G81</f>
        <v>0</v>
      </c>
      <c r="H47" s="92">
        <f>'Summary YTD 08.31.18'!H81</f>
        <v>0</v>
      </c>
      <c r="I47" s="92">
        <f t="shared" si="4"/>
        <v>3443.68</v>
      </c>
      <c r="L47" s="90"/>
    </row>
    <row r="48" spans="1:12" s="88" customFormat="1" ht="30" customHeight="1" x14ac:dyDescent="0.3">
      <c r="A48" s="88" t="s">
        <v>380</v>
      </c>
      <c r="B48" s="92">
        <f>'Summary YTD 08.31.18'!B82</f>
        <v>397.63</v>
      </c>
      <c r="C48" s="92">
        <v>0</v>
      </c>
      <c r="D48" s="92">
        <v>0</v>
      </c>
      <c r="E48" s="92">
        <v>0</v>
      </c>
      <c r="F48" s="92">
        <f>'BSC (Dome)'!K64</f>
        <v>10329.9</v>
      </c>
      <c r="G48" s="92">
        <v>0</v>
      </c>
      <c r="H48" s="92">
        <f>'BSC (Dome)'!L64</f>
        <v>0</v>
      </c>
      <c r="I48" s="92">
        <f t="shared" si="4"/>
        <v>10727.529999999999</v>
      </c>
      <c r="L48" s="90"/>
    </row>
    <row r="49" spans="1:12" s="88" customFormat="1" ht="30" customHeight="1" x14ac:dyDescent="0.3">
      <c r="A49" s="88" t="s">
        <v>417</v>
      </c>
      <c r="B49" s="92">
        <f>'Summary YTD 08.31.18'!B83+'Summary YTD 08.31.18'!B84</f>
        <v>42035.130000000005</v>
      </c>
      <c r="C49" s="92">
        <f>'Summary YTD 08.31.18'!C83+'Summary YTD 08.31.18'!C84</f>
        <v>0</v>
      </c>
      <c r="D49" s="92">
        <f>'Summary YTD 08.31.18'!D83+'Summary YTD 08.31.18'!D84</f>
        <v>0</v>
      </c>
      <c r="E49" s="92">
        <f>'Summary YTD 08.31.18'!E83+'Summary YTD 08.31.18'!E84</f>
        <v>0</v>
      </c>
      <c r="F49" s="92">
        <f>'Summary YTD 08.31.18'!F83+'Summary YTD 08.31.18'!F84</f>
        <v>0</v>
      </c>
      <c r="G49" s="92">
        <f>'Summary YTD 08.31.18'!G83+'Summary YTD 08.31.18'!G84</f>
        <v>0</v>
      </c>
      <c r="H49" s="92">
        <f>'Summary YTD 08.31.18'!H83+'Summary YTD 08.31.18'!H84</f>
        <v>0</v>
      </c>
      <c r="I49" s="92">
        <f t="shared" si="4"/>
        <v>42035.130000000005</v>
      </c>
      <c r="L49" s="90"/>
    </row>
    <row r="50" spans="1:12" s="88" customFormat="1" ht="30" customHeight="1" x14ac:dyDescent="0.3">
      <c r="A50" s="88" t="s">
        <v>467</v>
      </c>
      <c r="B50" s="92">
        <f>'Summary YTD 08.31.18'!B85+'Summary YTD 08.31.18'!B86</f>
        <v>22542.49</v>
      </c>
      <c r="C50" s="92">
        <f>'Summary YTD 08.31.18'!C85+'Summary YTD 08.31.18'!C86</f>
        <v>0</v>
      </c>
      <c r="D50" s="92">
        <f>'Summary YTD 08.31.18'!D85+'Summary YTD 08.31.18'!D86</f>
        <v>0</v>
      </c>
      <c r="E50" s="92">
        <f>'Summary YTD 08.31.18'!E85+'Summary YTD 08.31.18'!E86</f>
        <v>0</v>
      </c>
      <c r="F50" s="92">
        <f>'Summary YTD 08.31.18'!F85+'Summary YTD 08.31.18'!F86</f>
        <v>0</v>
      </c>
      <c r="G50" s="92">
        <f>'Summary YTD 08.31.18'!G85+'Summary YTD 08.31.18'!G86</f>
        <v>0</v>
      </c>
      <c r="H50" s="92">
        <f>'Summary YTD 08.31.18'!H85+'Summary YTD 08.31.18'!H86</f>
        <v>0</v>
      </c>
      <c r="I50" s="92">
        <f t="shared" si="4"/>
        <v>22542.49</v>
      </c>
      <c r="L50" s="90"/>
    </row>
    <row r="51" spans="1:12" s="88" customFormat="1" ht="30" customHeight="1" x14ac:dyDescent="0.3">
      <c r="A51" s="91" t="s">
        <v>264</v>
      </c>
      <c r="B51" s="93">
        <f t="shared" ref="B51:H51" si="5">SUM(B39:B50)</f>
        <v>683886.01000000013</v>
      </c>
      <c r="C51" s="93">
        <f t="shared" si="5"/>
        <v>52502.909999999996</v>
      </c>
      <c r="D51" s="93">
        <f t="shared" si="5"/>
        <v>78093.3</v>
      </c>
      <c r="E51" s="93">
        <f t="shared" si="5"/>
        <v>14614.720000000001</v>
      </c>
      <c r="F51" s="93">
        <f t="shared" si="5"/>
        <v>42468.58</v>
      </c>
      <c r="G51" s="93">
        <f t="shared" si="5"/>
        <v>2650</v>
      </c>
      <c r="H51" s="93">
        <f t="shared" si="5"/>
        <v>714.47000000000014</v>
      </c>
      <c r="I51" s="93">
        <f>SUM(B51:H51)</f>
        <v>874929.99000000011</v>
      </c>
      <c r="L51" s="90"/>
    </row>
    <row r="52" spans="1:12" s="88" customFormat="1" ht="30" customHeight="1" x14ac:dyDescent="0.3">
      <c r="B52" s="92"/>
      <c r="C52" s="92"/>
      <c r="D52" s="92"/>
      <c r="E52" s="92"/>
      <c r="F52" s="92"/>
      <c r="G52" s="92"/>
      <c r="H52" s="92"/>
      <c r="I52" s="92">
        <f>SUM(B52:F52)</f>
        <v>0</v>
      </c>
      <c r="L52" s="90"/>
    </row>
    <row r="53" spans="1:12" s="88" customFormat="1" ht="30" customHeight="1" thickBot="1" x14ac:dyDescent="0.35">
      <c r="A53" s="91" t="s">
        <v>265</v>
      </c>
      <c r="B53" s="94">
        <f t="shared" ref="B53:H53" si="6">B19+B36+B51</f>
        <v>6183606.2400000002</v>
      </c>
      <c r="C53" s="94">
        <f t="shared" si="6"/>
        <v>64479.469999999994</v>
      </c>
      <c r="D53" s="94">
        <f t="shared" si="6"/>
        <v>1046827.1600000001</v>
      </c>
      <c r="E53" s="94">
        <f t="shared" si="6"/>
        <v>14614.720000000001</v>
      </c>
      <c r="F53" s="94">
        <f t="shared" si="6"/>
        <v>566674.03999999992</v>
      </c>
      <c r="G53" s="94">
        <f>G19+G36+G51</f>
        <v>86431.430000000022</v>
      </c>
      <c r="H53" s="94">
        <f t="shared" si="6"/>
        <v>133467.19</v>
      </c>
      <c r="I53" s="94">
        <f>SUM(B53:H53)</f>
        <v>8096100.25</v>
      </c>
      <c r="L53" s="90"/>
    </row>
    <row r="54" spans="1:12" s="88" customFormat="1" ht="30" customHeight="1" x14ac:dyDescent="0.3">
      <c r="B54" s="92"/>
      <c r="C54" s="92"/>
      <c r="D54" s="92"/>
      <c r="E54" s="92"/>
      <c r="F54" s="92"/>
      <c r="G54" s="92"/>
      <c r="H54" s="92"/>
      <c r="I54" s="92"/>
      <c r="L54" s="90"/>
    </row>
    <row r="55" spans="1:12" s="88" customFormat="1" ht="30" customHeight="1" x14ac:dyDescent="0.3">
      <c r="A55" s="91" t="s">
        <v>468</v>
      </c>
      <c r="B55" s="92"/>
      <c r="C55" s="92"/>
      <c r="D55" s="92"/>
      <c r="E55" s="92"/>
      <c r="F55" s="92"/>
      <c r="G55" s="92"/>
      <c r="H55" s="92"/>
      <c r="I55" s="92"/>
      <c r="L55" s="90"/>
    </row>
    <row r="56" spans="1:12" s="88" customFormat="1" ht="30" customHeight="1" x14ac:dyDescent="0.3">
      <c r="A56" s="88" t="s">
        <v>268</v>
      </c>
      <c r="B56" s="92">
        <f>'Summary YTD 08.31.18'!B92</f>
        <v>112500</v>
      </c>
      <c r="C56" s="92">
        <v>0</v>
      </c>
      <c r="D56" s="92">
        <f>DEP!K71</f>
        <v>112500</v>
      </c>
      <c r="E56" s="92">
        <v>0</v>
      </c>
      <c r="F56" s="92">
        <f>'BSC (Dome)'!K75+'BSC (Dome)'!K76</f>
        <v>49000</v>
      </c>
      <c r="G56" s="92">
        <f>'Summary YTD 08.31.18'!G92</f>
        <v>159300</v>
      </c>
      <c r="H56" s="92">
        <f>'722 Bedford St'!K22+'722 Bedford St'!K23</f>
        <v>142500</v>
      </c>
      <c r="I56" s="92">
        <f t="shared" ref="I56:I61" si="7">SUM(B56:H56)</f>
        <v>575800</v>
      </c>
      <c r="L56" s="90"/>
    </row>
    <row r="57" spans="1:12" s="88" customFormat="1" ht="30" customHeight="1" x14ac:dyDescent="0.3">
      <c r="A57" s="88" t="s">
        <v>273</v>
      </c>
      <c r="B57" s="92">
        <f>'Summary YTD 08.31.18'!B93+'Summary YTD 08.31.18'!B95+'Summary YTD 08.31.18'!B96+'Summary YTD 08.31.18'!B99+'Summary YTD 08.31.18'!B100+'Summary YTD 08.31.18'!B103+'Summary YTD 08.31.18'!B101+'Summary YTD 08.31.18'!B102</f>
        <v>593004.61</v>
      </c>
      <c r="C57" s="92">
        <v>0</v>
      </c>
      <c r="D57" s="92">
        <f>'Summary YTD 08.31.18'!D93+'Summary YTD 08.31.18'!D95+'Summary YTD 08.31.18'!D96+'Summary YTD 08.31.18'!D99+'Summary YTD 08.31.18'!D100+'Summary YTD 08.31.18'!D103</f>
        <v>0</v>
      </c>
      <c r="E57" s="92">
        <f>'Summary YTD 08.31.18'!E93+'Summary YTD 08.31.18'!E95+'Summary YTD 08.31.18'!E96+'Summary YTD 08.31.18'!E99+'Summary YTD 08.31.18'!E100+'Summary YTD 08.31.18'!E103</f>
        <v>0</v>
      </c>
      <c r="F57" s="92">
        <f>'Summary YTD 08.31.18'!F93+'Summary YTD 08.31.18'!F95+'Summary YTD 08.31.18'!F96+'Summary YTD 08.31.18'!F99+'Summary YTD 08.31.18'!F100+'Summary YTD 08.31.18'!F103</f>
        <v>1912.98</v>
      </c>
      <c r="G57" s="92">
        <f>'Summary YTD 08.31.18'!G99</f>
        <v>1.01</v>
      </c>
      <c r="H57" s="92">
        <v>0</v>
      </c>
      <c r="I57" s="92">
        <f t="shared" si="7"/>
        <v>594918.6</v>
      </c>
      <c r="L57" s="90"/>
    </row>
    <row r="58" spans="1:12" s="88" customFormat="1" ht="30" customHeight="1" x14ac:dyDescent="0.3">
      <c r="A58" s="88" t="s">
        <v>271</v>
      </c>
      <c r="B58" s="92">
        <f>'Summary YTD 08.31.18'!B97</f>
        <v>183407.18</v>
      </c>
      <c r="C58" s="92">
        <f>'Summary YTD 08.31.18'!C97</f>
        <v>9639.16</v>
      </c>
      <c r="D58" s="92">
        <f>'Summary YTD 08.31.18'!D97</f>
        <v>24546.61</v>
      </c>
      <c r="E58" s="92">
        <f>'Summary YTD 08.31.18'!E97</f>
        <v>39725.869999999995</v>
      </c>
      <c r="F58" s="92">
        <f>'Summary YTD 08.31.18'!F97</f>
        <v>0</v>
      </c>
      <c r="G58" s="92">
        <f>'Summary YTD 08.31.18'!G97</f>
        <v>32578.850000000002</v>
      </c>
      <c r="H58" s="92">
        <v>0</v>
      </c>
      <c r="I58" s="92">
        <f t="shared" si="7"/>
        <v>289897.67</v>
      </c>
      <c r="L58" s="90"/>
    </row>
    <row r="59" spans="1:12" s="88" customFormat="1" ht="30" customHeight="1" x14ac:dyDescent="0.3">
      <c r="A59" s="88" t="s">
        <v>272</v>
      </c>
      <c r="B59" s="92">
        <f>'Summary YTD 08.31.18'!B98</f>
        <v>-137770.54999999999</v>
      </c>
      <c r="C59" s="92">
        <f>'Summary YTD 08.31.18'!C98</f>
        <v>0</v>
      </c>
      <c r="D59" s="92">
        <f>'Summary YTD 08.31.18'!D98</f>
        <v>0</v>
      </c>
      <c r="E59" s="92">
        <f>'Summary YTD 08.31.18'!E98</f>
        <v>-4702.0200000000004</v>
      </c>
      <c r="F59" s="92">
        <f>'Summary YTD 08.31.18'!F98</f>
        <v>-87107.24</v>
      </c>
      <c r="G59" s="92">
        <f>'Summary YTD 08.31.18'!G98</f>
        <v>-7748.3700000000008</v>
      </c>
      <c r="H59" s="92">
        <v>0</v>
      </c>
      <c r="I59" s="92">
        <f t="shared" si="7"/>
        <v>-237328.18</v>
      </c>
      <c r="L59" s="90"/>
    </row>
    <row r="60" spans="1:12" s="88" customFormat="1" ht="30" customHeight="1" x14ac:dyDescent="0.3">
      <c r="A60" s="88" t="s">
        <v>418</v>
      </c>
      <c r="B60" s="92">
        <f>'Summary YTD 08.31.18'!B94+'Summary YTD 08.31.18'!B104</f>
        <v>3098.28</v>
      </c>
      <c r="C60" s="92">
        <f>'Summary YTD 08.31.18'!C94+'Summary YTD 08.31.18'!C95</f>
        <v>-360310.62</v>
      </c>
      <c r="D60" s="92">
        <f>'Summary YTD 08.31.18'!D94</f>
        <v>0</v>
      </c>
      <c r="E60" s="92">
        <f>'Summary YTD 08.31.18'!E94</f>
        <v>0</v>
      </c>
      <c r="F60" s="92">
        <f>'Summary YTD 08.31.18'!F94</f>
        <v>0</v>
      </c>
      <c r="G60" s="92">
        <f>'Summary YTD 08.31.18'!G94</f>
        <v>0</v>
      </c>
      <c r="H60" s="92">
        <v>0</v>
      </c>
      <c r="I60" s="92">
        <f>SUM(B60:H60)</f>
        <v>-357212.33999999997</v>
      </c>
      <c r="L60" s="90"/>
    </row>
    <row r="61" spans="1:12" s="88" customFormat="1" ht="30" customHeight="1" x14ac:dyDescent="0.3">
      <c r="A61" s="91" t="s">
        <v>469</v>
      </c>
      <c r="B61" s="93">
        <f t="shared" ref="B61:H61" si="8">SUM(B56:B60)</f>
        <v>754239.52</v>
      </c>
      <c r="C61" s="93">
        <f t="shared" si="8"/>
        <v>-350671.46</v>
      </c>
      <c r="D61" s="93">
        <f t="shared" si="8"/>
        <v>137046.60999999999</v>
      </c>
      <c r="E61" s="93">
        <f t="shared" si="8"/>
        <v>35023.849999999991</v>
      </c>
      <c r="F61" s="93">
        <f t="shared" si="8"/>
        <v>-36194.26</v>
      </c>
      <c r="G61" s="93">
        <f t="shared" si="8"/>
        <v>184131.49000000002</v>
      </c>
      <c r="H61" s="93">
        <f t="shared" si="8"/>
        <v>142500</v>
      </c>
      <c r="I61" s="93">
        <f t="shared" si="7"/>
        <v>866075.74999999988</v>
      </c>
      <c r="L61" s="90"/>
    </row>
    <row r="62" spans="1:12" s="88" customFormat="1" ht="30" customHeight="1" x14ac:dyDescent="0.3">
      <c r="A62" s="91"/>
      <c r="B62" s="92"/>
      <c r="C62" s="92"/>
      <c r="D62" s="92"/>
      <c r="E62" s="92"/>
      <c r="F62" s="92"/>
      <c r="G62" s="92"/>
      <c r="H62" s="92"/>
      <c r="I62" s="92">
        <f>SUM(B62:F62)</f>
        <v>0</v>
      </c>
      <c r="L62" s="90"/>
    </row>
    <row r="63" spans="1:12" s="88" customFormat="1" ht="30" customHeight="1" thickBot="1" x14ac:dyDescent="0.35">
      <c r="A63" s="91" t="s">
        <v>267</v>
      </c>
      <c r="B63" s="95">
        <f t="shared" ref="B63:H63" si="9">B11-B53+B61</f>
        <v>-866177.0999982073</v>
      </c>
      <c r="C63" s="95">
        <f t="shared" si="9"/>
        <v>409024.82000001491</v>
      </c>
      <c r="D63" s="95">
        <f t="shared" si="9"/>
        <v>1266280.71</v>
      </c>
      <c r="E63" s="95">
        <f t="shared" si="9"/>
        <v>20409.12999999999</v>
      </c>
      <c r="F63" s="95">
        <f t="shared" si="9"/>
        <v>-57152.549999999806</v>
      </c>
      <c r="G63" s="95">
        <f>G11-G53+G61</f>
        <v>97700.06</v>
      </c>
      <c r="H63" s="95">
        <f t="shared" si="9"/>
        <v>9032.8099999999977</v>
      </c>
      <c r="I63" s="95">
        <f>SUM(B63:H63)</f>
        <v>879117.88000180782</v>
      </c>
      <c r="L63" s="90"/>
    </row>
    <row r="64" spans="1:12" ht="15.75" thickTop="1" x14ac:dyDescent="0.25">
      <c r="B64" s="59"/>
      <c r="C64" s="59"/>
      <c r="D64" s="59"/>
      <c r="E64" s="59"/>
      <c r="F64" s="59"/>
      <c r="G64" s="59"/>
      <c r="H64" s="59"/>
      <c r="I64" s="59"/>
    </row>
    <row r="66" spans="1:12" x14ac:dyDescent="0.25">
      <c r="A66" t="s">
        <v>332</v>
      </c>
      <c r="B66" s="57">
        <v>-866177.10000047239</v>
      </c>
      <c r="C66" s="57">
        <v>409024.82</v>
      </c>
      <c r="D66" s="57">
        <v>1266280.71</v>
      </c>
      <c r="E66" s="57">
        <v>20409.13</v>
      </c>
      <c r="F66" s="57">
        <v>-57152.55</v>
      </c>
      <c r="G66" s="57">
        <v>97700.06</v>
      </c>
      <c r="H66" s="57">
        <v>9032.81</v>
      </c>
      <c r="I66" s="57">
        <f>SUM(B66:H66)</f>
        <v>879117.87999952747</v>
      </c>
    </row>
    <row r="67" spans="1:12" x14ac:dyDescent="0.25">
      <c r="B67" s="57">
        <f t="shared" ref="B67:I67" si="10">B63-B66</f>
        <v>2.2650929167866707E-6</v>
      </c>
      <c r="C67" s="57">
        <f t="shared" si="10"/>
        <v>1.4901161193847656E-8</v>
      </c>
      <c r="D67" s="57">
        <f t="shared" si="10"/>
        <v>0</v>
      </c>
      <c r="E67" s="57">
        <f t="shared" si="10"/>
        <v>0</v>
      </c>
      <c r="F67" s="57">
        <f t="shared" si="10"/>
        <v>1.964508555829525E-10</v>
      </c>
      <c r="G67" s="57">
        <f t="shared" si="10"/>
        <v>0</v>
      </c>
      <c r="H67" s="57">
        <f t="shared" si="10"/>
        <v>0</v>
      </c>
      <c r="I67" s="57">
        <f t="shared" si="10"/>
        <v>2.2803433239459991E-6</v>
      </c>
    </row>
    <row r="68" spans="1:12" x14ac:dyDescent="0.25">
      <c r="B68" s="57"/>
      <c r="C68" s="57"/>
      <c r="D68" s="57"/>
      <c r="E68" s="57"/>
      <c r="I68" s="59"/>
    </row>
    <row r="69" spans="1:12" x14ac:dyDescent="0.25">
      <c r="B69" s="57"/>
      <c r="C69" s="57"/>
      <c r="D69" s="57"/>
      <c r="E69" s="57"/>
    </row>
    <row r="70" spans="1:12" x14ac:dyDescent="0.25">
      <c r="B70" s="57"/>
      <c r="C70" s="57"/>
      <c r="D70" s="57"/>
      <c r="E70" s="57"/>
    </row>
    <row r="71" spans="1:12" x14ac:dyDescent="0.25">
      <c r="B71" s="57"/>
      <c r="C71" s="57"/>
      <c r="D71" s="57"/>
      <c r="E71" s="57"/>
    </row>
    <row r="72" spans="1:12" s="55" customFormat="1" x14ac:dyDescent="0.25">
      <c r="A72"/>
      <c r="B72" s="57"/>
      <c r="C72" s="57"/>
      <c r="D72" s="57"/>
      <c r="E72" s="57"/>
      <c r="J72"/>
      <c r="K72"/>
      <c r="L72" s="48"/>
    </row>
    <row r="73" spans="1:12" s="55" customFormat="1" x14ac:dyDescent="0.25">
      <c r="A73"/>
      <c r="B73" s="57"/>
      <c r="C73" s="57"/>
      <c r="D73" s="57"/>
      <c r="E73" s="57"/>
      <c r="J73"/>
      <c r="K73"/>
      <c r="L73" s="48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L30"/>
  <sheetViews>
    <sheetView zoomScaleNormal="100" workbookViewId="0">
      <pane ySplit="6" topLeftCell="A7" activePane="bottomLeft" state="frozen"/>
      <selection activeCell="B82" sqref="B82"/>
      <selection pane="bottomLeft" activeCell="K31" sqref="K31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10" width="13" style="48" bestFit="1" customWidth="1"/>
    <col min="11" max="11" width="13.42578125" style="48" bestFit="1" customWidth="1"/>
    <col min="12" max="12" width="9.140625" style="48" customWidth="1"/>
    <col min="13" max="13" width="9.5703125" bestFit="1" customWidth="1"/>
    <col min="15" max="15" width="11.5703125" bestFit="1" customWidth="1"/>
  </cols>
  <sheetData>
    <row r="1" spans="1:11" x14ac:dyDescent="0.25">
      <c r="A1" s="233" t="s">
        <v>419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25">
      <c r="A2" s="233" t="s">
        <v>275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3">
        <v>2018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446</v>
      </c>
      <c r="I6" s="53" t="s">
        <v>456</v>
      </c>
      <c r="J6" s="53" t="s">
        <v>472</v>
      </c>
      <c r="K6" s="53" t="s">
        <v>207</v>
      </c>
    </row>
    <row r="8" spans="1:11" s="48" customFormat="1" x14ac:dyDescent="0.25">
      <c r="A8" s="47" t="s">
        <v>209</v>
      </c>
    </row>
    <row r="9" spans="1:11" s="48" customFormat="1" x14ac:dyDescent="0.25">
      <c r="A9" s="47" t="s">
        <v>289</v>
      </c>
    </row>
    <row r="10" spans="1:11" s="48" customFormat="1" x14ac:dyDescent="0.25">
      <c r="A10" t="s">
        <v>358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f>SUM(B10:J10)</f>
        <v>520</v>
      </c>
    </row>
    <row r="11" spans="1:11" s="48" customFormat="1" x14ac:dyDescent="0.25">
      <c r="A11" t="s">
        <v>293</v>
      </c>
      <c r="B11" s="48">
        <v>9251.27</v>
      </c>
      <c r="C11" s="48">
        <v>9251.27</v>
      </c>
      <c r="D11" s="48">
        <v>9251.27</v>
      </c>
      <c r="E11" s="48">
        <v>9251.27</v>
      </c>
      <c r="F11" s="48">
        <v>9251.27</v>
      </c>
      <c r="G11" s="48">
        <v>9251.27</v>
      </c>
      <c r="H11" s="48">
        <v>9251.27</v>
      </c>
      <c r="I11" s="48">
        <v>9251.27</v>
      </c>
      <c r="J11" s="48">
        <v>9251.27</v>
      </c>
      <c r="K11" s="48">
        <f>SUM(B11:J11)</f>
        <v>83261.430000000022</v>
      </c>
    </row>
    <row r="12" spans="1:11" s="48" customFormat="1" x14ac:dyDescent="0.25">
      <c r="A12" s="47" t="s">
        <v>335</v>
      </c>
      <c r="B12" s="50">
        <f t="shared" ref="B12:K12" si="0">SUM(B10:B11)</f>
        <v>9251.27</v>
      </c>
      <c r="C12" s="50">
        <f t="shared" si="0"/>
        <v>9251.27</v>
      </c>
      <c r="D12" s="50">
        <f t="shared" si="0"/>
        <v>9251.27</v>
      </c>
      <c r="E12" s="50">
        <f t="shared" si="0"/>
        <v>9771.27</v>
      </c>
      <c r="F12" s="50">
        <f>SUM(F10:F11)</f>
        <v>9251.27</v>
      </c>
      <c r="G12" s="50">
        <f>SUM(G10:G11)</f>
        <v>9251.27</v>
      </c>
      <c r="H12" s="50">
        <f t="shared" ref="H12:I12" si="1">SUM(H10:H11)</f>
        <v>9251.27</v>
      </c>
      <c r="I12" s="50">
        <f t="shared" si="1"/>
        <v>9251.27</v>
      </c>
      <c r="J12" s="50">
        <f t="shared" si="0"/>
        <v>9251.27</v>
      </c>
      <c r="K12" s="50">
        <f t="shared" si="0"/>
        <v>83781.430000000022</v>
      </c>
    </row>
    <row r="14" spans="1:11" s="48" customFormat="1" x14ac:dyDescent="0.25">
      <c r="A14" s="47" t="s">
        <v>294</v>
      </c>
    </row>
    <row r="15" spans="1:11" s="48" customFormat="1" x14ac:dyDescent="0.25">
      <c r="A15" t="s">
        <v>362</v>
      </c>
      <c r="B15" s="48">
        <v>265</v>
      </c>
      <c r="C15" s="48">
        <v>265</v>
      </c>
      <c r="D15" s="48">
        <v>265</v>
      </c>
      <c r="E15" s="48">
        <v>265</v>
      </c>
      <c r="F15" s="48">
        <v>265</v>
      </c>
      <c r="G15" s="48">
        <v>265</v>
      </c>
      <c r="H15" s="48">
        <v>530</v>
      </c>
      <c r="I15" s="48">
        <v>265</v>
      </c>
      <c r="J15" s="48">
        <v>265</v>
      </c>
      <c r="K15" s="48">
        <f>SUM(B15:J15)</f>
        <v>2650</v>
      </c>
    </row>
    <row r="16" spans="1:11" s="48" customFormat="1" x14ac:dyDescent="0.25">
      <c r="A16" s="47"/>
      <c r="B16" s="50">
        <f t="shared" ref="B16:K16" si="2">SUM(B15:B15)</f>
        <v>265</v>
      </c>
      <c r="C16" s="50">
        <f t="shared" si="2"/>
        <v>265</v>
      </c>
      <c r="D16" s="50">
        <f t="shared" si="2"/>
        <v>265</v>
      </c>
      <c r="E16" s="50">
        <f t="shared" si="2"/>
        <v>265</v>
      </c>
      <c r="F16" s="50">
        <f>SUM(F15:F15)</f>
        <v>265</v>
      </c>
      <c r="G16" s="50">
        <f>SUM(G15:G15)</f>
        <v>265</v>
      </c>
      <c r="H16" s="50">
        <f t="shared" ref="H16:I16" si="3">SUM(H15:H15)</f>
        <v>530</v>
      </c>
      <c r="I16" s="50">
        <f t="shared" si="3"/>
        <v>265</v>
      </c>
      <c r="J16" s="50">
        <f t="shared" si="2"/>
        <v>265</v>
      </c>
      <c r="K16" s="50">
        <f t="shared" si="2"/>
        <v>2650</v>
      </c>
    </row>
    <row r="17" spans="1:12" s="48" customFormat="1" x14ac:dyDescent="0.25">
      <c r="A17" t="s">
        <v>246</v>
      </c>
    </row>
    <row r="18" spans="1:12" s="48" customFormat="1" ht="15.75" thickBot="1" x14ac:dyDescent="0.3">
      <c r="A18" s="47" t="s">
        <v>210</v>
      </c>
      <c r="B18" s="51">
        <f t="shared" ref="B18:K18" si="4">B12+B16</f>
        <v>9516.27</v>
      </c>
      <c r="C18" s="51">
        <f t="shared" si="4"/>
        <v>9516.27</v>
      </c>
      <c r="D18" s="51">
        <f t="shared" si="4"/>
        <v>9516.27</v>
      </c>
      <c r="E18" s="51">
        <f t="shared" si="4"/>
        <v>10036.27</v>
      </c>
      <c r="F18" s="51">
        <f>F12+F16</f>
        <v>9516.27</v>
      </c>
      <c r="G18" s="51">
        <f>G12+G16</f>
        <v>9516.27</v>
      </c>
      <c r="H18" s="51">
        <f t="shared" ref="H18:I18" si="5">H12+H16</f>
        <v>9781.27</v>
      </c>
      <c r="I18" s="51">
        <f t="shared" si="5"/>
        <v>9516.27</v>
      </c>
      <c r="J18" s="51">
        <f t="shared" si="4"/>
        <v>9516.27</v>
      </c>
      <c r="K18" s="51">
        <f t="shared" si="4"/>
        <v>86431.430000000022</v>
      </c>
    </row>
    <row r="20" spans="1:12" s="48" customFormat="1" x14ac:dyDescent="0.25">
      <c r="A20" s="47" t="s">
        <v>298</v>
      </c>
    </row>
    <row r="21" spans="1:12" s="48" customFormat="1" x14ac:dyDescent="0.25">
      <c r="A21" t="s">
        <v>367</v>
      </c>
      <c r="B21" s="48">
        <v>16700</v>
      </c>
      <c r="C21" s="48">
        <v>16700</v>
      </c>
      <c r="D21" s="48">
        <v>16700</v>
      </c>
      <c r="E21" s="48">
        <v>16700</v>
      </c>
      <c r="F21" s="48">
        <v>16700</v>
      </c>
      <c r="G21" s="48">
        <v>16700</v>
      </c>
      <c r="H21" s="48">
        <v>16700</v>
      </c>
      <c r="I21" s="48">
        <v>16700</v>
      </c>
      <c r="J21" s="48">
        <v>16700</v>
      </c>
      <c r="K21" s="48">
        <f>SUM(B21:J21)</f>
        <v>150300</v>
      </c>
    </row>
    <row r="22" spans="1:12" s="48" customFormat="1" x14ac:dyDescent="0.25">
      <c r="A22" t="s">
        <v>410</v>
      </c>
      <c r="B22" s="48">
        <v>1000</v>
      </c>
      <c r="C22" s="48">
        <v>1000</v>
      </c>
      <c r="D22" s="48">
        <v>1000</v>
      </c>
      <c r="E22" s="48">
        <v>1000</v>
      </c>
      <c r="F22" s="48">
        <v>1000</v>
      </c>
      <c r="G22" s="48">
        <v>1000</v>
      </c>
      <c r="H22" s="48">
        <v>1000</v>
      </c>
      <c r="I22" s="48">
        <v>1000</v>
      </c>
      <c r="J22" s="48">
        <v>1000</v>
      </c>
      <c r="K22" s="48">
        <f>SUM(B22:J22)</f>
        <v>9000</v>
      </c>
    </row>
    <row r="23" spans="1:12" s="48" customFormat="1" x14ac:dyDescent="0.25">
      <c r="A23" t="s">
        <v>368</v>
      </c>
      <c r="B23" s="48">
        <v>1.01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f>SUM(B23:J23)</f>
        <v>1.01</v>
      </c>
    </row>
    <row r="24" spans="1:12" s="48" customFormat="1" x14ac:dyDescent="0.25">
      <c r="A24" t="s">
        <v>271</v>
      </c>
      <c r="B24" s="48">
        <v>3691.03</v>
      </c>
      <c r="C24" s="48">
        <v>3673.36</v>
      </c>
      <c r="D24" s="48">
        <v>3655.63</v>
      </c>
      <c r="E24" s="48">
        <v>3637.86</v>
      </c>
      <c r="F24" s="48">
        <v>3620.04</v>
      </c>
      <c r="G24" s="48">
        <v>3602.17</v>
      </c>
      <c r="H24" s="48">
        <v>3584.24</v>
      </c>
      <c r="I24" s="48">
        <v>3566.27</v>
      </c>
      <c r="J24" s="48">
        <v>3548.25</v>
      </c>
      <c r="K24" s="48">
        <f>SUM(B24:J24)</f>
        <v>32578.850000000002</v>
      </c>
    </row>
    <row r="25" spans="1:12" s="48" customFormat="1" x14ac:dyDescent="0.25">
      <c r="A25" t="s">
        <v>272</v>
      </c>
      <c r="B25" s="48">
        <v>-860.93</v>
      </c>
      <c r="C25" s="48">
        <v>-860.93</v>
      </c>
      <c r="D25" s="48">
        <v>-860.93</v>
      </c>
      <c r="E25" s="48">
        <v>-860.93</v>
      </c>
      <c r="F25" s="48">
        <v>-860.93</v>
      </c>
      <c r="G25" s="48">
        <v>-860.93</v>
      </c>
      <c r="H25" s="48">
        <v>-860.93</v>
      </c>
      <c r="I25" s="48">
        <v>-860.93</v>
      </c>
      <c r="J25" s="48">
        <v>-860.93</v>
      </c>
      <c r="K25" s="48">
        <f>SUM(B25:J25)</f>
        <v>-7748.3700000000008</v>
      </c>
    </row>
    <row r="26" spans="1:12" s="48" customFormat="1" x14ac:dyDescent="0.25">
      <c r="A26" s="47" t="s">
        <v>300</v>
      </c>
      <c r="B26" s="50">
        <f t="shared" ref="B26:K26" si="6">SUM(B21:B25)</f>
        <v>20531.109999999997</v>
      </c>
      <c r="C26" s="50">
        <f t="shared" si="6"/>
        <v>20512.43</v>
      </c>
      <c r="D26" s="50">
        <f t="shared" si="6"/>
        <v>20494.7</v>
      </c>
      <c r="E26" s="50">
        <f t="shared" si="6"/>
        <v>20476.93</v>
      </c>
      <c r="F26" s="50">
        <f>SUM(F21:F25)</f>
        <v>20459.11</v>
      </c>
      <c r="G26" s="50">
        <f>SUM(G21:G25)</f>
        <v>20441.239999999998</v>
      </c>
      <c r="H26" s="50">
        <f t="shared" ref="H26:I26" si="7">SUM(H21:H25)</f>
        <v>20423.309999999998</v>
      </c>
      <c r="I26" s="50">
        <f t="shared" si="7"/>
        <v>20405.34</v>
      </c>
      <c r="J26" s="50">
        <f t="shared" si="6"/>
        <v>20387.32</v>
      </c>
      <c r="K26" s="50">
        <f t="shared" si="6"/>
        <v>184131.49000000002</v>
      </c>
    </row>
    <row r="28" spans="1:12" ht="15.75" thickBot="1" x14ac:dyDescent="0.3">
      <c r="A28" s="47" t="s">
        <v>301</v>
      </c>
      <c r="B28" s="52">
        <f>B26-B18</f>
        <v>11014.839999999997</v>
      </c>
      <c r="C28" s="52">
        <f t="shared" ref="C28:K28" si="8">C26-C18</f>
        <v>10996.16</v>
      </c>
      <c r="D28" s="52">
        <f t="shared" si="8"/>
        <v>10978.43</v>
      </c>
      <c r="E28" s="52">
        <f t="shared" si="8"/>
        <v>10440.66</v>
      </c>
      <c r="F28" s="52">
        <f>F26-F18</f>
        <v>10942.84</v>
      </c>
      <c r="G28" s="52">
        <f>G26-G18</f>
        <v>10924.969999999998</v>
      </c>
      <c r="H28" s="52">
        <f t="shared" ref="H28:I28" si="9">H26-H18</f>
        <v>10642.039999999997</v>
      </c>
      <c r="I28" s="52">
        <f t="shared" si="9"/>
        <v>10889.07</v>
      </c>
      <c r="J28" s="52">
        <f t="shared" si="8"/>
        <v>10871.05</v>
      </c>
      <c r="K28" s="52">
        <f t="shared" si="8"/>
        <v>97700.06</v>
      </c>
      <c r="L28"/>
    </row>
    <row r="29" spans="1:12" ht="15.75" thickTop="1" x14ac:dyDescent="0.25"/>
    <row r="30" spans="1:12" x14ac:dyDescent="0.25">
      <c r="K30" s="48">
        <f>K28-'Comp YTD 2018-2017 10.18.18'!G119</f>
        <v>0</v>
      </c>
    </row>
  </sheetData>
  <mergeCells count="3">
    <mergeCell ref="A1:K1"/>
    <mergeCell ref="A2:K2"/>
    <mergeCell ref="A3:K3"/>
  </mergeCells>
  <pageMargins left="0.7" right="0.7" top="0.75" bottom="0.75" header="0.3" footer="0.3"/>
  <pageSetup scale="60" fitToHeight="0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L31"/>
  <sheetViews>
    <sheetView zoomScaleNormal="100" workbookViewId="0">
      <pane ySplit="6" topLeftCell="A7" activePane="bottomLeft" state="frozen"/>
      <selection activeCell="B82" sqref="B82"/>
      <selection pane="bottomLeft" activeCell="B37" sqref="B37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10" width="13" style="48" bestFit="1" customWidth="1"/>
    <col min="11" max="11" width="13.42578125" style="48" bestFit="1" customWidth="1"/>
    <col min="12" max="12" width="9.140625" style="48" customWidth="1"/>
    <col min="13" max="13" width="9.5703125" bestFit="1" customWidth="1"/>
    <col min="15" max="15" width="11.5703125" bestFit="1" customWidth="1"/>
  </cols>
  <sheetData>
    <row r="1" spans="1:11" x14ac:dyDescent="0.25">
      <c r="A1" s="233" t="s">
        <v>420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25">
      <c r="A2" s="233" t="s">
        <v>275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3">
        <v>2018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446</v>
      </c>
      <c r="I6" s="53" t="s">
        <v>456</v>
      </c>
      <c r="J6" s="53" t="s">
        <v>472</v>
      </c>
      <c r="K6" s="53" t="s">
        <v>207</v>
      </c>
    </row>
    <row r="8" spans="1:11" s="48" customFormat="1" x14ac:dyDescent="0.25">
      <c r="A8" s="47" t="s">
        <v>209</v>
      </c>
    </row>
    <row r="9" spans="1:11" s="48" customFormat="1" x14ac:dyDescent="0.25">
      <c r="A9" s="47" t="s">
        <v>289</v>
      </c>
    </row>
    <row r="10" spans="1:11" s="48" customFormat="1" x14ac:dyDescent="0.25">
      <c r="A10" t="s">
        <v>358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f>SUM(B10:J10)</f>
        <v>520</v>
      </c>
    </row>
    <row r="11" spans="1:11" s="48" customFormat="1" x14ac:dyDescent="0.25">
      <c r="A11" t="s">
        <v>293</v>
      </c>
      <c r="B11" s="48">
        <v>14678.56</v>
      </c>
      <c r="C11" s="48">
        <v>14704</v>
      </c>
      <c r="D11" s="48">
        <v>14704</v>
      </c>
      <c r="E11" s="48">
        <v>14704</v>
      </c>
      <c r="F11" s="48">
        <v>14704</v>
      </c>
      <c r="G11" s="48">
        <v>14704</v>
      </c>
      <c r="H11" s="48">
        <v>14704</v>
      </c>
      <c r="I11" s="48">
        <v>14665.08</v>
      </c>
      <c r="J11" s="48">
        <v>14665.08</v>
      </c>
      <c r="K11" s="48">
        <f>SUM(B11:J11)</f>
        <v>132232.72</v>
      </c>
    </row>
    <row r="12" spans="1:11" s="48" customFormat="1" x14ac:dyDescent="0.25">
      <c r="A12" s="47" t="s">
        <v>335</v>
      </c>
      <c r="B12" s="50">
        <f t="shared" ref="B12:K12" si="0">SUM(B10:B11)</f>
        <v>14678.56</v>
      </c>
      <c r="C12" s="50">
        <f t="shared" si="0"/>
        <v>14704</v>
      </c>
      <c r="D12" s="50">
        <f t="shared" si="0"/>
        <v>14704</v>
      </c>
      <c r="E12" s="50">
        <f t="shared" si="0"/>
        <v>15224</v>
      </c>
      <c r="F12" s="50">
        <f>SUM(F10:F11)</f>
        <v>14704</v>
      </c>
      <c r="G12" s="50">
        <f>SUM(G10:G11)</f>
        <v>14704</v>
      </c>
      <c r="H12" s="50">
        <f t="shared" ref="H12:I12" si="1">SUM(H10:H11)</f>
        <v>14704</v>
      </c>
      <c r="I12" s="50">
        <f t="shared" si="1"/>
        <v>14665.08</v>
      </c>
      <c r="J12" s="50">
        <f t="shared" si="0"/>
        <v>14665.08</v>
      </c>
      <c r="K12" s="50">
        <f t="shared" si="0"/>
        <v>132752.72</v>
      </c>
    </row>
    <row r="14" spans="1:11" s="48" customFormat="1" x14ac:dyDescent="0.25">
      <c r="A14" s="47" t="s">
        <v>294</v>
      </c>
    </row>
    <row r="15" spans="1:11" s="48" customFormat="1" x14ac:dyDescent="0.25">
      <c r="A15" t="s">
        <v>362</v>
      </c>
    </row>
    <row r="16" spans="1:11" s="48" customFormat="1" x14ac:dyDescent="0.25">
      <c r="A16" t="s">
        <v>447</v>
      </c>
      <c r="B16" s="48">
        <v>78.37</v>
      </c>
      <c r="C16" s="48">
        <v>78.38</v>
      </c>
      <c r="D16" s="48">
        <v>84.61</v>
      </c>
      <c r="E16" s="48">
        <v>78.400000000000006</v>
      </c>
      <c r="F16" s="48">
        <v>82.39</v>
      </c>
      <c r="G16" s="48">
        <v>78.48</v>
      </c>
      <c r="H16" s="48">
        <v>80.56</v>
      </c>
      <c r="I16" s="48">
        <v>61.32</v>
      </c>
      <c r="J16" s="48">
        <v>91.96</v>
      </c>
      <c r="K16" s="48">
        <f>SUM(B16:J16)</f>
        <v>714.47000000000014</v>
      </c>
    </row>
    <row r="17" spans="1:12" s="48" customFormat="1" x14ac:dyDescent="0.25">
      <c r="A17" s="47" t="s">
        <v>297</v>
      </c>
      <c r="B17" s="50">
        <f>SUM(B15:B16)</f>
        <v>78.37</v>
      </c>
      <c r="C17" s="50">
        <f t="shared" ref="C17:J17" si="2">SUM(C15:C16)</f>
        <v>78.38</v>
      </c>
      <c r="D17" s="50">
        <f t="shared" si="2"/>
        <v>84.61</v>
      </c>
      <c r="E17" s="50">
        <f t="shared" si="2"/>
        <v>78.400000000000006</v>
      </c>
      <c r="F17" s="50">
        <f>SUM(F15:F16)</f>
        <v>82.39</v>
      </c>
      <c r="G17" s="50">
        <f>SUM(G15:G16)</f>
        <v>78.48</v>
      </c>
      <c r="H17" s="50">
        <f t="shared" ref="H17:I17" si="3">SUM(H15:H16)</f>
        <v>80.56</v>
      </c>
      <c r="I17" s="50">
        <f t="shared" si="3"/>
        <v>61.32</v>
      </c>
      <c r="J17" s="50">
        <f t="shared" si="2"/>
        <v>91.96</v>
      </c>
      <c r="K17" s="50">
        <f>SUM(K15:K16)</f>
        <v>714.47000000000014</v>
      </c>
    </row>
    <row r="18" spans="1:12" s="48" customFormat="1" x14ac:dyDescent="0.25">
      <c r="A18" t="s">
        <v>246</v>
      </c>
    </row>
    <row r="19" spans="1:12" s="48" customFormat="1" ht="15.75" thickBot="1" x14ac:dyDescent="0.3">
      <c r="A19" s="47" t="s">
        <v>210</v>
      </c>
      <c r="B19" s="51">
        <f t="shared" ref="B19:K19" si="4">B12+B17</f>
        <v>14756.93</v>
      </c>
      <c r="C19" s="51">
        <f t="shared" si="4"/>
        <v>14782.38</v>
      </c>
      <c r="D19" s="51">
        <f t="shared" si="4"/>
        <v>14788.61</v>
      </c>
      <c r="E19" s="51">
        <f t="shared" si="4"/>
        <v>15302.4</v>
      </c>
      <c r="F19" s="51">
        <f>F12+F17</f>
        <v>14786.39</v>
      </c>
      <c r="G19" s="51">
        <f>G12+G17</f>
        <v>14782.48</v>
      </c>
      <c r="H19" s="51">
        <f t="shared" ref="H19:I19" si="5">H12+H17</f>
        <v>14784.56</v>
      </c>
      <c r="I19" s="51">
        <f t="shared" si="5"/>
        <v>14726.4</v>
      </c>
      <c r="J19" s="51">
        <f t="shared" si="4"/>
        <v>14757.039999999999</v>
      </c>
      <c r="K19" s="51">
        <f t="shared" si="4"/>
        <v>133467.19</v>
      </c>
    </row>
    <row r="21" spans="1:12" s="48" customFormat="1" x14ac:dyDescent="0.25">
      <c r="A21" s="47" t="s">
        <v>298</v>
      </c>
    </row>
    <row r="22" spans="1:12" s="48" customFormat="1" x14ac:dyDescent="0.25">
      <c r="A22" t="s">
        <v>448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25000</v>
      </c>
      <c r="I22" s="48">
        <v>25000</v>
      </c>
      <c r="J22" s="48">
        <v>25000</v>
      </c>
      <c r="K22" s="48">
        <f>SUM(B22:J22)</f>
        <v>75000</v>
      </c>
    </row>
    <row r="23" spans="1:12" s="48" customFormat="1" x14ac:dyDescent="0.25">
      <c r="A23" t="s">
        <v>473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f>92500-25000</f>
        <v>67500</v>
      </c>
      <c r="K23" s="48">
        <f>SUM(B23:J23)</f>
        <v>67500</v>
      </c>
    </row>
    <row r="24" spans="1:12" s="48" customFormat="1" x14ac:dyDescent="0.25">
      <c r="A24" t="s">
        <v>368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f>SUM(B24:J24)</f>
        <v>0</v>
      </c>
    </row>
    <row r="25" spans="1:12" s="48" customFormat="1" x14ac:dyDescent="0.25">
      <c r="A25" t="s">
        <v>271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f>SUM(B25:J25)</f>
        <v>0</v>
      </c>
    </row>
    <row r="26" spans="1:12" s="48" customFormat="1" x14ac:dyDescent="0.25">
      <c r="A26" t="s">
        <v>272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108">
        <f>SUM(B26:J26)</f>
        <v>0</v>
      </c>
    </row>
    <row r="27" spans="1:12" s="48" customFormat="1" x14ac:dyDescent="0.25">
      <c r="A27" s="47" t="s">
        <v>300</v>
      </c>
      <c r="B27" s="50">
        <f t="shared" ref="B27:K27" si="6">SUM(B22:B26)</f>
        <v>0</v>
      </c>
      <c r="C27" s="50">
        <f t="shared" si="6"/>
        <v>0</v>
      </c>
      <c r="D27" s="50">
        <f t="shared" si="6"/>
        <v>0</v>
      </c>
      <c r="E27" s="50">
        <f t="shared" si="6"/>
        <v>0</v>
      </c>
      <c r="F27" s="50">
        <f>SUM(F22:F26)</f>
        <v>0</v>
      </c>
      <c r="G27" s="50">
        <f>SUM(G22:G26)</f>
        <v>0</v>
      </c>
      <c r="H27" s="50">
        <f t="shared" ref="H27:I27" si="7">SUM(H22:H26)</f>
        <v>25000</v>
      </c>
      <c r="I27" s="50">
        <f t="shared" si="7"/>
        <v>25000</v>
      </c>
      <c r="J27" s="50">
        <f t="shared" si="6"/>
        <v>92500</v>
      </c>
      <c r="K27" s="50">
        <f t="shared" si="6"/>
        <v>142500</v>
      </c>
    </row>
    <row r="29" spans="1:12" ht="15.75" thickBot="1" x14ac:dyDescent="0.3">
      <c r="A29" s="47" t="s">
        <v>301</v>
      </c>
      <c r="B29" s="52">
        <f>B27-B19</f>
        <v>-14756.93</v>
      </c>
      <c r="C29" s="52">
        <f t="shared" ref="C29:K29" si="8">C27-C19</f>
        <v>-14782.38</v>
      </c>
      <c r="D29" s="52">
        <f t="shared" si="8"/>
        <v>-14788.61</v>
      </c>
      <c r="E29" s="52">
        <f t="shared" si="8"/>
        <v>-15302.4</v>
      </c>
      <c r="F29" s="52">
        <f>F27-F19</f>
        <v>-14786.39</v>
      </c>
      <c r="G29" s="52">
        <f>G27-G19</f>
        <v>-14782.48</v>
      </c>
      <c r="H29" s="52">
        <f t="shared" ref="H29:I29" si="9">H27-H19</f>
        <v>10215.44</v>
      </c>
      <c r="I29" s="52">
        <f t="shared" si="9"/>
        <v>10273.6</v>
      </c>
      <c r="J29" s="52">
        <f t="shared" si="8"/>
        <v>77742.960000000006</v>
      </c>
      <c r="K29" s="52">
        <f t="shared" si="8"/>
        <v>9032.8099999999977</v>
      </c>
      <c r="L29"/>
    </row>
    <row r="30" spans="1:12" ht="15.75" thickTop="1" x14ac:dyDescent="0.25"/>
    <row r="31" spans="1:12" x14ac:dyDescent="0.25">
      <c r="J31" s="48">
        <v>0</v>
      </c>
      <c r="K31" s="48">
        <f>K29-'Comp YTD 2018-2017 10.18.18'!H119</f>
        <v>0</v>
      </c>
    </row>
  </sheetData>
  <mergeCells count="3">
    <mergeCell ref="A1:K1"/>
    <mergeCell ref="A2:K2"/>
    <mergeCell ref="A3:K3"/>
  </mergeCells>
  <pageMargins left="0.7" right="0.7" top="0.75" bottom="0.75" header="0.3" footer="0.3"/>
  <pageSetup scale="60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84"/>
  <sheetViews>
    <sheetView zoomScale="110" zoomScaleNormal="110" workbookViewId="0">
      <pane xSplit="1" ySplit="4" topLeftCell="G204" activePane="bottomRight" state="frozen"/>
      <selection activeCell="B82" sqref="B82"/>
      <selection pane="topRight" activeCell="B82" sqref="B82"/>
      <selection pane="bottomLeft" activeCell="B82" sqref="B82"/>
      <selection pane="bottomRight" activeCell="J212" sqref="J212:J230"/>
    </sheetView>
  </sheetViews>
  <sheetFormatPr defaultColWidth="9.140625" defaultRowHeight="15" x14ac:dyDescent="0.25"/>
  <cols>
    <col min="1" max="1" width="69.5703125" style="114" customWidth="1"/>
    <col min="2" max="2" width="22.42578125" style="1" customWidth="1"/>
    <col min="3" max="3" width="24" style="2" customWidth="1"/>
    <col min="4" max="4" width="24.28515625" style="2" customWidth="1"/>
    <col min="5" max="6" width="25.140625" style="2" customWidth="1"/>
    <col min="7" max="7" width="24" style="2" customWidth="1"/>
    <col min="8" max="8" width="23.42578125" style="7" customWidth="1"/>
    <col min="9" max="9" width="23.42578125" style="2" customWidth="1"/>
    <col min="10" max="10" width="23" style="2" customWidth="1"/>
    <col min="11" max="11" width="23" style="2" hidden="1" customWidth="1"/>
    <col min="12" max="13" width="25.5703125" style="2" hidden="1" customWidth="1"/>
    <col min="14" max="14" width="26.28515625" style="2" customWidth="1"/>
    <col min="15" max="15" width="12.5703125" style="2" bestFit="1" customWidth="1"/>
    <col min="16" max="17" width="26.28515625" style="2" hidden="1" customWidth="1"/>
    <col min="18" max="16384" width="9.140625" style="2"/>
  </cols>
  <sheetData>
    <row r="1" spans="1:17" ht="18.75" x14ac:dyDescent="0.3">
      <c r="A1" s="113" t="s">
        <v>0</v>
      </c>
    </row>
    <row r="2" spans="1:17" ht="19.5" thickBot="1" x14ac:dyDescent="0.35">
      <c r="A2" s="113"/>
      <c r="I2" s="2">
        <v>0</v>
      </c>
    </row>
    <row r="3" spans="1:17" ht="15.75" thickBot="1" x14ac:dyDescent="0.3">
      <c r="B3" s="3">
        <v>43131</v>
      </c>
      <c r="C3" s="3">
        <v>43159</v>
      </c>
      <c r="D3" s="3">
        <v>43190</v>
      </c>
      <c r="E3" s="3">
        <v>43220</v>
      </c>
      <c r="F3" s="3">
        <v>43251</v>
      </c>
      <c r="G3" s="3">
        <v>43281</v>
      </c>
      <c r="H3" s="3">
        <v>43312</v>
      </c>
      <c r="I3" s="3">
        <v>43343</v>
      </c>
      <c r="J3" s="3">
        <v>43373</v>
      </c>
      <c r="K3" s="3">
        <v>43404</v>
      </c>
      <c r="L3" s="3">
        <v>43434</v>
      </c>
      <c r="M3" s="3">
        <v>43465</v>
      </c>
      <c r="N3" s="4" t="s">
        <v>1</v>
      </c>
      <c r="P3" s="4" t="s">
        <v>2</v>
      </c>
      <c r="Q3" s="4" t="s">
        <v>3</v>
      </c>
    </row>
    <row r="4" spans="1:17" ht="15.75" thickBot="1" x14ac:dyDescent="0.3">
      <c r="A4" s="115" t="s">
        <v>4</v>
      </c>
      <c r="P4" s="4" t="s">
        <v>5</v>
      </c>
      <c r="Q4" s="4" t="s">
        <v>6</v>
      </c>
    </row>
    <row r="5" spans="1:17" x14ac:dyDescent="0.25">
      <c r="A5" s="114" t="s">
        <v>7</v>
      </c>
      <c r="B5" s="5">
        <f t="shared" ref="B5:E6" si="0">+B105+B116</f>
        <v>154563428.67000002</v>
      </c>
      <c r="C5" s="5">
        <f t="shared" si="0"/>
        <v>109601727.78999999</v>
      </c>
      <c r="D5" s="5">
        <f>+D105+D116</f>
        <v>101069868.19</v>
      </c>
      <c r="E5" s="5">
        <f>+E105+E116</f>
        <v>92671539.059999987</v>
      </c>
      <c r="F5" s="5">
        <f>+F105+F116</f>
        <v>94258757.019999996</v>
      </c>
      <c r="G5" s="1">
        <f t="shared" ref="G5:M8" si="1">G105+G116</f>
        <v>92781088.61999999</v>
      </c>
      <c r="H5" s="58">
        <f t="shared" si="1"/>
        <v>122616849.06</v>
      </c>
      <c r="I5" s="58">
        <f t="shared" si="1"/>
        <v>126398264.86999999</v>
      </c>
      <c r="J5" s="58">
        <f t="shared" si="1"/>
        <v>93678610.930000007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ref="N5:N10" si="2">SUM(B5:M5)</f>
        <v>987640134.21000004</v>
      </c>
      <c r="P5" s="1">
        <f t="shared" ref="P5:P71" si="3">(N5-M5)/11</f>
        <v>89785466.74636364</v>
      </c>
      <c r="Q5" s="1">
        <f t="shared" ref="Q5:Q71" si="4">M5-P5</f>
        <v>-89785466.74636364</v>
      </c>
    </row>
    <row r="6" spans="1:17" x14ac:dyDescent="0.25">
      <c r="A6" s="114" t="s">
        <v>8</v>
      </c>
      <c r="B6" s="5">
        <f t="shared" si="0"/>
        <v>424529753.21999997</v>
      </c>
      <c r="C6" s="5">
        <f t="shared" si="0"/>
        <v>1212317398.3500001</v>
      </c>
      <c r="D6" s="5">
        <f>+D106+D117</f>
        <v>305312522.13</v>
      </c>
      <c r="E6" s="5">
        <f t="shared" si="0"/>
        <v>46941731.32</v>
      </c>
      <c r="F6" s="5">
        <f>+F106+F117</f>
        <v>115060805.22</v>
      </c>
      <c r="G6" s="1">
        <f t="shared" si="1"/>
        <v>260963733.31999999</v>
      </c>
      <c r="H6" s="58">
        <f t="shared" si="1"/>
        <v>166703405.97</v>
      </c>
      <c r="I6" s="58">
        <f t="shared" si="1"/>
        <v>324765702.82999998</v>
      </c>
      <c r="J6" s="58">
        <f t="shared" si="1"/>
        <v>239385553.34999999</v>
      </c>
      <c r="K6" s="1">
        <f t="shared" si="1"/>
        <v>0</v>
      </c>
      <c r="L6" s="1">
        <f t="shared" si="1"/>
        <v>0</v>
      </c>
      <c r="M6" s="1">
        <f t="shared" si="1"/>
        <v>0</v>
      </c>
      <c r="N6" s="1">
        <f t="shared" si="2"/>
        <v>3095980605.71</v>
      </c>
      <c r="P6" s="1">
        <f t="shared" si="3"/>
        <v>281452782.3372727</v>
      </c>
      <c r="Q6" s="1">
        <f t="shared" si="4"/>
        <v>-281452782.3372727</v>
      </c>
    </row>
    <row r="7" spans="1:17" x14ac:dyDescent="0.25">
      <c r="A7" s="114" t="s">
        <v>9</v>
      </c>
      <c r="B7" s="5">
        <f>B107+B118</f>
        <v>2884704.37</v>
      </c>
      <c r="C7" s="5">
        <f>C107+C118</f>
        <v>2596535.7200000002</v>
      </c>
      <c r="D7" s="5">
        <f>D107+D118</f>
        <v>622399.88</v>
      </c>
      <c r="E7" s="5">
        <f>E107+E118</f>
        <v>1945746.84</v>
      </c>
      <c r="F7" s="5">
        <f>F107+F118</f>
        <v>1927944.8</v>
      </c>
      <c r="G7" s="1">
        <f t="shared" si="1"/>
        <v>474866.98</v>
      </c>
      <c r="H7" s="58">
        <f t="shared" si="1"/>
        <v>1059505.05</v>
      </c>
      <c r="I7" s="58">
        <f t="shared" si="1"/>
        <v>1450642.34</v>
      </c>
      <c r="J7" s="58">
        <f t="shared" si="1"/>
        <v>319490.71999999997</v>
      </c>
      <c r="K7" s="1">
        <f t="shared" si="1"/>
        <v>0</v>
      </c>
      <c r="L7" s="1">
        <f t="shared" si="1"/>
        <v>0</v>
      </c>
      <c r="M7" s="1">
        <f t="shared" si="1"/>
        <v>0</v>
      </c>
      <c r="N7" s="1">
        <f t="shared" si="2"/>
        <v>13281836.700000001</v>
      </c>
      <c r="P7" s="1">
        <f t="shared" si="3"/>
        <v>1207439.7000000002</v>
      </c>
      <c r="Q7" s="1">
        <f t="shared" si="4"/>
        <v>-1207439.7000000002</v>
      </c>
    </row>
    <row r="8" spans="1:17" x14ac:dyDescent="0.25">
      <c r="A8" s="114" t="s">
        <v>10</v>
      </c>
      <c r="B8" s="5">
        <f>+B108</f>
        <v>3238349</v>
      </c>
      <c r="C8" s="5">
        <f>+C108</f>
        <v>1478660.42</v>
      </c>
      <c r="D8" s="5">
        <f>+D108+D119</f>
        <v>1427673</v>
      </c>
      <c r="E8" s="5">
        <f>+E108</f>
        <v>2167697.4500000002</v>
      </c>
      <c r="F8" s="5">
        <f>+F108</f>
        <v>847867.6</v>
      </c>
      <c r="G8" s="6">
        <f t="shared" si="1"/>
        <v>784960.5</v>
      </c>
      <c r="H8" s="6">
        <f t="shared" si="1"/>
        <v>518684.94</v>
      </c>
      <c r="I8" s="6">
        <f t="shared" si="1"/>
        <v>749745</v>
      </c>
      <c r="J8" s="6">
        <f t="shared" si="1"/>
        <v>593767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1">
        <f t="shared" si="2"/>
        <v>11807404.91</v>
      </c>
      <c r="P8" s="1">
        <f t="shared" si="3"/>
        <v>1073400.4463636363</v>
      </c>
      <c r="Q8" s="1">
        <f t="shared" si="4"/>
        <v>-1073400.4463636363</v>
      </c>
    </row>
    <row r="9" spans="1:17" x14ac:dyDescent="0.25">
      <c r="A9" s="114" t="s">
        <v>11</v>
      </c>
      <c r="B9" s="5">
        <f t="shared" ref="B9:M9" si="5">+B112+B122</f>
        <v>85825</v>
      </c>
      <c r="C9" s="5">
        <f t="shared" si="5"/>
        <v>579872.5</v>
      </c>
      <c r="D9" s="5">
        <f t="shared" si="5"/>
        <v>108078.75</v>
      </c>
      <c r="E9" s="5">
        <f t="shared" si="5"/>
        <v>903549.14</v>
      </c>
      <c r="F9" s="5">
        <f t="shared" si="5"/>
        <v>310999.59999999998</v>
      </c>
      <c r="G9" s="5">
        <f t="shared" si="5"/>
        <v>1246220.98</v>
      </c>
      <c r="H9" s="5">
        <f t="shared" si="5"/>
        <v>454175</v>
      </c>
      <c r="I9" s="5">
        <f t="shared" si="5"/>
        <v>875445</v>
      </c>
      <c r="J9" s="5">
        <f t="shared" si="5"/>
        <v>458565</v>
      </c>
      <c r="K9" s="5">
        <f t="shared" si="5"/>
        <v>0</v>
      </c>
      <c r="L9" s="5">
        <f t="shared" si="5"/>
        <v>0</v>
      </c>
      <c r="M9" s="5">
        <f t="shared" si="5"/>
        <v>0</v>
      </c>
      <c r="N9" s="1">
        <f t="shared" si="2"/>
        <v>5022730.9700000007</v>
      </c>
      <c r="P9" s="1">
        <f t="shared" si="3"/>
        <v>456611.90636363643</v>
      </c>
      <c r="Q9" s="1">
        <f t="shared" si="4"/>
        <v>-456611.90636363643</v>
      </c>
    </row>
    <row r="10" spans="1:17" x14ac:dyDescent="0.25">
      <c r="A10" s="114" t="s">
        <v>12</v>
      </c>
      <c r="B10" s="5"/>
      <c r="C10" s="5"/>
      <c r="D10" s="5"/>
      <c r="E10" s="5">
        <f>E123+E125</f>
        <v>292312.5</v>
      </c>
      <c r="F10" s="5">
        <f>F123+F125</f>
        <v>0</v>
      </c>
      <c r="G10" s="5">
        <f>G123+G125</f>
        <v>1845</v>
      </c>
      <c r="H10" s="5">
        <f>H123+H125</f>
        <v>161476.78</v>
      </c>
      <c r="I10" s="5">
        <f>I123+I125+I126+I124</f>
        <v>138951.82999999999</v>
      </c>
      <c r="J10" s="5">
        <f>J123+J125+J126+J124</f>
        <v>2028039.81</v>
      </c>
      <c r="K10" s="5">
        <f>K123+K125</f>
        <v>0</v>
      </c>
      <c r="L10" s="5">
        <f>L123+L125</f>
        <v>0</v>
      </c>
      <c r="M10" s="5">
        <f>M123+M125</f>
        <v>0</v>
      </c>
      <c r="N10" s="1">
        <f t="shared" si="2"/>
        <v>2622625.92</v>
      </c>
      <c r="P10" s="1"/>
      <c r="Q10" s="1"/>
    </row>
    <row r="11" spans="1:17" x14ac:dyDescent="0.25">
      <c r="B11" s="8">
        <f>SUM(B5:B10)</f>
        <v>585302060.25999999</v>
      </c>
      <c r="C11" s="8">
        <f>SUM(C5:C10)</f>
        <v>1326574194.7800002</v>
      </c>
      <c r="D11" s="8">
        <f>SUM(D5:D10)</f>
        <v>408540541.94999999</v>
      </c>
      <c r="E11" s="9">
        <f>SUM(E5:E10)</f>
        <v>144922576.30999997</v>
      </c>
      <c r="F11" s="9">
        <f t="shared" ref="F11:M11" si="6">SUM(F5:F10)</f>
        <v>212406374.24000001</v>
      </c>
      <c r="G11" s="9">
        <f t="shared" si="6"/>
        <v>356252715.40000004</v>
      </c>
      <c r="H11" s="9">
        <f>SUM(H5:H10)</f>
        <v>291514096.79999995</v>
      </c>
      <c r="I11" s="9">
        <f>SUM(I5:I10)</f>
        <v>454378751.86999995</v>
      </c>
      <c r="J11" s="9">
        <f t="shared" si="6"/>
        <v>336464026.81</v>
      </c>
      <c r="K11" s="9">
        <f t="shared" si="6"/>
        <v>0</v>
      </c>
      <c r="L11" s="9">
        <f t="shared" si="6"/>
        <v>0</v>
      </c>
      <c r="M11" s="9">
        <f t="shared" si="6"/>
        <v>0</v>
      </c>
      <c r="N11" s="8">
        <f>SUM(N5:N10)</f>
        <v>4116355338.4199996</v>
      </c>
      <c r="P11" s="8">
        <f t="shared" si="3"/>
        <v>374214121.67454541</v>
      </c>
      <c r="Q11" s="8">
        <f t="shared" si="4"/>
        <v>-374214121.67454541</v>
      </c>
    </row>
    <row r="12" spans="1:17" x14ac:dyDescent="0.25">
      <c r="C12" s="1"/>
      <c r="D12" s="1"/>
      <c r="E12" s="1"/>
      <c r="F12" s="1"/>
      <c r="G12" s="1"/>
      <c r="H12" s="58"/>
      <c r="I12" s="1"/>
      <c r="J12" s="1"/>
      <c r="K12" s="1"/>
      <c r="L12" s="1"/>
      <c r="M12" s="1"/>
      <c r="P12" s="2">
        <f t="shared" si="3"/>
        <v>0</v>
      </c>
      <c r="Q12" s="2">
        <f t="shared" si="4"/>
        <v>0</v>
      </c>
    </row>
    <row r="13" spans="1:17" x14ac:dyDescent="0.25">
      <c r="A13" s="115" t="s">
        <v>13</v>
      </c>
      <c r="C13" s="1"/>
      <c r="D13" s="1"/>
      <c r="E13" s="1"/>
      <c r="F13" s="1"/>
      <c r="G13" s="1"/>
      <c r="H13" s="58"/>
      <c r="I13" s="1"/>
      <c r="J13" s="1"/>
      <c r="K13" s="1"/>
      <c r="L13" s="1"/>
      <c r="M13" s="1"/>
      <c r="P13" s="2">
        <f t="shared" si="3"/>
        <v>0</v>
      </c>
      <c r="Q13" s="2">
        <f t="shared" si="4"/>
        <v>0</v>
      </c>
    </row>
    <row r="14" spans="1:17" x14ac:dyDescent="0.25">
      <c r="A14" s="114" t="s">
        <v>14</v>
      </c>
      <c r="B14" s="5">
        <f t="shared" ref="B14:F17" si="7">+B136+B161+B168</f>
        <v>157842383.69</v>
      </c>
      <c r="C14" s="5">
        <f t="shared" si="7"/>
        <v>108846154.46000001</v>
      </c>
      <c r="D14" s="5">
        <f t="shared" si="7"/>
        <v>100906197.60999998</v>
      </c>
      <c r="E14" s="5">
        <f t="shared" si="7"/>
        <v>92373678.780000001</v>
      </c>
      <c r="F14" s="5">
        <f t="shared" si="7"/>
        <v>94255718.569999993</v>
      </c>
      <c r="G14" s="5">
        <f>G136+G161+G168</f>
        <v>92265888.5</v>
      </c>
      <c r="H14" s="5">
        <f t="shared" ref="H14:I17" si="8">H136+H161+H168</f>
        <v>124048206.41999999</v>
      </c>
      <c r="I14" s="5">
        <f t="shared" si="8"/>
        <v>127634931.13</v>
      </c>
      <c r="J14" s="5">
        <f t="shared" ref="J14" si="9">J136+J161+J168</f>
        <v>93996436.060000002</v>
      </c>
      <c r="K14" s="1">
        <f t="shared" ref="K14:M17" si="10">K136+K161+K168</f>
        <v>0</v>
      </c>
      <c r="L14" s="1">
        <f t="shared" si="10"/>
        <v>0</v>
      </c>
      <c r="M14" s="1">
        <f t="shared" si="10"/>
        <v>0</v>
      </c>
      <c r="N14" s="1">
        <f t="shared" ref="N14:N20" si="11">SUM(B14:M14)</f>
        <v>992169595.21999979</v>
      </c>
      <c r="P14" s="1">
        <f t="shared" si="3"/>
        <v>90197235.929090887</v>
      </c>
      <c r="Q14" s="1">
        <f t="shared" si="4"/>
        <v>-90197235.929090887</v>
      </c>
    </row>
    <row r="15" spans="1:17" x14ac:dyDescent="0.25">
      <c r="A15" s="114" t="s">
        <v>15</v>
      </c>
      <c r="B15" s="5">
        <f t="shared" si="7"/>
        <v>422465521.94999993</v>
      </c>
      <c r="C15" s="5">
        <f t="shared" si="7"/>
        <v>1215546261.6300001</v>
      </c>
      <c r="D15" s="5">
        <f t="shared" si="7"/>
        <v>305678068.99000001</v>
      </c>
      <c r="E15" s="5">
        <f t="shared" si="7"/>
        <v>48482029.219999999</v>
      </c>
      <c r="F15" s="5">
        <f t="shared" si="7"/>
        <v>116507251.69</v>
      </c>
      <c r="G15" s="5">
        <f>G137+G162+G169</f>
        <v>262380283.97</v>
      </c>
      <c r="H15" s="5">
        <f t="shared" ref="H15" si="12">H137+H162+H169</f>
        <v>169287706.25999999</v>
      </c>
      <c r="I15" s="5">
        <f t="shared" si="8"/>
        <v>327625512.15999997</v>
      </c>
      <c r="J15" s="5">
        <f t="shared" ref="J15" si="13">J137+J162+J169</f>
        <v>243891316.29999998</v>
      </c>
      <c r="K15" s="1">
        <f t="shared" si="10"/>
        <v>0</v>
      </c>
      <c r="L15" s="1">
        <f t="shared" si="10"/>
        <v>0</v>
      </c>
      <c r="M15" s="1">
        <f t="shared" si="10"/>
        <v>0</v>
      </c>
      <c r="N15" s="1">
        <f t="shared" si="11"/>
        <v>3111863952.1700001</v>
      </c>
      <c r="P15" s="1">
        <f t="shared" si="3"/>
        <v>282896722.92454547</v>
      </c>
      <c r="Q15" s="1">
        <f t="shared" si="4"/>
        <v>-282896722.92454547</v>
      </c>
    </row>
    <row r="16" spans="1:17" x14ac:dyDescent="0.25">
      <c r="A16" s="162" t="s">
        <v>482</v>
      </c>
      <c r="B16" s="5">
        <f t="shared" si="7"/>
        <v>2842624.1900000004</v>
      </c>
      <c r="C16" s="5">
        <f t="shared" si="7"/>
        <v>2535222.7399999998</v>
      </c>
      <c r="D16" s="5">
        <f t="shared" si="7"/>
        <v>618326.57000000007</v>
      </c>
      <c r="E16" s="5">
        <f t="shared" si="7"/>
        <v>1945380.79</v>
      </c>
      <c r="F16" s="5">
        <f t="shared" si="7"/>
        <v>2008835.22</v>
      </c>
      <c r="G16" s="5">
        <f>G138+G163+G170</f>
        <v>484708.1</v>
      </c>
      <c r="H16" s="5">
        <f t="shared" ref="H16" si="14">H138+H163+H170</f>
        <v>1046932.3900000002</v>
      </c>
      <c r="I16" s="5">
        <f t="shared" si="8"/>
        <v>1505536.0799999998</v>
      </c>
      <c r="J16" s="5">
        <f t="shared" ref="J16" si="15">J138+J163+J170</f>
        <v>401564.48</v>
      </c>
      <c r="K16" s="1">
        <f t="shared" si="10"/>
        <v>0</v>
      </c>
      <c r="L16" s="1">
        <f t="shared" si="10"/>
        <v>0</v>
      </c>
      <c r="M16" s="1">
        <f t="shared" si="10"/>
        <v>0</v>
      </c>
      <c r="N16" s="1">
        <f t="shared" si="11"/>
        <v>13389130.560000001</v>
      </c>
      <c r="P16" s="1">
        <f t="shared" si="3"/>
        <v>1217193.6872727273</v>
      </c>
      <c r="Q16" s="1">
        <f t="shared" si="4"/>
        <v>-1217193.6872727273</v>
      </c>
    </row>
    <row r="17" spans="1:17" x14ac:dyDescent="0.25">
      <c r="A17" s="114" t="s">
        <v>16</v>
      </c>
      <c r="B17" s="5">
        <f t="shared" si="7"/>
        <v>3972878.5</v>
      </c>
      <c r="C17" s="5">
        <f t="shared" si="7"/>
        <v>1516251.86</v>
      </c>
      <c r="D17" s="5">
        <f t="shared" si="7"/>
        <v>1446310.3</v>
      </c>
      <c r="E17" s="5">
        <f t="shared" si="7"/>
        <v>2111524.9700000002</v>
      </c>
      <c r="F17" s="5">
        <f t="shared" si="7"/>
        <v>836505.07000000007</v>
      </c>
      <c r="G17" s="5">
        <f>G139+G164+G171</f>
        <v>759607.35</v>
      </c>
      <c r="H17" s="5">
        <f t="shared" ref="H17" si="16">H139+H164+H171</f>
        <v>470878.57</v>
      </c>
      <c r="I17" s="5">
        <f t="shared" si="8"/>
        <v>769499.35</v>
      </c>
      <c r="J17" s="5">
        <f t="shared" ref="J17" si="17">J139+J164+J171</f>
        <v>632199.65</v>
      </c>
      <c r="K17" s="1">
        <f t="shared" si="10"/>
        <v>0</v>
      </c>
      <c r="L17" s="1">
        <f t="shared" si="10"/>
        <v>0</v>
      </c>
      <c r="M17" s="1">
        <f t="shared" si="10"/>
        <v>0</v>
      </c>
      <c r="N17" s="1">
        <f t="shared" si="11"/>
        <v>12515655.620000001</v>
      </c>
      <c r="P17" s="1">
        <f t="shared" si="3"/>
        <v>1137786.8745454547</v>
      </c>
      <c r="Q17" s="1">
        <f t="shared" si="4"/>
        <v>-1137786.8745454547</v>
      </c>
    </row>
    <row r="18" spans="1:17" x14ac:dyDescent="0.25">
      <c r="A18" s="114" t="s">
        <v>17</v>
      </c>
      <c r="B18" s="5">
        <f>+B142+B177</f>
        <v>103200.43</v>
      </c>
      <c r="C18" s="5">
        <f>+C142+C177</f>
        <v>557565.63</v>
      </c>
      <c r="D18" s="5">
        <f>+D142+D177</f>
        <v>104546.19</v>
      </c>
      <c r="E18" s="5">
        <f>+E142+E177</f>
        <v>891459.31</v>
      </c>
      <c r="F18" s="5">
        <f>+F142+F177</f>
        <v>468362.63</v>
      </c>
      <c r="G18" s="5">
        <f>G142+G177+G166</f>
        <v>1064241.21</v>
      </c>
      <c r="H18" s="5">
        <f>H142+H177+H166</f>
        <v>433922.20999999996</v>
      </c>
      <c r="I18" s="5">
        <f>I142+I177+I166</f>
        <v>851173.99</v>
      </c>
      <c r="J18" s="5">
        <f>J142+J177+J166</f>
        <v>441104</v>
      </c>
      <c r="K18" s="1">
        <f>K142+K177</f>
        <v>0</v>
      </c>
      <c r="L18" s="1">
        <f>L142+L177</f>
        <v>0</v>
      </c>
      <c r="M18" s="1">
        <f>M142+M177</f>
        <v>0</v>
      </c>
      <c r="N18" s="1">
        <f t="shared" si="11"/>
        <v>4915575.5999999996</v>
      </c>
      <c r="P18" s="1">
        <f t="shared" si="3"/>
        <v>446870.50909090904</v>
      </c>
      <c r="Q18" s="1">
        <f t="shared" si="4"/>
        <v>-446870.50909090904</v>
      </c>
    </row>
    <row r="19" spans="1:17" x14ac:dyDescent="0.25">
      <c r="A19" s="114" t="s">
        <v>402</v>
      </c>
      <c r="B19" s="5"/>
      <c r="C19" s="5"/>
      <c r="D19" s="5"/>
      <c r="E19" s="5"/>
      <c r="F19" s="5">
        <f>F140</f>
        <v>72</v>
      </c>
      <c r="G19" s="5"/>
      <c r="H19" s="5">
        <f>H140+H184</f>
        <v>0</v>
      </c>
      <c r="I19" s="5">
        <f>I140+I184</f>
        <v>0</v>
      </c>
      <c r="J19" s="5">
        <f>J140+J184</f>
        <v>86.04000000000002</v>
      </c>
      <c r="K19" s="1"/>
      <c r="L19" s="1"/>
      <c r="M19" s="1"/>
      <c r="N19" s="1">
        <f t="shared" si="11"/>
        <v>158.04000000000002</v>
      </c>
      <c r="P19" s="1"/>
      <c r="Q19" s="1"/>
    </row>
    <row r="20" spans="1:17" x14ac:dyDescent="0.25">
      <c r="A20" s="114" t="s">
        <v>12</v>
      </c>
      <c r="B20" s="5"/>
      <c r="C20" s="5"/>
      <c r="D20" s="5"/>
      <c r="E20" s="5">
        <f>E188+E190</f>
        <v>180989.71000000002</v>
      </c>
      <c r="F20" s="5">
        <f>F188+F190</f>
        <v>-0.02</v>
      </c>
      <c r="G20" s="5">
        <f>G188+G190+G194+G193</f>
        <v>1208.02</v>
      </c>
      <c r="H20" s="5">
        <f>H188+H190+H194+H193+H195</f>
        <v>165633.65</v>
      </c>
      <c r="I20" s="5">
        <f>I188+I190+I194+I193+I195+I189+I192</f>
        <v>148231.46</v>
      </c>
      <c r="J20" s="5">
        <f>J188+J190+J194+J193+J195+J189+J192</f>
        <v>2225227.27</v>
      </c>
      <c r="K20" s="5">
        <f>K188+K190</f>
        <v>0</v>
      </c>
      <c r="L20" s="5">
        <f>L188+L190</f>
        <v>0</v>
      </c>
      <c r="M20" s="5">
        <f>M188+M190</f>
        <v>0</v>
      </c>
      <c r="N20" s="1">
        <f t="shared" si="11"/>
        <v>2721290.09</v>
      </c>
      <c r="P20" s="1"/>
      <c r="Q20" s="1"/>
    </row>
    <row r="21" spans="1:17" x14ac:dyDescent="0.25">
      <c r="C21" s="1"/>
      <c r="D21" s="1"/>
      <c r="E21" s="10"/>
      <c r="F21" s="10"/>
      <c r="G21" s="10"/>
      <c r="H21" s="58"/>
      <c r="I21" s="58"/>
      <c r="J21" s="58"/>
      <c r="K21" s="1"/>
      <c r="L21" s="1"/>
      <c r="M21" s="1"/>
      <c r="N21" s="11"/>
      <c r="P21" s="11">
        <f t="shared" si="3"/>
        <v>0</v>
      </c>
      <c r="Q21" s="11">
        <f t="shared" si="4"/>
        <v>0</v>
      </c>
    </row>
    <row r="22" spans="1:17" x14ac:dyDescent="0.25">
      <c r="A22" s="114" t="s">
        <v>18</v>
      </c>
      <c r="B22" s="5">
        <f>B157+B152</f>
        <v>-4303584.0399999917</v>
      </c>
      <c r="C22" s="5">
        <f>C157+C152</f>
        <v>-230168.78000000119</v>
      </c>
      <c r="D22" s="5">
        <f>D157+D152</f>
        <v>-102046.03999999166</v>
      </c>
      <c r="E22" s="13">
        <f>E157+E152</f>
        <v>14781.879999995232</v>
      </c>
      <c r="F22" s="13">
        <f>F157+F152</f>
        <v>98279.520000003278</v>
      </c>
      <c r="G22" s="13">
        <f>G152+G157</f>
        <v>426672.62000000477</v>
      </c>
      <c r="H22" s="13">
        <f t="shared" ref="H22:I22" si="18">H152+H157</f>
        <v>293118.11000001431</v>
      </c>
      <c r="I22" s="13">
        <f t="shared" si="18"/>
        <v>327964.43000000715</v>
      </c>
      <c r="J22" s="13">
        <f t="shared" ref="J22" si="19">J152+J157</f>
        <v>277404.03999996185</v>
      </c>
      <c r="K22" s="1">
        <f>K152+K157</f>
        <v>0</v>
      </c>
      <c r="L22" s="1">
        <f>L152+L157</f>
        <v>0</v>
      </c>
      <c r="M22" s="1">
        <f>M152+M157</f>
        <v>0</v>
      </c>
      <c r="N22" s="1">
        <f>SUM(B22:M22)</f>
        <v>-3197578.2599999979</v>
      </c>
      <c r="P22" s="1">
        <f t="shared" si="3"/>
        <v>-290688.93272727256</v>
      </c>
      <c r="Q22" s="1">
        <f t="shared" si="4"/>
        <v>290688.93272727256</v>
      </c>
    </row>
    <row r="23" spans="1:17" x14ac:dyDescent="0.25">
      <c r="A23" s="114" t="s">
        <v>19</v>
      </c>
      <c r="B23" s="5">
        <f t="shared" ref="B23:G23" si="20">B158+B165</f>
        <v>-198311.54999999702</v>
      </c>
      <c r="C23" s="5">
        <f t="shared" si="20"/>
        <v>-141071.81000000052</v>
      </c>
      <c r="D23" s="5">
        <f t="shared" si="20"/>
        <v>73914.890000000596</v>
      </c>
      <c r="E23" s="5">
        <f t="shared" si="20"/>
        <v>442679.44999998808</v>
      </c>
      <c r="F23" s="5">
        <f t="shared" si="20"/>
        <v>682167.71000003815</v>
      </c>
      <c r="G23" s="5">
        <f t="shared" si="20"/>
        <v>1346835.4100000858</v>
      </c>
      <c r="H23" s="5">
        <f t="shared" ref="H23:I23" si="21">H158+H165</f>
        <v>4496541.1600000262</v>
      </c>
      <c r="I23" s="5">
        <f t="shared" si="21"/>
        <v>161672.65999996662</v>
      </c>
      <c r="J23" s="5">
        <f t="shared" ref="J23" si="22">J158+J165</f>
        <v>664706.21999999881</v>
      </c>
      <c r="K23" s="1">
        <f>K158+K165</f>
        <v>0</v>
      </c>
      <c r="L23" s="1">
        <f>L158+L165</f>
        <v>0</v>
      </c>
      <c r="M23" s="1">
        <f>M158+M165</f>
        <v>0</v>
      </c>
      <c r="N23" s="1">
        <f>SUM(B23:M23)</f>
        <v>7529134.1400001068</v>
      </c>
      <c r="P23" s="1">
        <f t="shared" si="3"/>
        <v>684466.74000000965</v>
      </c>
      <c r="Q23" s="1">
        <f t="shared" si="4"/>
        <v>-684466.74000000965</v>
      </c>
    </row>
    <row r="24" spans="1:17" x14ac:dyDescent="0.25">
      <c r="A24" s="114" t="s">
        <v>20</v>
      </c>
      <c r="B24" s="5">
        <f t="shared" ref="B24:G24" si="23">B159+B167</f>
        <v>-28077.910000000033</v>
      </c>
      <c r="C24" s="5">
        <f t="shared" si="23"/>
        <v>-41342.620000000112</v>
      </c>
      <c r="D24" s="5">
        <f t="shared" si="23"/>
        <v>-28127.939999999944</v>
      </c>
      <c r="E24" s="12">
        <f t="shared" si="23"/>
        <v>1048.5499999999884</v>
      </c>
      <c r="F24" s="12">
        <f t="shared" si="23"/>
        <v>13526.869999999995</v>
      </c>
      <c r="G24" s="12">
        <f t="shared" si="23"/>
        <v>28752.459999999963</v>
      </c>
      <c r="H24" s="12">
        <f t="shared" ref="H24:I24" si="24">H159+H167</f>
        <v>-16145.679999999993</v>
      </c>
      <c r="I24" s="12">
        <f t="shared" si="24"/>
        <v>-6336.4200000000419</v>
      </c>
      <c r="J24" s="12">
        <f t="shared" ref="J24" si="25">J159+J167</f>
        <v>-36760.469999999972</v>
      </c>
      <c r="K24" s="1">
        <f>K159+K167</f>
        <v>0</v>
      </c>
      <c r="L24" s="1">
        <f>L159+L167</f>
        <v>0</v>
      </c>
      <c r="M24" s="1">
        <f>M159+M167</f>
        <v>0</v>
      </c>
      <c r="N24" s="1">
        <f>SUM(B24:M24)</f>
        <v>-113463.16000000015</v>
      </c>
      <c r="P24" s="1">
        <f t="shared" si="3"/>
        <v>-10314.83272727274</v>
      </c>
      <c r="Q24" s="1">
        <f t="shared" si="4"/>
        <v>10314.83272727274</v>
      </c>
    </row>
    <row r="25" spans="1:17" x14ac:dyDescent="0.25">
      <c r="A25" s="114" t="s">
        <v>21</v>
      </c>
      <c r="B25" s="5">
        <f t="shared" ref="B25:G25" si="26">B160+B172</f>
        <v>-17915.510000000009</v>
      </c>
      <c r="C25" s="5">
        <f t="shared" si="26"/>
        <v>0</v>
      </c>
      <c r="D25" s="5">
        <f t="shared" si="26"/>
        <v>-35497.39</v>
      </c>
      <c r="E25" s="12">
        <f t="shared" si="26"/>
        <v>2061.8000000000466</v>
      </c>
      <c r="F25" s="12">
        <f t="shared" si="26"/>
        <v>0</v>
      </c>
      <c r="G25" s="12">
        <f t="shared" si="26"/>
        <v>0</v>
      </c>
      <c r="H25" s="12">
        <f t="shared" ref="H25:I25" si="27">H160+H172</f>
        <v>-19969.050000000003</v>
      </c>
      <c r="I25" s="12">
        <f t="shared" si="27"/>
        <v>18581.950000000012</v>
      </c>
      <c r="J25" s="12">
        <f t="shared" ref="J25" si="28">J160+J172</f>
        <v>-29775.839999999967</v>
      </c>
      <c r="K25" s="1">
        <f>K160+K172</f>
        <v>0</v>
      </c>
      <c r="L25" s="1">
        <f>L160+L172</f>
        <v>0</v>
      </c>
      <c r="M25" s="1">
        <f>M160+M172</f>
        <v>0</v>
      </c>
      <c r="N25" s="1">
        <f>SUM(B25:M25)</f>
        <v>-82514.039999999921</v>
      </c>
      <c r="P25" s="1">
        <f t="shared" si="3"/>
        <v>-7501.2763636363561</v>
      </c>
      <c r="Q25" s="1">
        <f t="shared" si="4"/>
        <v>7501.2763636363561</v>
      </c>
    </row>
    <row r="26" spans="1:17" x14ac:dyDescent="0.25">
      <c r="C26" s="1"/>
      <c r="D26" s="1"/>
      <c r="E26" s="10"/>
      <c r="F26" s="10"/>
      <c r="G26" s="10"/>
      <c r="H26" s="58"/>
      <c r="I26" s="58"/>
      <c r="J26" s="58"/>
      <c r="K26" s="1"/>
      <c r="L26" s="1"/>
      <c r="M26" s="1"/>
      <c r="N26" s="11"/>
      <c r="P26" s="11">
        <f t="shared" si="3"/>
        <v>0</v>
      </c>
      <c r="Q26" s="11">
        <f t="shared" si="4"/>
        <v>0</v>
      </c>
    </row>
    <row r="27" spans="1:17" x14ac:dyDescent="0.25">
      <c r="A27" s="114" t="s">
        <v>22</v>
      </c>
      <c r="B27" s="5">
        <f t="shared" ref="B27:G28" si="29">B148+B153</f>
        <v>-1451390.0700000077</v>
      </c>
      <c r="C27" s="5">
        <f t="shared" si="29"/>
        <v>-14017.5</v>
      </c>
      <c r="D27" s="5">
        <f t="shared" si="29"/>
        <v>-649600</v>
      </c>
      <c r="E27" s="5">
        <f t="shared" si="29"/>
        <v>339010</v>
      </c>
      <c r="F27" s="5">
        <f t="shared" si="29"/>
        <v>92680</v>
      </c>
      <c r="G27" s="5">
        <f t="shared" si="29"/>
        <v>525780</v>
      </c>
      <c r="H27" s="5">
        <f t="shared" ref="H27:I27" si="30">H148+H153</f>
        <v>464420</v>
      </c>
      <c r="I27" s="5">
        <f t="shared" si="30"/>
        <v>390490</v>
      </c>
      <c r="J27" s="5">
        <f t="shared" ref="J27" si="31">J148+J153</f>
        <v>142640</v>
      </c>
      <c r="K27" s="1">
        <f t="shared" ref="K27:M28" si="32">K148+K153</f>
        <v>0</v>
      </c>
      <c r="L27" s="1">
        <f t="shared" si="32"/>
        <v>0</v>
      </c>
      <c r="M27" s="1">
        <f t="shared" si="32"/>
        <v>0</v>
      </c>
      <c r="N27" s="1">
        <f>SUM(B27:M27)</f>
        <v>-159987.57000000775</v>
      </c>
      <c r="P27" s="1">
        <f t="shared" si="3"/>
        <v>-14544.324545455251</v>
      </c>
      <c r="Q27" s="1">
        <f t="shared" si="4"/>
        <v>14544.324545455251</v>
      </c>
    </row>
    <row r="28" spans="1:17" x14ac:dyDescent="0.25">
      <c r="A28" s="114" t="s">
        <v>23</v>
      </c>
      <c r="B28" s="5">
        <f t="shared" si="29"/>
        <v>287951.64999999851</v>
      </c>
      <c r="C28" s="5">
        <f t="shared" si="29"/>
        <v>-4461877.3100000024</v>
      </c>
      <c r="D28" s="5">
        <f t="shared" si="29"/>
        <v>67555.530000001192</v>
      </c>
      <c r="E28" s="12">
        <f t="shared" si="29"/>
        <v>-3414426</v>
      </c>
      <c r="F28" s="12">
        <f t="shared" si="29"/>
        <v>-28165.459999993443</v>
      </c>
      <c r="G28" s="12">
        <f t="shared" si="29"/>
        <v>-6775542</v>
      </c>
      <c r="H28" s="12">
        <f t="shared" ref="H28" si="33">H149+H154</f>
        <v>-2610952</v>
      </c>
      <c r="I28" s="12">
        <f>I149+I154</f>
        <v>-4106876</v>
      </c>
      <c r="J28" s="12">
        <f>J149+J154</f>
        <v>-875180</v>
      </c>
      <c r="K28" s="1">
        <f t="shared" si="32"/>
        <v>0</v>
      </c>
      <c r="L28" s="1">
        <f t="shared" si="32"/>
        <v>0</v>
      </c>
      <c r="M28" s="1">
        <f t="shared" si="32"/>
        <v>0</v>
      </c>
      <c r="N28" s="1">
        <f>SUM(B28:M28)</f>
        <v>-21917511.589999996</v>
      </c>
      <c r="P28" s="1">
        <f t="shared" si="3"/>
        <v>-1992501.0536363632</v>
      </c>
      <c r="Q28" s="1">
        <f t="shared" si="4"/>
        <v>1992501.0536363632</v>
      </c>
    </row>
    <row r="29" spans="1:17" x14ac:dyDescent="0.25">
      <c r="A29" s="114" t="s">
        <v>24</v>
      </c>
      <c r="B29" s="5">
        <f>B150+B155</f>
        <v>0</v>
      </c>
      <c r="C29" s="5">
        <f>C150+C155</f>
        <v>4535</v>
      </c>
      <c r="D29" s="5">
        <f>D150+D155</f>
        <v>-3890</v>
      </c>
      <c r="E29" s="12">
        <f>E150+E155</f>
        <v>-555</v>
      </c>
      <c r="F29" s="12">
        <f>F150+F155</f>
        <v>0</v>
      </c>
      <c r="G29" s="12">
        <f>G155+G150</f>
        <v>1775</v>
      </c>
      <c r="H29" s="12">
        <f t="shared" ref="H29:I29" si="34">H155+H150</f>
        <v>0</v>
      </c>
      <c r="I29" s="12">
        <f t="shared" si="34"/>
        <v>0</v>
      </c>
      <c r="J29" s="12">
        <f t="shared" ref="J29" si="35">J155+J150</f>
        <v>0</v>
      </c>
      <c r="K29" s="1">
        <f t="shared" ref="K29:M30" si="36">K155+K150</f>
        <v>0</v>
      </c>
      <c r="L29" s="1">
        <f t="shared" si="36"/>
        <v>0</v>
      </c>
      <c r="M29" s="1">
        <f t="shared" si="36"/>
        <v>0</v>
      </c>
      <c r="N29" s="1">
        <f>SUM(B29:M29)</f>
        <v>1865</v>
      </c>
      <c r="P29" s="1">
        <f t="shared" si="3"/>
        <v>169.54545454545453</v>
      </c>
      <c r="Q29" s="1">
        <f t="shared" si="4"/>
        <v>-169.54545454545453</v>
      </c>
    </row>
    <row r="30" spans="1:17" x14ac:dyDescent="0.25">
      <c r="A30" s="114" t="s">
        <v>25</v>
      </c>
      <c r="B30" s="1">
        <v>0</v>
      </c>
      <c r="C30" s="1">
        <v>0</v>
      </c>
      <c r="D30" s="1">
        <v>0</v>
      </c>
      <c r="E30" s="14">
        <v>0</v>
      </c>
      <c r="F30" s="14">
        <f>F151+F156</f>
        <v>0</v>
      </c>
      <c r="G30" s="14">
        <v>0</v>
      </c>
      <c r="H30" s="14">
        <f>H151+H156</f>
        <v>-880</v>
      </c>
      <c r="I30" s="14">
        <f>I151+I156</f>
        <v>0</v>
      </c>
      <c r="J30" s="14">
        <f>J151+J156</f>
        <v>0</v>
      </c>
      <c r="K30" s="1">
        <f t="shared" si="36"/>
        <v>0</v>
      </c>
      <c r="L30" s="1">
        <f t="shared" si="36"/>
        <v>0</v>
      </c>
      <c r="M30" s="1">
        <f t="shared" si="36"/>
        <v>0</v>
      </c>
      <c r="N30" s="1">
        <f>SUM(B30:M30)</f>
        <v>-880</v>
      </c>
      <c r="P30" s="1">
        <f t="shared" si="3"/>
        <v>-80</v>
      </c>
      <c r="Q30" s="1">
        <f t="shared" si="4"/>
        <v>80</v>
      </c>
    </row>
    <row r="31" spans="1:17" x14ac:dyDescent="0.25">
      <c r="C31" s="1"/>
      <c r="D31" s="1"/>
      <c r="E31" s="10"/>
      <c r="F31" s="10"/>
      <c r="G31" s="10"/>
      <c r="H31" s="10"/>
      <c r="I31" s="10"/>
      <c r="J31" s="10"/>
      <c r="K31" s="1"/>
      <c r="L31" s="1"/>
      <c r="M31" s="1"/>
      <c r="N31" s="11"/>
      <c r="P31" s="11">
        <f t="shared" si="3"/>
        <v>0</v>
      </c>
      <c r="Q31" s="11">
        <f t="shared" si="4"/>
        <v>0</v>
      </c>
    </row>
    <row r="32" spans="1:17" x14ac:dyDescent="0.25">
      <c r="A32" s="114" t="s">
        <v>26</v>
      </c>
      <c r="B32" s="1">
        <f t="shared" ref="B32:G32" si="37">+B178</f>
        <v>2910296.13</v>
      </c>
      <c r="C32" s="1">
        <f t="shared" si="37"/>
        <v>1651163.39</v>
      </c>
      <c r="D32" s="1">
        <f t="shared" si="37"/>
        <v>-414097.59</v>
      </c>
      <c r="E32" s="14">
        <f t="shared" si="37"/>
        <v>959937.83</v>
      </c>
      <c r="F32" s="14">
        <f t="shared" si="37"/>
        <v>-3014399.59</v>
      </c>
      <c r="G32" s="14">
        <f t="shared" si="37"/>
        <v>3160990.11</v>
      </c>
      <c r="H32" s="14">
        <f>+H178+H191</f>
        <v>-6978241.0899999999</v>
      </c>
      <c r="I32" s="14">
        <f>+I178+I191</f>
        <v>-1664169.4700000002</v>
      </c>
      <c r="J32" s="14">
        <f>+J178+J191+J131+J132+J133+J134+J135</f>
        <v>-5710025.96</v>
      </c>
      <c r="K32" s="1">
        <f>+K178</f>
        <v>0</v>
      </c>
      <c r="L32" s="1">
        <f>+L178</f>
        <v>0</v>
      </c>
      <c r="M32" s="1">
        <f>+M178</f>
        <v>0</v>
      </c>
      <c r="N32" s="1">
        <f>SUM(B32:M32)</f>
        <v>-9098546.2400000002</v>
      </c>
      <c r="P32" s="1">
        <f t="shared" si="3"/>
        <v>-827140.56727272726</v>
      </c>
      <c r="Q32" s="1">
        <f t="shared" si="4"/>
        <v>827140.56727272726</v>
      </c>
    </row>
    <row r="33" spans="1:17" x14ac:dyDescent="0.25">
      <c r="A33" s="114" t="s">
        <v>27</v>
      </c>
      <c r="B33" s="5">
        <f t="shared" ref="B33:G33" si="38">B174</f>
        <v>2682.05</v>
      </c>
      <c r="C33" s="5">
        <f t="shared" si="38"/>
        <v>-1617.38</v>
      </c>
      <c r="D33" s="5">
        <f t="shared" si="38"/>
        <v>5756.07</v>
      </c>
      <c r="E33" s="5">
        <f t="shared" si="38"/>
        <v>9048.32</v>
      </c>
      <c r="F33" s="5">
        <f t="shared" si="38"/>
        <v>11168.19</v>
      </c>
      <c r="G33" s="5">
        <f t="shared" si="38"/>
        <v>3721.59</v>
      </c>
      <c r="H33" s="5">
        <f t="shared" ref="H33:I33" si="39">H174</f>
        <v>6172.25</v>
      </c>
      <c r="I33" s="5">
        <f t="shared" si="39"/>
        <v>7102.98</v>
      </c>
      <c r="J33" s="5">
        <f t="shared" ref="J33" si="40">J174</f>
        <v>7169.65</v>
      </c>
      <c r="K33" s="1">
        <f>K174</f>
        <v>0</v>
      </c>
      <c r="L33" s="1">
        <f>L174</f>
        <v>0</v>
      </c>
      <c r="M33" s="1">
        <f>M174</f>
        <v>0</v>
      </c>
      <c r="N33" s="1">
        <f>SUM(B33:M33)</f>
        <v>51203.719999999994</v>
      </c>
      <c r="P33" s="1">
        <f t="shared" si="3"/>
        <v>4654.8836363636356</v>
      </c>
      <c r="Q33" s="1">
        <f t="shared" si="4"/>
        <v>-4654.8836363636356</v>
      </c>
    </row>
    <row r="34" spans="1:17" x14ac:dyDescent="0.25">
      <c r="A34" s="114" t="s">
        <v>28</v>
      </c>
      <c r="B34" s="8">
        <f t="shared" ref="B34:N34" si="41">SUM(B14:B33)</f>
        <v>584428259.50999987</v>
      </c>
      <c r="C34" s="8">
        <f t="shared" si="41"/>
        <v>1325767059.3100004</v>
      </c>
      <c r="D34" s="8">
        <f t="shared" si="41"/>
        <v>407667417.19000006</v>
      </c>
      <c r="E34" s="8">
        <f t="shared" si="41"/>
        <v>144338649.61000001</v>
      </c>
      <c r="F34" s="8">
        <f t="shared" si="41"/>
        <v>211932002.40000001</v>
      </c>
      <c r="G34" s="8">
        <f t="shared" si="41"/>
        <v>355674922.34000009</v>
      </c>
      <c r="H34" s="8">
        <f>SUM(H14:H33)</f>
        <v>291087343.19999993</v>
      </c>
      <c r="I34" s="8">
        <f>SUM(I14:I33)</f>
        <v>453663314.29999989</v>
      </c>
      <c r="J34" s="8">
        <f t="shared" si="41"/>
        <v>336028111.43999994</v>
      </c>
      <c r="K34" s="8">
        <f t="shared" si="41"/>
        <v>0</v>
      </c>
      <c r="L34" s="8">
        <f t="shared" si="41"/>
        <v>0</v>
      </c>
      <c r="M34" s="8">
        <f t="shared" si="41"/>
        <v>0</v>
      </c>
      <c r="N34" s="8">
        <f t="shared" si="41"/>
        <v>4110587079.2999997</v>
      </c>
      <c r="P34" s="8">
        <f t="shared" si="3"/>
        <v>373689734.48181814</v>
      </c>
      <c r="Q34" s="8">
        <f t="shared" si="4"/>
        <v>-373689734.48181814</v>
      </c>
    </row>
    <row r="35" spans="1:17" ht="24" customHeight="1" thickBot="1" x14ac:dyDescent="0.3">
      <c r="A35" s="116" t="s">
        <v>29</v>
      </c>
      <c r="B35" s="15">
        <f t="shared" ref="B35:N35" si="42">+B11-B34</f>
        <v>873800.75000011921</v>
      </c>
      <c r="C35" s="15">
        <f t="shared" si="42"/>
        <v>807135.46999979019</v>
      </c>
      <c r="D35" s="15">
        <f t="shared" si="42"/>
        <v>873124.75999993086</v>
      </c>
      <c r="E35" s="15">
        <f t="shared" si="42"/>
        <v>583926.69999995828</v>
      </c>
      <c r="F35" s="15">
        <f t="shared" si="42"/>
        <v>474371.84000000358</v>
      </c>
      <c r="G35" s="15">
        <f t="shared" si="42"/>
        <v>577793.05999994278</v>
      </c>
      <c r="H35" s="15">
        <f>+H11-H34</f>
        <v>426753.60000002384</v>
      </c>
      <c r="I35" s="15">
        <f>+I11-I34</f>
        <v>715437.57000005245</v>
      </c>
      <c r="J35" s="15">
        <f t="shared" si="42"/>
        <v>435915.37000006437</v>
      </c>
      <c r="K35" s="15">
        <f t="shared" si="42"/>
        <v>0</v>
      </c>
      <c r="L35" s="15">
        <f t="shared" si="42"/>
        <v>0</v>
      </c>
      <c r="M35" s="15">
        <f t="shared" si="42"/>
        <v>0</v>
      </c>
      <c r="N35" s="15">
        <f t="shared" si="42"/>
        <v>5768259.1199998856</v>
      </c>
      <c r="P35" s="15">
        <f t="shared" si="3"/>
        <v>524387.19272726227</v>
      </c>
      <c r="Q35" s="15">
        <f t="shared" si="4"/>
        <v>-524387.19272726227</v>
      </c>
    </row>
    <row r="36" spans="1:17" ht="24" customHeight="1" thickTop="1" x14ac:dyDescent="0.25">
      <c r="B36" s="16">
        <f>+B35/B11</f>
        <v>1.4929056453550902E-3</v>
      </c>
      <c r="C36" s="16">
        <f t="shared" ref="C36:N36" si="43">+C35/C11</f>
        <v>6.0843597981615036E-4</v>
      </c>
      <c r="D36" s="16">
        <f t="shared" si="43"/>
        <v>2.137180206969006E-3</v>
      </c>
      <c r="E36" s="16">
        <f t="shared" si="43"/>
        <v>4.029232124268178E-3</v>
      </c>
      <c r="F36" s="16">
        <f t="shared" si="43"/>
        <v>2.233322053998277E-3</v>
      </c>
      <c r="G36" s="16">
        <f t="shared" si="43"/>
        <v>1.6218628940166744E-3</v>
      </c>
      <c r="H36" s="16">
        <f t="shared" ref="H36" si="44">+H35/H11</f>
        <v>1.4639209722087921E-3</v>
      </c>
      <c r="I36" s="16">
        <f t="shared" si="43"/>
        <v>1.5745401101078397E-3</v>
      </c>
      <c r="J36" s="16">
        <f t="shared" si="43"/>
        <v>1.2955779378049951E-3</v>
      </c>
      <c r="K36" s="16" t="e">
        <f t="shared" si="43"/>
        <v>#DIV/0!</v>
      </c>
      <c r="L36" s="16" t="e">
        <f t="shared" si="43"/>
        <v>#DIV/0!</v>
      </c>
      <c r="M36" s="16" t="e">
        <f>+M35/M11</f>
        <v>#DIV/0!</v>
      </c>
      <c r="N36" s="16">
        <f t="shared" si="43"/>
        <v>1.4013025226859894E-3</v>
      </c>
      <c r="P36" s="16" t="e">
        <f t="shared" si="3"/>
        <v>#DIV/0!</v>
      </c>
      <c r="Q36" s="16" t="e">
        <f t="shared" si="4"/>
        <v>#DIV/0!</v>
      </c>
    </row>
    <row r="37" spans="1:17" ht="24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P37" s="6">
        <f t="shared" si="3"/>
        <v>0</v>
      </c>
      <c r="Q37" s="6">
        <f t="shared" si="4"/>
        <v>0</v>
      </c>
    </row>
    <row r="38" spans="1:17" s="17" customFormat="1" x14ac:dyDescent="0.25">
      <c r="A38" s="117" t="s">
        <v>30</v>
      </c>
      <c r="B38" s="6">
        <f>'[1]Comparison 2017-2018'!$G$30</f>
        <v>885928.51408513961</v>
      </c>
      <c r="C38" s="6">
        <f>'[1]Comparison 2017-2018'!$G$54</f>
        <v>681928.29401690571</v>
      </c>
      <c r="D38" s="6">
        <f>'[1]Comparison 2017-2018'!$G$80</f>
        <v>674363.71418699983</v>
      </c>
      <c r="E38" s="6">
        <f>'[1]Comparison 2017-2018'!$G$105</f>
        <v>655611.34502510389</v>
      </c>
      <c r="F38" s="6">
        <v>538671.68000000005</v>
      </c>
      <c r="G38" s="6">
        <f>'[1]Comparison 2017-2018'!$G$155</f>
        <v>704133.82690028625</v>
      </c>
      <c r="H38" s="6">
        <f>'[1]Comparison 2017-2018'!$G$181</f>
        <v>515101.24188355304</v>
      </c>
      <c r="I38" s="6">
        <f>'[1]Comparison 2017-2018'!$G$207</f>
        <v>680756.08379218809</v>
      </c>
      <c r="J38" s="6">
        <f>'[1]Comparison 2017-2018'!$G$232</f>
        <v>640882.53297928849</v>
      </c>
      <c r="K38" s="6"/>
      <c r="L38" s="6"/>
      <c r="M38" s="6"/>
      <c r="N38" s="1">
        <f>SUM(B38:M38)</f>
        <v>5977377.2328694649</v>
      </c>
      <c r="P38" s="1">
        <f t="shared" si="3"/>
        <v>543397.93026086048</v>
      </c>
      <c r="Q38" s="1">
        <f t="shared" si="4"/>
        <v>-543397.93026086048</v>
      </c>
    </row>
    <row r="39" spans="1:17" s="17" customFormat="1" x14ac:dyDescent="0.25">
      <c r="A39" s="117" t="s">
        <v>31</v>
      </c>
      <c r="B39" s="6">
        <f>11347.91+1307.73</f>
        <v>12655.64</v>
      </c>
      <c r="C39" s="6">
        <f>2264.54+222.6</f>
        <v>2487.14</v>
      </c>
      <c r="D39" s="6">
        <f>3529.42+2652.3</f>
        <v>6181.72</v>
      </c>
      <c r="E39" s="6">
        <f>1899.66+1105.7</f>
        <v>3005.36</v>
      </c>
      <c r="F39" s="6">
        <v>3451.23</v>
      </c>
      <c r="G39" s="6">
        <f>1519.77+2478.24</f>
        <v>3998.0099999999998</v>
      </c>
      <c r="H39" s="6">
        <f>1220.82+2101.18</f>
        <v>3322</v>
      </c>
      <c r="I39" s="6">
        <f>2140.74+387.79</f>
        <v>2528.5299999999997</v>
      </c>
      <c r="J39" s="6">
        <f>1753.58+1855.92</f>
        <v>3609.5</v>
      </c>
      <c r="K39" s="6"/>
      <c r="L39" s="6"/>
      <c r="M39" s="6"/>
      <c r="N39" s="1">
        <f>SUM(B39:M39)</f>
        <v>41239.129999999997</v>
      </c>
      <c r="P39" s="1">
        <f t="shared" si="3"/>
        <v>3749.0118181818179</v>
      </c>
      <c r="Q39" s="1">
        <f t="shared" si="4"/>
        <v>-3749.0118181818179</v>
      </c>
    </row>
    <row r="40" spans="1:17" s="17" customFormat="1" x14ac:dyDescent="0.25">
      <c r="A40" s="117" t="s">
        <v>32</v>
      </c>
      <c r="B40" s="6">
        <f>'[2]Monthly Summary'!$B$6</f>
        <v>51934.229999999996</v>
      </c>
      <c r="C40" s="6">
        <f>[3]Feb!$B$35</f>
        <v>36189.82</v>
      </c>
      <c r="D40" s="6">
        <f>[2]Mar!$B$35</f>
        <v>90332.26999999999</v>
      </c>
      <c r="E40" s="13">
        <f>[2]Apr!$B$35</f>
        <v>42087.81</v>
      </c>
      <c r="F40" s="13">
        <v>36064.49</v>
      </c>
      <c r="G40" s="13">
        <f>[2]Jun!$B$35</f>
        <v>6099.46</v>
      </c>
      <c r="H40" s="13">
        <f>[2]Jul!$B$35</f>
        <v>91429.33</v>
      </c>
      <c r="I40" s="13">
        <f>[2]Aug!$B$35</f>
        <v>25335.02</v>
      </c>
      <c r="J40" s="19">
        <f>'[2]Sept '!$B$35</f>
        <v>17267.59</v>
      </c>
      <c r="K40" s="18"/>
      <c r="L40" s="18"/>
      <c r="M40" s="19"/>
      <c r="N40" s="1">
        <f>SUM(B40:M40)</f>
        <v>396740.02</v>
      </c>
      <c r="P40" s="1">
        <f t="shared" si="3"/>
        <v>36067.274545454544</v>
      </c>
      <c r="Q40" s="1">
        <f t="shared" si="4"/>
        <v>-36067.274545454544</v>
      </c>
    </row>
    <row r="41" spans="1:17" s="166" customFormat="1" x14ac:dyDescent="0.25">
      <c r="A41" s="17" t="s">
        <v>462</v>
      </c>
      <c r="B41" s="58">
        <f>-11152-36907.01</f>
        <v>-48059.01</v>
      </c>
      <c r="C41" s="6">
        <f>-4530.13-104404.39</f>
        <v>-108934.52</v>
      </c>
      <c r="D41" s="6">
        <v>-27223.4</v>
      </c>
      <c r="E41" s="164">
        <v>-45776.83</v>
      </c>
      <c r="F41" s="6">
        <v>-39077.56</v>
      </c>
      <c r="G41" s="12">
        <f>-13634.37-199763.99</f>
        <v>-213398.36</v>
      </c>
      <c r="H41" s="12">
        <v>-22650.5</v>
      </c>
      <c r="I41" s="6">
        <f>-18941-67230.98</f>
        <v>-86171.98</v>
      </c>
      <c r="J41" s="6">
        <f>-30571.4-9919.88</f>
        <v>-40491.279999999999</v>
      </c>
      <c r="K41" s="19"/>
      <c r="L41" s="19"/>
      <c r="M41" s="19"/>
      <c r="N41" s="58">
        <f t="shared" ref="N41" si="45">SUM(B41:M41)</f>
        <v>-631783.44000000006</v>
      </c>
      <c r="O41" s="165"/>
      <c r="P41" s="58">
        <f t="shared" si="3"/>
        <v>-57434.858181818185</v>
      </c>
      <c r="Q41" s="58">
        <f t="shared" si="4"/>
        <v>57434.858181818185</v>
      </c>
    </row>
    <row r="42" spans="1:17" s="166" customFormat="1" x14ac:dyDescent="0.25">
      <c r="A42" s="166" t="s">
        <v>33</v>
      </c>
      <c r="B42" s="58">
        <v>0</v>
      </c>
      <c r="C42" s="6">
        <v>0</v>
      </c>
      <c r="D42" s="6">
        <v>0</v>
      </c>
      <c r="E42" s="164">
        <v>49617</v>
      </c>
      <c r="F42" s="6">
        <v>41682</v>
      </c>
      <c r="G42" s="12">
        <v>28751</v>
      </c>
      <c r="H42" s="12">
        <v>15774</v>
      </c>
      <c r="I42" s="6">
        <v>2612</v>
      </c>
      <c r="J42" s="6">
        <v>16737</v>
      </c>
      <c r="K42" s="19"/>
      <c r="L42" s="19"/>
      <c r="M42" s="19"/>
      <c r="N42" s="58">
        <f t="shared" ref="N42" si="46">SUM(B42:M42)</f>
        <v>155173</v>
      </c>
      <c r="O42" s="165"/>
      <c r="P42" s="58">
        <f t="shared" si="3"/>
        <v>14106.636363636364</v>
      </c>
      <c r="Q42" s="58">
        <f t="shared" si="4"/>
        <v>-14106.636363636364</v>
      </c>
    </row>
    <row r="43" spans="1:17" s="17" customFormat="1" x14ac:dyDescent="0.25">
      <c r="A43" s="117" t="s">
        <v>34</v>
      </c>
      <c r="B43" s="1">
        <f>-51657.33-70861</f>
        <v>-122518.33</v>
      </c>
      <c r="C43" s="6">
        <f>8840+42577</f>
        <v>51417</v>
      </c>
      <c r="D43" s="6">
        <f>-5460+61057-530</f>
        <v>55067</v>
      </c>
      <c r="E43" s="12">
        <f>9250+15494+530</f>
        <v>25274</v>
      </c>
      <c r="F43" s="12">
        <v>-57663</v>
      </c>
      <c r="G43" s="12">
        <f>-3480+39926</f>
        <v>36446</v>
      </c>
      <c r="H43" s="12">
        <v>-25800</v>
      </c>
      <c r="I43" s="12">
        <v>36495</v>
      </c>
      <c r="J43" s="169">
        <f>1485-23515</f>
        <v>-22030</v>
      </c>
      <c r="K43" s="18"/>
      <c r="L43" s="18"/>
      <c r="M43" s="21"/>
      <c r="N43" s="1">
        <f>SUM(B43:M43)</f>
        <v>-23312.33</v>
      </c>
      <c r="O43" s="20"/>
      <c r="P43" s="1">
        <f t="shared" si="3"/>
        <v>-2119.3027272727272</v>
      </c>
      <c r="Q43" s="1">
        <f t="shared" si="4"/>
        <v>2119.3027272727272</v>
      </c>
    </row>
    <row r="44" spans="1:17" s="17" customFormat="1" x14ac:dyDescent="0.25">
      <c r="A44" s="114" t="s">
        <v>35</v>
      </c>
      <c r="B44" s="1">
        <v>129582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/>
      <c r="K44" s="18"/>
      <c r="L44" s="18"/>
      <c r="M44" s="18"/>
      <c r="N44" s="1">
        <f>SUM(B44:M44)</f>
        <v>129582</v>
      </c>
      <c r="P44" s="1">
        <f t="shared" si="3"/>
        <v>11780.181818181818</v>
      </c>
      <c r="Q44" s="1">
        <f t="shared" si="4"/>
        <v>-11780.181818181818</v>
      </c>
    </row>
    <row r="45" spans="1:17" s="17" customFormat="1" x14ac:dyDescent="0.25">
      <c r="A45" s="114"/>
      <c r="B45" s="58"/>
      <c r="C45" s="6"/>
      <c r="D45" s="6"/>
      <c r="E45" s="6"/>
      <c r="F45" s="6"/>
      <c r="G45" s="6"/>
      <c r="H45" s="6"/>
      <c r="I45" s="6"/>
      <c r="J45" s="6">
        <v>-37539</v>
      </c>
      <c r="K45" s="19"/>
      <c r="L45" s="19"/>
      <c r="M45" s="19"/>
      <c r="N45" s="58">
        <f>SUM(B45:M45)</f>
        <v>-37539</v>
      </c>
      <c r="P45" s="58"/>
      <c r="Q45" s="58"/>
    </row>
    <row r="46" spans="1:17" s="17" customFormat="1" x14ac:dyDescent="0.25">
      <c r="A46" s="114" t="s">
        <v>36</v>
      </c>
      <c r="B46" s="1">
        <v>-35000</v>
      </c>
      <c r="C46" s="1">
        <f>-18000-17000</f>
        <v>-35000</v>
      </c>
      <c r="D46" s="1">
        <v>-35000</v>
      </c>
      <c r="E46" s="1">
        <v>-35000</v>
      </c>
      <c r="F46" s="1">
        <v>-35000</v>
      </c>
      <c r="G46" s="1">
        <v>-35000</v>
      </c>
      <c r="H46" s="58">
        <v>-35000</v>
      </c>
      <c r="I46" s="1">
        <v>-35000</v>
      </c>
      <c r="J46" s="58">
        <v>-35000</v>
      </c>
      <c r="K46" s="1"/>
      <c r="L46" s="1"/>
      <c r="M46" s="1"/>
      <c r="N46" s="1">
        <f>SUM(B46:M46)</f>
        <v>-315000</v>
      </c>
      <c r="P46" s="1">
        <f t="shared" si="3"/>
        <v>-28636.363636363636</v>
      </c>
      <c r="Q46" s="1">
        <f t="shared" si="4"/>
        <v>28636.363636363636</v>
      </c>
    </row>
    <row r="47" spans="1:17" s="17" customFormat="1" x14ac:dyDescent="0.25">
      <c r="A47" s="117"/>
      <c r="B47" s="8">
        <f t="shared" ref="B47:N47" si="47">SUM(B38:B46)</f>
        <v>874523.04408513964</v>
      </c>
      <c r="C47" s="8">
        <f t="shared" si="47"/>
        <v>628087.73401690566</v>
      </c>
      <c r="D47" s="8">
        <f t="shared" si="47"/>
        <v>763721.3041869998</v>
      </c>
      <c r="E47" s="8">
        <f t="shared" si="47"/>
        <v>694818.68502510397</v>
      </c>
      <c r="F47" s="8">
        <f t="shared" si="47"/>
        <v>488128.84000000008</v>
      </c>
      <c r="G47" s="8">
        <f t="shared" si="47"/>
        <v>531029.93690028624</v>
      </c>
      <c r="H47" s="8">
        <f t="shared" si="47"/>
        <v>542176.07188355306</v>
      </c>
      <c r="I47" s="8">
        <f t="shared" si="47"/>
        <v>626554.65379218815</v>
      </c>
      <c r="J47" s="8">
        <f t="shared" si="47"/>
        <v>543436.34297928843</v>
      </c>
      <c r="K47" s="8">
        <f t="shared" si="47"/>
        <v>0</v>
      </c>
      <c r="L47" s="8">
        <f t="shared" si="47"/>
        <v>0</v>
      </c>
      <c r="M47" s="8">
        <f t="shared" si="47"/>
        <v>0</v>
      </c>
      <c r="N47" s="8">
        <f t="shared" si="47"/>
        <v>5692476.6128694648</v>
      </c>
      <c r="P47" s="8">
        <f t="shared" si="3"/>
        <v>517497.87389722408</v>
      </c>
      <c r="Q47" s="8">
        <f t="shared" si="4"/>
        <v>-517497.87389722408</v>
      </c>
    </row>
    <row r="48" spans="1:17" ht="25.5" customHeight="1" thickBot="1" x14ac:dyDescent="0.3">
      <c r="A48" s="116" t="s">
        <v>37</v>
      </c>
      <c r="B48" s="22">
        <f t="shared" ref="B48:N48" si="48">+B35-B47</f>
        <v>-722.29408502043225</v>
      </c>
      <c r="C48" s="22">
        <f t="shared" si="48"/>
        <v>179047.73598288454</v>
      </c>
      <c r="D48" s="22">
        <f t="shared" si="48"/>
        <v>109403.45581293106</v>
      </c>
      <c r="E48" s="22">
        <f t="shared" si="48"/>
        <v>-110891.9850251457</v>
      </c>
      <c r="F48" s="22">
        <f t="shared" si="48"/>
        <v>-13756.999999996508</v>
      </c>
      <c r="G48" s="22">
        <f t="shared" si="48"/>
        <v>46763.123099656543</v>
      </c>
      <c r="H48" s="22">
        <f t="shared" si="48"/>
        <v>-115422.47188352922</v>
      </c>
      <c r="I48" s="22">
        <f t="shared" si="48"/>
        <v>88882.916207864298</v>
      </c>
      <c r="J48" s="22">
        <f t="shared" si="48"/>
        <v>-107520.97297922405</v>
      </c>
      <c r="K48" s="22">
        <f t="shared" si="48"/>
        <v>0</v>
      </c>
      <c r="L48" s="22">
        <f t="shared" si="48"/>
        <v>0</v>
      </c>
      <c r="M48" s="22">
        <f t="shared" si="48"/>
        <v>0</v>
      </c>
      <c r="N48" s="22">
        <f t="shared" si="48"/>
        <v>75782.507130420767</v>
      </c>
      <c r="P48" s="22">
        <f t="shared" si="3"/>
        <v>6889.3188300382517</v>
      </c>
      <c r="Q48" s="22">
        <f t="shared" si="4"/>
        <v>-6889.3188300382517</v>
      </c>
    </row>
    <row r="49" spans="1:17" ht="15.75" thickTop="1" x14ac:dyDescent="0.25">
      <c r="C49" s="1"/>
      <c r="D49" s="1"/>
      <c r="E49" s="1"/>
      <c r="F49" s="1"/>
      <c r="G49" s="1"/>
      <c r="H49" s="23"/>
      <c r="I49" s="23"/>
      <c r="J49" s="23"/>
      <c r="K49" s="23"/>
      <c r="L49" s="1"/>
      <c r="M49" s="1"/>
      <c r="P49" s="2">
        <f t="shared" si="3"/>
        <v>0</v>
      </c>
      <c r="Q49" s="2">
        <f t="shared" si="4"/>
        <v>0</v>
      </c>
    </row>
    <row r="50" spans="1:17" x14ac:dyDescent="0.25">
      <c r="C50" s="1"/>
      <c r="D50" s="1"/>
      <c r="E50" s="1"/>
      <c r="F50" s="1"/>
      <c r="G50" s="1"/>
      <c r="H50" s="58"/>
      <c r="I50" s="1"/>
      <c r="J50" s="1"/>
      <c r="K50" s="1"/>
      <c r="L50" s="1"/>
      <c r="M50" s="1"/>
      <c r="P50" s="2">
        <f t="shared" si="3"/>
        <v>0</v>
      </c>
      <c r="Q50" s="2">
        <f t="shared" si="4"/>
        <v>0</v>
      </c>
    </row>
    <row r="51" spans="1:17" ht="30" x14ac:dyDescent="0.25">
      <c r="A51" s="118" t="s">
        <v>38</v>
      </c>
      <c r="C51" s="1"/>
      <c r="D51" s="1"/>
      <c r="E51" s="1"/>
      <c r="F51" s="1"/>
      <c r="G51" s="1"/>
      <c r="H51" s="58"/>
      <c r="I51" s="1"/>
      <c r="J51" s="1"/>
      <c r="K51" s="1"/>
      <c r="L51" s="1"/>
      <c r="M51" s="1"/>
      <c r="P51" s="2">
        <f t="shared" si="3"/>
        <v>0</v>
      </c>
      <c r="Q51" s="2">
        <f t="shared" si="4"/>
        <v>0</v>
      </c>
    </row>
    <row r="52" spans="1:17" x14ac:dyDescent="0.25">
      <c r="A52" s="114" t="s">
        <v>4</v>
      </c>
      <c r="C52" s="1"/>
      <c r="D52" s="1"/>
      <c r="E52" s="1"/>
      <c r="F52" s="1"/>
      <c r="G52" s="1"/>
      <c r="H52" s="58"/>
      <c r="I52" s="1"/>
      <c r="J52" s="1"/>
      <c r="K52" s="1"/>
      <c r="L52" s="1"/>
      <c r="M52" s="1"/>
      <c r="P52" s="2">
        <f t="shared" si="3"/>
        <v>0</v>
      </c>
      <c r="Q52" s="2">
        <f t="shared" si="4"/>
        <v>0</v>
      </c>
    </row>
    <row r="53" spans="1:17" x14ac:dyDescent="0.25">
      <c r="A53" s="114" t="s">
        <v>39</v>
      </c>
      <c r="B53" s="5">
        <f>B104</f>
        <v>0</v>
      </c>
      <c r="C53" s="5">
        <f>C104</f>
        <v>0</v>
      </c>
      <c r="D53" s="5">
        <f>D104</f>
        <v>0</v>
      </c>
      <c r="E53" s="1">
        <f t="shared" ref="E53:J53" si="49">E104</f>
        <v>0</v>
      </c>
      <c r="F53" s="1">
        <f t="shared" si="49"/>
        <v>0</v>
      </c>
      <c r="G53" s="1">
        <f t="shared" si="49"/>
        <v>0</v>
      </c>
      <c r="H53" s="58">
        <f t="shared" ref="H53" si="50">H104</f>
        <v>0</v>
      </c>
      <c r="I53" s="58">
        <f t="shared" si="49"/>
        <v>0</v>
      </c>
      <c r="J53" s="1">
        <f t="shared" si="49"/>
        <v>0</v>
      </c>
      <c r="K53" s="1">
        <f>K104</f>
        <v>0</v>
      </c>
      <c r="L53" s="1">
        <f>L104</f>
        <v>0</v>
      </c>
      <c r="M53" s="1">
        <f>M104</f>
        <v>0</v>
      </c>
      <c r="N53" s="1">
        <f>SUM(B53:M53)</f>
        <v>0</v>
      </c>
      <c r="P53" s="1">
        <f t="shared" si="3"/>
        <v>0</v>
      </c>
      <c r="Q53" s="1">
        <f t="shared" si="4"/>
        <v>0</v>
      </c>
    </row>
    <row r="54" spans="1:17" x14ac:dyDescent="0.25">
      <c r="A54" s="114" t="s">
        <v>40</v>
      </c>
      <c r="B54" s="5">
        <f>B110+B121</f>
        <v>44174.48</v>
      </c>
      <c r="C54" s="5">
        <f>C110+C121</f>
        <v>37026.959999999999</v>
      </c>
      <c r="D54" s="5">
        <f>D110+D121</f>
        <v>50952.97</v>
      </c>
      <c r="E54" s="5">
        <f>E110+E121</f>
        <v>17383</v>
      </c>
      <c r="F54" s="5">
        <f t="shared" ref="F54:M54" si="51">F110+F121</f>
        <v>6537.5</v>
      </c>
      <c r="G54" s="5">
        <f t="shared" si="51"/>
        <v>12690.5</v>
      </c>
      <c r="H54" s="5">
        <f t="shared" ref="H54" si="52">H110+H121</f>
        <v>14136.99</v>
      </c>
      <c r="I54" s="5">
        <f t="shared" si="51"/>
        <v>3546</v>
      </c>
      <c r="J54" s="5">
        <f t="shared" si="51"/>
        <v>6577.55</v>
      </c>
      <c r="K54" s="5">
        <f t="shared" si="51"/>
        <v>0</v>
      </c>
      <c r="L54" s="5">
        <f t="shared" si="51"/>
        <v>0</v>
      </c>
      <c r="M54" s="5">
        <f t="shared" si="51"/>
        <v>0</v>
      </c>
      <c r="N54" s="1">
        <f>SUM(B54:M54)</f>
        <v>193025.94999999998</v>
      </c>
      <c r="P54" s="1">
        <f t="shared" si="3"/>
        <v>17547.813636363633</v>
      </c>
      <c r="Q54" s="1">
        <f t="shared" si="4"/>
        <v>-17547.813636363633</v>
      </c>
    </row>
    <row r="55" spans="1:17" x14ac:dyDescent="0.25">
      <c r="A55" s="114" t="s">
        <v>41</v>
      </c>
      <c r="B55" s="1">
        <f>B109+B120</f>
        <v>0</v>
      </c>
      <c r="C55" s="1">
        <f>C109+C120</f>
        <v>0</v>
      </c>
      <c r="D55" s="1">
        <f>D109+D120</f>
        <v>0</v>
      </c>
      <c r="E55" s="1">
        <f>E109+E120</f>
        <v>0</v>
      </c>
      <c r="F55" s="1">
        <f t="shared" ref="F55:M55" si="53">F109+F120</f>
        <v>100</v>
      </c>
      <c r="G55" s="1">
        <f t="shared" si="53"/>
        <v>0</v>
      </c>
      <c r="H55" s="58">
        <f t="shared" ref="H55" si="54">H109+H120</f>
        <v>100</v>
      </c>
      <c r="I55" s="58">
        <f t="shared" si="53"/>
        <v>275</v>
      </c>
      <c r="J55" s="1">
        <f t="shared" si="53"/>
        <v>780</v>
      </c>
      <c r="K55" s="1">
        <f t="shared" si="53"/>
        <v>0</v>
      </c>
      <c r="L55" s="1">
        <f t="shared" si="53"/>
        <v>0</v>
      </c>
      <c r="M55" s="1">
        <f t="shared" si="53"/>
        <v>0</v>
      </c>
      <c r="N55" s="1">
        <f>SUM(B55:M55)</f>
        <v>1255</v>
      </c>
      <c r="P55" s="1">
        <f t="shared" si="3"/>
        <v>114.09090909090909</v>
      </c>
      <c r="Q55" s="1">
        <f t="shared" si="4"/>
        <v>-114.09090909090909</v>
      </c>
    </row>
    <row r="56" spans="1:17" x14ac:dyDescent="0.25">
      <c r="A56" s="114" t="s">
        <v>42</v>
      </c>
      <c r="B56" s="5">
        <f>B111+B113+B114+B115</f>
        <v>44096.53</v>
      </c>
      <c r="C56" s="5">
        <f>C111+C113+C114+C115</f>
        <v>78044.399999999994</v>
      </c>
      <c r="D56" s="5">
        <f>D111+D113+D114+D115</f>
        <v>64584.18</v>
      </c>
      <c r="E56" s="5">
        <f>E111+E113+E114+E115</f>
        <v>30224.629999999997</v>
      </c>
      <c r="F56" s="5">
        <f t="shared" ref="F56:M56" si="55">F111+F113+F114+F115</f>
        <v>73319.850000000006</v>
      </c>
      <c r="G56" s="5">
        <f t="shared" si="55"/>
        <v>39472.699999999997</v>
      </c>
      <c r="H56" s="5">
        <f t="shared" ref="H56" si="56">H111+H113+H114+H115</f>
        <v>105316.34</v>
      </c>
      <c r="I56" s="5">
        <f t="shared" si="55"/>
        <v>42109.01</v>
      </c>
      <c r="J56" s="5">
        <f t="shared" si="55"/>
        <v>80331.100000000006</v>
      </c>
      <c r="K56" s="5">
        <f t="shared" si="55"/>
        <v>0</v>
      </c>
      <c r="L56" s="5">
        <f t="shared" si="55"/>
        <v>0</v>
      </c>
      <c r="M56" s="5">
        <f t="shared" si="55"/>
        <v>0</v>
      </c>
      <c r="N56" s="1">
        <f>SUM(B56:M56)</f>
        <v>557498.74</v>
      </c>
      <c r="P56" s="1">
        <f t="shared" si="3"/>
        <v>50681.703636363636</v>
      </c>
      <c r="Q56" s="1">
        <f t="shared" si="4"/>
        <v>-50681.703636363636</v>
      </c>
    </row>
    <row r="57" spans="1:17" x14ac:dyDescent="0.25">
      <c r="A57" s="114" t="s">
        <v>43</v>
      </c>
      <c r="B57" s="24">
        <f>SUM(B53:B56)</f>
        <v>88271.010000000009</v>
      </c>
      <c r="C57" s="24">
        <f t="shared" ref="C57:N57" si="57">SUM(C53:C56)</f>
        <v>115071.35999999999</v>
      </c>
      <c r="D57" s="24">
        <f t="shared" si="57"/>
        <v>115537.15</v>
      </c>
      <c r="E57" s="24">
        <f t="shared" si="57"/>
        <v>47607.63</v>
      </c>
      <c r="F57" s="24">
        <f t="shared" si="57"/>
        <v>79957.350000000006</v>
      </c>
      <c r="G57" s="24">
        <f t="shared" si="57"/>
        <v>52163.199999999997</v>
      </c>
      <c r="H57" s="24">
        <f t="shared" ref="H57" si="58">SUM(H53:H56)</f>
        <v>119553.33</v>
      </c>
      <c r="I57" s="24">
        <f t="shared" si="57"/>
        <v>45930.01</v>
      </c>
      <c r="J57" s="24">
        <f t="shared" si="57"/>
        <v>87688.650000000009</v>
      </c>
      <c r="K57" s="24">
        <f t="shared" si="57"/>
        <v>0</v>
      </c>
      <c r="L57" s="24">
        <f t="shared" si="57"/>
        <v>0</v>
      </c>
      <c r="M57" s="24">
        <f t="shared" si="57"/>
        <v>0</v>
      </c>
      <c r="N57" s="24">
        <f t="shared" si="57"/>
        <v>751779.69</v>
      </c>
      <c r="P57" s="24">
        <f t="shared" si="3"/>
        <v>68343.60818181817</v>
      </c>
      <c r="Q57" s="24">
        <f t="shared" si="4"/>
        <v>-68343.60818181817</v>
      </c>
    </row>
    <row r="58" spans="1:17" x14ac:dyDescent="0.25">
      <c r="A58" s="114" t="s">
        <v>44</v>
      </c>
      <c r="C58" s="1"/>
      <c r="D58" s="1"/>
      <c r="E58" s="1"/>
      <c r="F58" s="1"/>
      <c r="G58" s="1"/>
      <c r="H58" s="58"/>
      <c r="I58" s="1"/>
      <c r="J58" s="1"/>
      <c r="K58" s="1"/>
      <c r="L58" s="1"/>
      <c r="M58" s="1"/>
      <c r="N58" s="11"/>
      <c r="P58" s="11">
        <f t="shared" si="3"/>
        <v>0</v>
      </c>
      <c r="Q58" s="11">
        <f t="shared" si="4"/>
        <v>0</v>
      </c>
    </row>
    <row r="59" spans="1:17" x14ac:dyDescent="0.25">
      <c r="A59" s="114" t="s">
        <v>39</v>
      </c>
      <c r="B59" s="5">
        <f>B130</f>
        <v>0</v>
      </c>
      <c r="C59" s="5">
        <f>C130</f>
        <v>0</v>
      </c>
      <c r="D59" s="5">
        <f>D130</f>
        <v>0</v>
      </c>
      <c r="E59" s="5">
        <f t="shared" ref="E59:J59" si="59">E130</f>
        <v>0</v>
      </c>
      <c r="F59" s="5">
        <f>F130</f>
        <v>0</v>
      </c>
      <c r="G59" s="1">
        <f t="shared" si="59"/>
        <v>0</v>
      </c>
      <c r="H59" s="58">
        <f t="shared" ref="H59" si="60">H130</f>
        <v>0</v>
      </c>
      <c r="I59" s="58">
        <f t="shared" si="59"/>
        <v>0</v>
      </c>
      <c r="J59" s="1">
        <f t="shared" si="59"/>
        <v>0</v>
      </c>
      <c r="K59" s="1">
        <f>K130</f>
        <v>0</v>
      </c>
      <c r="L59" s="1">
        <f>L130</f>
        <v>0</v>
      </c>
      <c r="M59" s="1">
        <f>M130</f>
        <v>0</v>
      </c>
      <c r="N59" s="1">
        <f t="shared" ref="N59:N66" si="61">SUM(B59:M59)</f>
        <v>0</v>
      </c>
      <c r="P59" s="1">
        <f t="shared" si="3"/>
        <v>0</v>
      </c>
      <c r="Q59" s="1">
        <f t="shared" si="4"/>
        <v>0</v>
      </c>
    </row>
    <row r="60" spans="1:17" x14ac:dyDescent="0.25">
      <c r="A60" s="114" t="s">
        <v>45</v>
      </c>
      <c r="B60" s="5">
        <f>B141+B146+B147+B185+B173+B176+B184</f>
        <v>57082.080000000009</v>
      </c>
      <c r="C60" s="5">
        <f>C141+C146+C147+C185+C173+C176+C184</f>
        <v>43072.58</v>
      </c>
      <c r="D60" s="5">
        <f>D141+D146+D147+D185+D173+D176+D184</f>
        <v>59675.47</v>
      </c>
      <c r="E60" s="5">
        <f>E141+E146+E147+E185+E173+E176+E184</f>
        <v>4134.2700000000004</v>
      </c>
      <c r="F60" s="5">
        <f>F141+F146+F147+F185+F173+F176+F184</f>
        <v>5289.5499999999993</v>
      </c>
      <c r="G60" s="1">
        <f t="shared" ref="G60:M60" si="62">G141+G173+G146+G147+G140+G184+G185+G176</f>
        <v>13894.16</v>
      </c>
      <c r="H60" s="58">
        <f t="shared" ref="H60" si="63">H141+H173+H146+H147+H140+H184+H185+H176</f>
        <v>20530.47</v>
      </c>
      <c r="I60" s="58">
        <f t="shared" si="62"/>
        <v>5400.13</v>
      </c>
      <c r="J60" s="1">
        <f>J141+J173+J146+J147+J185+J176</f>
        <v>10087.08</v>
      </c>
      <c r="K60" s="1">
        <f t="shared" si="62"/>
        <v>0</v>
      </c>
      <c r="L60" s="1">
        <f t="shared" si="62"/>
        <v>0</v>
      </c>
      <c r="M60" s="1">
        <f t="shared" si="62"/>
        <v>0</v>
      </c>
      <c r="N60" s="1">
        <f t="shared" si="61"/>
        <v>219165.78999999998</v>
      </c>
      <c r="P60" s="1">
        <f t="shared" si="3"/>
        <v>19924.162727272724</v>
      </c>
      <c r="Q60" s="1">
        <f t="shared" si="4"/>
        <v>-19924.162727272724</v>
      </c>
    </row>
    <row r="61" spans="1:17" x14ac:dyDescent="0.25">
      <c r="A61" s="114" t="s">
        <v>46</v>
      </c>
      <c r="B61" s="5">
        <f>B143+B145</f>
        <v>162526.82</v>
      </c>
      <c r="C61" s="5">
        <f>C143+C145</f>
        <v>186551.2</v>
      </c>
      <c r="D61" s="5">
        <f>D143+D145+D144</f>
        <v>121471.26</v>
      </c>
      <c r="E61" s="5">
        <f t="shared" ref="E61:J61" si="64">E143+E145</f>
        <v>104538.95</v>
      </c>
      <c r="F61" s="5">
        <f>F143+F145+F144</f>
        <v>112337.33</v>
      </c>
      <c r="G61" s="1">
        <f t="shared" si="64"/>
        <v>58522.59</v>
      </c>
      <c r="H61" s="58">
        <f t="shared" ref="H61" si="65">H143+H145</f>
        <v>142640.88</v>
      </c>
      <c r="I61" s="58">
        <f t="shared" si="64"/>
        <v>302010.69</v>
      </c>
      <c r="J61" s="1">
        <f t="shared" si="64"/>
        <v>148375.73000000001</v>
      </c>
      <c r="K61" s="1">
        <f>K143+K145</f>
        <v>0</v>
      </c>
      <c r="L61" s="1">
        <f>L143+L145</f>
        <v>0</v>
      </c>
      <c r="M61" s="1">
        <f>M143+M145+M144</f>
        <v>0</v>
      </c>
      <c r="N61" s="1">
        <f t="shared" si="61"/>
        <v>1338975.45</v>
      </c>
      <c r="P61" s="1">
        <f t="shared" si="3"/>
        <v>121725.04090909091</v>
      </c>
      <c r="Q61" s="1">
        <f t="shared" si="4"/>
        <v>-121725.04090909091</v>
      </c>
    </row>
    <row r="62" spans="1:17" x14ac:dyDescent="0.25">
      <c r="A62" s="114" t="s">
        <v>47</v>
      </c>
      <c r="B62" s="5">
        <f t="shared" ref="B62:M62" si="66">B175</f>
        <v>5000</v>
      </c>
      <c r="C62" s="5">
        <f t="shared" si="66"/>
        <v>16772.5</v>
      </c>
      <c r="D62" s="5">
        <f t="shared" si="66"/>
        <v>-6772.5</v>
      </c>
      <c r="E62" s="5">
        <f t="shared" si="66"/>
        <v>5000</v>
      </c>
      <c r="F62" s="5">
        <f t="shared" si="66"/>
        <v>5000</v>
      </c>
      <c r="G62" s="1">
        <f t="shared" si="66"/>
        <v>5000</v>
      </c>
      <c r="H62" s="58">
        <f t="shared" ref="H62" si="67">H175</f>
        <v>5000</v>
      </c>
      <c r="I62" s="58">
        <f t="shared" si="66"/>
        <v>5000</v>
      </c>
      <c r="J62" s="1">
        <f t="shared" si="66"/>
        <v>5000</v>
      </c>
      <c r="K62" s="1">
        <f t="shared" si="66"/>
        <v>0</v>
      </c>
      <c r="L62" s="1">
        <f t="shared" si="66"/>
        <v>0</v>
      </c>
      <c r="M62" s="1">
        <f t="shared" si="66"/>
        <v>0</v>
      </c>
      <c r="N62" s="1">
        <f t="shared" si="61"/>
        <v>45000</v>
      </c>
      <c r="P62" s="1">
        <f t="shared" si="3"/>
        <v>4090.909090909091</v>
      </c>
      <c r="Q62" s="1">
        <f t="shared" si="4"/>
        <v>-4090.909090909091</v>
      </c>
    </row>
    <row r="63" spans="1:17" x14ac:dyDescent="0.25">
      <c r="A63" s="114" t="s">
        <v>48</v>
      </c>
      <c r="B63" s="5">
        <f>B182+B186+B187+B181+B183</f>
        <v>15314.77</v>
      </c>
      <c r="C63" s="5">
        <f>C182+C186+C187+C181+C183</f>
        <v>24623.15</v>
      </c>
      <c r="D63" s="5">
        <f t="shared" ref="D63:M63" si="68">D182+D186+D187+D181+D183</f>
        <v>20393.25</v>
      </c>
      <c r="E63" s="5">
        <f t="shared" si="68"/>
        <v>17847.68</v>
      </c>
      <c r="F63" s="5">
        <f t="shared" si="68"/>
        <v>17603.449999999997</v>
      </c>
      <c r="G63" s="5">
        <f t="shared" si="68"/>
        <v>14073.55</v>
      </c>
      <c r="H63" s="5">
        <f t="shared" ref="H63" si="69">H182+H186+H187+H181+H183</f>
        <v>12245.060000000001</v>
      </c>
      <c r="I63" s="5">
        <f t="shared" si="68"/>
        <v>18464.39</v>
      </c>
      <c r="J63" s="5">
        <f t="shared" si="68"/>
        <v>6687.04</v>
      </c>
      <c r="K63" s="5">
        <f t="shared" si="68"/>
        <v>0</v>
      </c>
      <c r="L63" s="5">
        <f t="shared" si="68"/>
        <v>0</v>
      </c>
      <c r="M63" s="5">
        <f t="shared" si="68"/>
        <v>0</v>
      </c>
      <c r="N63" s="1">
        <f t="shared" si="61"/>
        <v>147252.34</v>
      </c>
      <c r="P63" s="1">
        <f t="shared" si="3"/>
        <v>13386.576363636363</v>
      </c>
      <c r="Q63" s="1">
        <f t="shared" si="4"/>
        <v>-13386.576363636363</v>
      </c>
    </row>
    <row r="64" spans="1:17" x14ac:dyDescent="0.25">
      <c r="A64" s="114" t="s">
        <v>49</v>
      </c>
      <c r="B64" s="5">
        <f>B179</f>
        <v>28233.33</v>
      </c>
      <c r="C64" s="5">
        <f>C179</f>
        <v>28233.33</v>
      </c>
      <c r="D64" s="5">
        <f>D179</f>
        <v>28595.83</v>
      </c>
      <c r="E64" s="5">
        <f t="shared" ref="E64:J64" si="70">E179</f>
        <v>28233.33</v>
      </c>
      <c r="F64" s="5">
        <f>F179</f>
        <v>28233.33</v>
      </c>
      <c r="G64" s="1">
        <f t="shared" si="70"/>
        <v>7627.91</v>
      </c>
      <c r="H64" s="58">
        <f t="shared" ref="H64" si="71">H179</f>
        <v>28233.33</v>
      </c>
      <c r="I64" s="58">
        <f t="shared" si="70"/>
        <v>28233.33</v>
      </c>
      <c r="J64" s="1">
        <f t="shared" si="70"/>
        <v>28233.33</v>
      </c>
      <c r="K64" s="1">
        <f>K179</f>
        <v>0</v>
      </c>
      <c r="L64" s="1">
        <f>L179</f>
        <v>0</v>
      </c>
      <c r="M64" s="1">
        <f>M179</f>
        <v>0</v>
      </c>
      <c r="N64" s="1">
        <f t="shared" si="61"/>
        <v>233857.05000000005</v>
      </c>
      <c r="P64" s="1">
        <f t="shared" si="3"/>
        <v>21259.731818181823</v>
      </c>
      <c r="Q64" s="1">
        <f t="shared" si="4"/>
        <v>-21259.731818181823</v>
      </c>
    </row>
    <row r="65" spans="1:17" x14ac:dyDescent="0.25">
      <c r="A65" s="114" t="s">
        <v>50</v>
      </c>
      <c r="B65" s="1">
        <v>0</v>
      </c>
      <c r="C65" s="1">
        <v>0</v>
      </c>
      <c r="D65" s="1">
        <v>0</v>
      </c>
      <c r="E65" s="5">
        <v>0</v>
      </c>
      <c r="F65" s="5">
        <v>0</v>
      </c>
      <c r="G65" s="1">
        <v>0</v>
      </c>
      <c r="H65" s="58">
        <v>0</v>
      </c>
      <c r="I65" s="58">
        <v>0</v>
      </c>
      <c r="J65" s="1"/>
      <c r="K65" s="1"/>
      <c r="L65" s="1"/>
      <c r="M65" s="1"/>
      <c r="N65" s="1">
        <f t="shared" si="61"/>
        <v>0</v>
      </c>
      <c r="P65" s="1">
        <f t="shared" si="3"/>
        <v>0</v>
      </c>
      <c r="Q65" s="1">
        <f t="shared" si="4"/>
        <v>0</v>
      </c>
    </row>
    <row r="66" spans="1:17" x14ac:dyDescent="0.25">
      <c r="A66" s="114" t="s">
        <v>51</v>
      </c>
      <c r="B66" s="13">
        <f>B180</f>
        <v>0</v>
      </c>
      <c r="C66" s="13">
        <f>C180</f>
        <v>878</v>
      </c>
      <c r="D66" s="25">
        <f>D180</f>
        <v>0</v>
      </c>
      <c r="E66" s="1">
        <f t="shared" ref="E66:K66" si="72">E180</f>
        <v>0</v>
      </c>
      <c r="F66" s="1">
        <f>F180</f>
        <v>620</v>
      </c>
      <c r="G66" s="1">
        <f t="shared" si="72"/>
        <v>0</v>
      </c>
      <c r="H66" s="58">
        <f t="shared" ref="H66" si="73">H180</f>
        <v>12</v>
      </c>
      <c r="I66" s="58">
        <f t="shared" si="72"/>
        <v>0</v>
      </c>
      <c r="J66" s="1">
        <f t="shared" si="72"/>
        <v>0</v>
      </c>
      <c r="K66" s="1">
        <f t="shared" si="72"/>
        <v>0</v>
      </c>
      <c r="L66" s="1">
        <f>L180</f>
        <v>0</v>
      </c>
      <c r="M66" s="1">
        <f>M180</f>
        <v>0</v>
      </c>
      <c r="N66" s="1">
        <f t="shared" si="61"/>
        <v>1510</v>
      </c>
      <c r="P66" s="1">
        <f t="shared" si="3"/>
        <v>137.27272727272728</v>
      </c>
      <c r="Q66" s="1">
        <f t="shared" si="4"/>
        <v>-137.27272727272728</v>
      </c>
    </row>
    <row r="67" spans="1:17" x14ac:dyDescent="0.25">
      <c r="A67" s="114" t="s">
        <v>52</v>
      </c>
      <c r="B67" s="26">
        <f>SUM(B59:B66)</f>
        <v>268157</v>
      </c>
      <c r="C67" s="26">
        <f t="shared" ref="C67:M67" si="74">SUM(C59:C66)</f>
        <v>300130.76000000007</v>
      </c>
      <c r="D67" s="13">
        <f t="shared" si="74"/>
        <v>223363.31</v>
      </c>
      <c r="E67" s="26">
        <f t="shared" si="74"/>
        <v>159754.22999999998</v>
      </c>
      <c r="F67" s="26">
        <f t="shared" si="74"/>
        <v>169083.66000000003</v>
      </c>
      <c r="G67" s="26">
        <f t="shared" si="74"/>
        <v>99118.21</v>
      </c>
      <c r="H67" s="26">
        <f t="shared" ref="H67" si="75">SUM(H59:H66)</f>
        <v>208661.74</v>
      </c>
      <c r="I67" s="26">
        <f t="shared" si="74"/>
        <v>359108.54000000004</v>
      </c>
      <c r="J67" s="26">
        <f t="shared" si="74"/>
        <v>198383.18</v>
      </c>
      <c r="K67" s="26">
        <f t="shared" si="74"/>
        <v>0</v>
      </c>
      <c r="L67" s="26">
        <f t="shared" si="74"/>
        <v>0</v>
      </c>
      <c r="M67" s="26">
        <f t="shared" si="74"/>
        <v>0</v>
      </c>
      <c r="N67" s="26">
        <f>SUM(N59:N66)</f>
        <v>1985760.6300000001</v>
      </c>
      <c r="P67" s="26">
        <f t="shared" si="3"/>
        <v>180523.69363636363</v>
      </c>
      <c r="Q67" s="26">
        <f t="shared" si="4"/>
        <v>-180523.69363636363</v>
      </c>
    </row>
    <row r="68" spans="1:17" x14ac:dyDescent="0.25">
      <c r="A68" s="114" t="s">
        <v>53</v>
      </c>
      <c r="B68" s="27">
        <f>+B57-B67</f>
        <v>-179885.99</v>
      </c>
      <c r="C68" s="27">
        <f t="shared" ref="C68:N68" si="76">+C57-C67</f>
        <v>-185059.40000000008</v>
      </c>
      <c r="D68" s="27">
        <f t="shared" si="76"/>
        <v>-107826.16</v>
      </c>
      <c r="E68" s="27">
        <f t="shared" si="76"/>
        <v>-112146.59999999998</v>
      </c>
      <c r="F68" s="27">
        <f t="shared" si="76"/>
        <v>-89126.310000000027</v>
      </c>
      <c r="G68" s="27">
        <f t="shared" si="76"/>
        <v>-46955.010000000009</v>
      </c>
      <c r="H68" s="27">
        <f t="shared" ref="H68" si="77">+H57-H67</f>
        <v>-89108.409999999989</v>
      </c>
      <c r="I68" s="27">
        <f t="shared" si="76"/>
        <v>-313178.53000000003</v>
      </c>
      <c r="J68" s="27">
        <f t="shared" si="76"/>
        <v>-110694.52999999998</v>
      </c>
      <c r="K68" s="27">
        <f t="shared" si="76"/>
        <v>0</v>
      </c>
      <c r="L68" s="27">
        <f t="shared" si="76"/>
        <v>0</v>
      </c>
      <c r="M68" s="27">
        <f t="shared" si="76"/>
        <v>0</v>
      </c>
      <c r="N68" s="27">
        <f t="shared" si="76"/>
        <v>-1233980.9400000002</v>
      </c>
      <c r="P68" s="27">
        <f t="shared" si="3"/>
        <v>-112180.08545454546</v>
      </c>
      <c r="Q68" s="27">
        <f t="shared" si="4"/>
        <v>112180.08545454546</v>
      </c>
    </row>
    <row r="69" spans="1:17" x14ac:dyDescent="0.25">
      <c r="C69" s="1"/>
      <c r="D69" s="1"/>
      <c r="E69" s="1"/>
      <c r="F69" s="1"/>
      <c r="G69" s="1"/>
      <c r="H69" s="58"/>
      <c r="I69" s="1"/>
      <c r="J69" s="1"/>
      <c r="K69" s="1"/>
      <c r="L69" s="1"/>
      <c r="M69" s="1"/>
      <c r="N69" s="11"/>
      <c r="P69" s="11">
        <f t="shared" si="3"/>
        <v>0</v>
      </c>
      <c r="Q69" s="11">
        <f t="shared" si="4"/>
        <v>0</v>
      </c>
    </row>
    <row r="70" spans="1:17" x14ac:dyDescent="0.25">
      <c r="A70" s="114" t="s">
        <v>54</v>
      </c>
      <c r="B70" s="5">
        <f t="shared" ref="B70:G70" si="78">B210</f>
        <v>405193.11</v>
      </c>
      <c r="C70" s="5">
        <f t="shared" si="78"/>
        <v>341937.99000000005</v>
      </c>
      <c r="D70" s="5">
        <f t="shared" si="78"/>
        <v>343625.55</v>
      </c>
      <c r="E70" s="5">
        <f t="shared" si="78"/>
        <v>353871.56</v>
      </c>
      <c r="F70" s="5">
        <f t="shared" si="78"/>
        <v>420339.36000000004</v>
      </c>
      <c r="G70" s="1">
        <f t="shared" si="78"/>
        <v>403802.07</v>
      </c>
      <c r="H70" s="58">
        <f t="shared" ref="H70:I70" si="79">H210</f>
        <v>404965.73</v>
      </c>
      <c r="I70" s="58">
        <f t="shared" si="79"/>
        <v>398996.33</v>
      </c>
      <c r="J70" s="1">
        <f>J210</f>
        <v>362767.47000000003</v>
      </c>
      <c r="K70" s="1">
        <f>K210</f>
        <v>0</v>
      </c>
      <c r="L70" s="1">
        <f>L210</f>
        <v>0</v>
      </c>
      <c r="M70" s="1">
        <f>M210</f>
        <v>0</v>
      </c>
      <c r="N70" s="1">
        <f>SUM(B70:M70)</f>
        <v>3435499.1700000004</v>
      </c>
      <c r="P70" s="1">
        <f t="shared" si="3"/>
        <v>312318.10636363638</v>
      </c>
      <c r="Q70" s="1">
        <f t="shared" si="4"/>
        <v>-312318.10636363638</v>
      </c>
    </row>
    <row r="71" spans="1:17" x14ac:dyDescent="0.25">
      <c r="A71" s="114" t="s">
        <v>55</v>
      </c>
      <c r="B71" s="5">
        <f t="shared" ref="B71:G71" si="80">B231</f>
        <v>196640.18</v>
      </c>
      <c r="C71" s="5">
        <f t="shared" si="80"/>
        <v>189381.89</v>
      </c>
      <c r="D71" s="5">
        <f t="shared" si="80"/>
        <v>195764.02000000002</v>
      </c>
      <c r="E71" s="5">
        <f t="shared" si="80"/>
        <v>187712.74</v>
      </c>
      <c r="F71" s="5">
        <f t="shared" si="80"/>
        <v>186399.78</v>
      </c>
      <c r="G71" s="1">
        <f t="shared" si="80"/>
        <v>206284.2</v>
      </c>
      <c r="H71" s="58">
        <f>H231</f>
        <v>214608.83</v>
      </c>
      <c r="I71" s="58">
        <f t="shared" ref="I71" si="81">I231</f>
        <v>186243.88999999998</v>
      </c>
      <c r="J71" s="1">
        <f>J231</f>
        <v>267383.36</v>
      </c>
      <c r="K71" s="1">
        <f>K231</f>
        <v>0</v>
      </c>
      <c r="L71" s="1">
        <f>L231</f>
        <v>0</v>
      </c>
      <c r="M71" s="1">
        <f>M231</f>
        <v>0</v>
      </c>
      <c r="N71" s="1">
        <f>SUM(B71:M71)</f>
        <v>1830418.8900000001</v>
      </c>
      <c r="P71" s="1">
        <f t="shared" si="3"/>
        <v>166401.71727272728</v>
      </c>
      <c r="Q71" s="1">
        <f t="shared" si="4"/>
        <v>-166401.71727272728</v>
      </c>
    </row>
    <row r="72" spans="1:17" x14ac:dyDescent="0.25">
      <c r="A72" s="114" t="s">
        <v>56</v>
      </c>
      <c r="B72" s="5">
        <f t="shared" ref="B72:G72" si="82">B263</f>
        <v>111240.83</v>
      </c>
      <c r="C72" s="5">
        <f t="shared" si="82"/>
        <v>91232.06</v>
      </c>
      <c r="D72" s="5">
        <f t="shared" si="82"/>
        <v>94277.48000000001</v>
      </c>
      <c r="E72" s="5">
        <f t="shared" si="82"/>
        <v>88611.98000000001</v>
      </c>
      <c r="F72" s="5">
        <f t="shared" si="82"/>
        <v>89444.540000000008</v>
      </c>
      <c r="G72" s="1">
        <f t="shared" si="82"/>
        <v>103146.35</v>
      </c>
      <c r="H72" s="58">
        <f t="shared" ref="H72:I72" si="83">H263</f>
        <v>118506.03</v>
      </c>
      <c r="I72" s="58">
        <f t="shared" si="83"/>
        <v>113578.72000000002</v>
      </c>
      <c r="J72" s="1">
        <f>J263</f>
        <v>107650.19</v>
      </c>
      <c r="K72" s="1">
        <f>K263</f>
        <v>0</v>
      </c>
      <c r="L72" s="1">
        <f>L263</f>
        <v>0</v>
      </c>
      <c r="M72" s="1">
        <f>M263</f>
        <v>0</v>
      </c>
      <c r="N72" s="1">
        <f>SUM(B72:M72)</f>
        <v>917688.17999999993</v>
      </c>
      <c r="P72" s="1">
        <f t="shared" ref="P72:P142" si="84">(N72-M72)/11</f>
        <v>83426.198181818181</v>
      </c>
      <c r="Q72" s="1">
        <f t="shared" ref="Q72:Q142" si="85">M72-P72</f>
        <v>-83426.198181818181</v>
      </c>
    </row>
    <row r="73" spans="1:17" x14ac:dyDescent="0.25">
      <c r="A73" s="114" t="s">
        <v>57</v>
      </c>
      <c r="B73" s="13">
        <f t="shared" ref="B73:G73" si="86">-B278</f>
        <v>-81297.39</v>
      </c>
      <c r="C73" s="13">
        <f t="shared" si="86"/>
        <v>-60573.55</v>
      </c>
      <c r="D73" s="13">
        <f t="shared" si="86"/>
        <v>-54599.840000000004</v>
      </c>
      <c r="E73" s="12">
        <f t="shared" si="86"/>
        <v>-82044.150000000009</v>
      </c>
      <c r="F73" s="12">
        <f t="shared" si="86"/>
        <v>-105834.51000000001</v>
      </c>
      <c r="G73" s="12">
        <f t="shared" si="86"/>
        <v>-92499.849999999991</v>
      </c>
      <c r="H73" s="58">
        <f t="shared" ref="H73:I73" si="87">-H278</f>
        <v>-94568.209999999992</v>
      </c>
      <c r="I73" s="58">
        <f t="shared" si="87"/>
        <v>-83366.98</v>
      </c>
      <c r="J73" s="1">
        <f>-J278</f>
        <v>-99455.039999999994</v>
      </c>
      <c r="K73" s="1">
        <f>-K278</f>
        <v>0</v>
      </c>
      <c r="L73" s="1">
        <f>-L278</f>
        <v>0</v>
      </c>
      <c r="M73" s="1">
        <f>-M278</f>
        <v>0</v>
      </c>
      <c r="N73" s="1">
        <f>SUM(B73:M73)</f>
        <v>-754239.52</v>
      </c>
      <c r="P73" s="1">
        <f t="shared" si="84"/>
        <v>-68567.229090909095</v>
      </c>
      <c r="Q73" s="1">
        <f t="shared" si="85"/>
        <v>68567.229090909095</v>
      </c>
    </row>
    <row r="74" spans="1:17" x14ac:dyDescent="0.25">
      <c r="A74" s="114" t="s">
        <v>58</v>
      </c>
      <c r="B74" s="13">
        <f>B129</f>
        <v>-3595.4</v>
      </c>
      <c r="C74" s="13">
        <f>C129</f>
        <v>-2471.31</v>
      </c>
      <c r="D74" s="13">
        <f>D129</f>
        <v>-4621.22</v>
      </c>
      <c r="E74" s="12">
        <f t="shared" ref="E74:J74" si="88">E129</f>
        <v>-5799.91</v>
      </c>
      <c r="F74" s="12">
        <f>F129</f>
        <v>-1360.64</v>
      </c>
      <c r="G74" s="12">
        <f t="shared" si="88"/>
        <v>-1536.21</v>
      </c>
      <c r="H74" s="58">
        <f t="shared" ref="H74" si="89">H129</f>
        <v>-2242.15</v>
      </c>
      <c r="I74" s="58">
        <f t="shared" si="88"/>
        <v>-4335.7700000000004</v>
      </c>
      <c r="J74" s="1">
        <f t="shared" si="88"/>
        <v>-2948.83</v>
      </c>
      <c r="K74" s="1">
        <f>K129</f>
        <v>0</v>
      </c>
      <c r="L74" s="1">
        <f>L129</f>
        <v>0</v>
      </c>
      <c r="M74" s="1">
        <f>M129</f>
        <v>0</v>
      </c>
      <c r="N74" s="1">
        <f>SUM(B74:M74)</f>
        <v>-28911.440000000002</v>
      </c>
      <c r="P74" s="1">
        <f t="shared" si="84"/>
        <v>-2628.3127272727274</v>
      </c>
      <c r="Q74" s="1">
        <f t="shared" si="85"/>
        <v>2628.3127272727274</v>
      </c>
    </row>
    <row r="75" spans="1:17" x14ac:dyDescent="0.25">
      <c r="A75" s="114" t="s">
        <v>59</v>
      </c>
      <c r="B75" s="8">
        <f>SUM(B70:B74)</f>
        <v>628181.32999999996</v>
      </c>
      <c r="C75" s="8">
        <f>SUM(C70:C74)</f>
        <v>559507.08000000007</v>
      </c>
      <c r="D75" s="8">
        <f t="shared" ref="D75:L75" si="90">SUM(D70:D74)</f>
        <v>574445.99000000011</v>
      </c>
      <c r="E75" s="8">
        <f>SUM(E70:E74)</f>
        <v>542352.22</v>
      </c>
      <c r="F75" s="8">
        <f t="shared" si="90"/>
        <v>588988.53</v>
      </c>
      <c r="G75" s="8">
        <f t="shared" si="90"/>
        <v>619196.56000000006</v>
      </c>
      <c r="H75" s="8">
        <f>SUM(H70:H74)</f>
        <v>641270.23</v>
      </c>
      <c r="I75" s="8">
        <f>SUM(I70:I74)</f>
        <v>611116.18999999994</v>
      </c>
      <c r="J75" s="8">
        <f t="shared" si="90"/>
        <v>635397.15</v>
      </c>
      <c r="K75" s="8">
        <f t="shared" si="90"/>
        <v>0</v>
      </c>
      <c r="L75" s="8">
        <f t="shared" si="90"/>
        <v>0</v>
      </c>
      <c r="M75" s="8">
        <f>SUM(M70:M74)</f>
        <v>0</v>
      </c>
      <c r="N75" s="8">
        <f>SUM(N70:N74)</f>
        <v>5400455.2800000003</v>
      </c>
      <c r="P75" s="8">
        <f t="shared" si="84"/>
        <v>490950.48000000004</v>
      </c>
      <c r="Q75" s="8">
        <f t="shared" si="85"/>
        <v>-490950.48000000004</v>
      </c>
    </row>
    <row r="76" spans="1:17" ht="27" customHeight="1" thickBot="1" x14ac:dyDescent="0.3">
      <c r="A76" s="116" t="s">
        <v>60</v>
      </c>
      <c r="B76" s="15">
        <f t="shared" ref="B76:N76" si="91">+B35+B68-B75</f>
        <v>65733.430000119261</v>
      </c>
      <c r="C76" s="15">
        <f t="shared" si="91"/>
        <v>62568.989999789977</v>
      </c>
      <c r="D76" s="15">
        <f t="shared" si="91"/>
        <v>190852.60999993072</v>
      </c>
      <c r="E76" s="15">
        <f t="shared" si="91"/>
        <v>-70572.120000041672</v>
      </c>
      <c r="F76" s="15">
        <f t="shared" si="91"/>
        <v>-203742.99999999651</v>
      </c>
      <c r="G76" s="15">
        <f t="shared" si="91"/>
        <v>-88358.510000057286</v>
      </c>
      <c r="H76" s="15">
        <f t="shared" si="91"/>
        <v>-303625.03999997611</v>
      </c>
      <c r="I76" s="15">
        <f t="shared" si="91"/>
        <v>-208857.14999994752</v>
      </c>
      <c r="J76" s="15">
        <f t="shared" si="91"/>
        <v>-310176.30999993562</v>
      </c>
      <c r="K76" s="15">
        <f t="shared" si="91"/>
        <v>0</v>
      </c>
      <c r="L76" s="15">
        <f t="shared" si="91"/>
        <v>0</v>
      </c>
      <c r="M76" s="15">
        <f t="shared" si="91"/>
        <v>0</v>
      </c>
      <c r="N76" s="15">
        <f t="shared" si="91"/>
        <v>-866177.10000011511</v>
      </c>
      <c r="P76" s="15">
        <f t="shared" si="84"/>
        <v>-78743.372727283189</v>
      </c>
      <c r="Q76" s="15">
        <f t="shared" si="85"/>
        <v>78743.372727283189</v>
      </c>
    </row>
    <row r="77" spans="1:17" ht="15.75" thickTop="1" x14ac:dyDescent="0.25">
      <c r="C77" s="1"/>
      <c r="D77" s="1"/>
      <c r="E77" s="1"/>
      <c r="F77" s="1"/>
      <c r="G77" s="1"/>
      <c r="H77" s="58"/>
      <c r="I77" s="1"/>
      <c r="J77" s="1"/>
      <c r="K77" s="1"/>
      <c r="L77" s="1"/>
      <c r="M77" s="1"/>
      <c r="P77" s="2">
        <f t="shared" si="84"/>
        <v>0</v>
      </c>
      <c r="Q77" s="2">
        <f t="shared" si="85"/>
        <v>0</v>
      </c>
    </row>
    <row r="78" spans="1:17" x14ac:dyDescent="0.25">
      <c r="A78" s="114" t="s">
        <v>61</v>
      </c>
      <c r="C78" s="1"/>
      <c r="D78" s="1"/>
      <c r="E78" s="1"/>
      <c r="F78" s="1"/>
      <c r="G78" s="1"/>
      <c r="H78" s="58"/>
      <c r="I78" s="1"/>
      <c r="J78" s="1"/>
      <c r="K78" s="1"/>
      <c r="L78" s="1"/>
      <c r="M78" s="1"/>
      <c r="P78" s="2">
        <f t="shared" si="84"/>
        <v>0</v>
      </c>
      <c r="Q78" s="2">
        <f t="shared" si="85"/>
        <v>0</v>
      </c>
    </row>
    <row r="79" spans="1:17" x14ac:dyDescent="0.25">
      <c r="C79" s="1"/>
      <c r="D79" s="1"/>
      <c r="E79" s="1"/>
      <c r="F79" s="1"/>
      <c r="G79" s="1"/>
      <c r="H79" s="58"/>
      <c r="I79" s="1"/>
      <c r="J79" s="1"/>
      <c r="K79" s="1"/>
      <c r="L79" s="1"/>
      <c r="M79" s="1"/>
      <c r="N79" s="1"/>
      <c r="P79" s="1">
        <f t="shared" si="84"/>
        <v>0</v>
      </c>
      <c r="Q79" s="1">
        <f t="shared" si="85"/>
        <v>0</v>
      </c>
    </row>
    <row r="80" spans="1:17" hidden="1" x14ac:dyDescent="0.25">
      <c r="B80" s="1">
        <f t="shared" ref="B80:K80" si="92">+B76-B79</f>
        <v>65733.430000119261</v>
      </c>
      <c r="C80" s="1">
        <f t="shared" si="92"/>
        <v>62568.989999789977</v>
      </c>
      <c r="D80" s="1">
        <f t="shared" si="92"/>
        <v>190852.60999993072</v>
      </c>
      <c r="E80" s="1">
        <f t="shared" si="92"/>
        <v>-70572.120000041672</v>
      </c>
      <c r="F80" s="1">
        <f t="shared" si="92"/>
        <v>-203742.99999999651</v>
      </c>
      <c r="G80" s="1">
        <f t="shared" si="92"/>
        <v>-88358.510000057286</v>
      </c>
      <c r="H80" s="58">
        <f t="shared" ref="H80" si="93">+H76-H79</f>
        <v>-303625.03999997611</v>
      </c>
      <c r="I80" s="1">
        <f t="shared" si="92"/>
        <v>-208857.14999994752</v>
      </c>
      <c r="J80" s="1">
        <f t="shared" si="92"/>
        <v>-310176.30999993562</v>
      </c>
      <c r="K80" s="1">
        <f t="shared" si="92"/>
        <v>0</v>
      </c>
      <c r="L80" s="1">
        <v>0</v>
      </c>
      <c r="M80" s="1"/>
      <c r="N80" s="1">
        <v>0</v>
      </c>
      <c r="P80" s="1">
        <f t="shared" si="84"/>
        <v>0</v>
      </c>
      <c r="Q80" s="1">
        <f t="shared" si="85"/>
        <v>0</v>
      </c>
    </row>
    <row r="81" spans="1:17" ht="15.75" thickBot="1" x14ac:dyDescent="0.3">
      <c r="C81" s="1"/>
      <c r="D81" s="1"/>
      <c r="E81" s="1"/>
      <c r="F81" s="1"/>
      <c r="G81" s="1"/>
      <c r="H81" s="58"/>
      <c r="I81" s="1"/>
      <c r="J81" s="1"/>
      <c r="K81" s="1"/>
      <c r="L81" s="1"/>
      <c r="M81" s="1"/>
      <c r="P81" s="2">
        <f t="shared" si="84"/>
        <v>0</v>
      </c>
      <c r="Q81" s="2">
        <f t="shared" si="85"/>
        <v>0</v>
      </c>
    </row>
    <row r="82" spans="1:17" x14ac:dyDescent="0.25">
      <c r="A82" s="119" t="s">
        <v>62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9"/>
      <c r="P82" s="29">
        <f t="shared" si="84"/>
        <v>0</v>
      </c>
      <c r="Q82" s="29">
        <f t="shared" si="85"/>
        <v>0</v>
      </c>
    </row>
    <row r="83" spans="1:17" x14ac:dyDescent="0.25">
      <c r="A83" s="120" t="s">
        <v>39</v>
      </c>
      <c r="B83" s="6">
        <f t="shared" ref="B83:E84" si="94">+B53</f>
        <v>0</v>
      </c>
      <c r="C83" s="6">
        <f t="shared" si="94"/>
        <v>0</v>
      </c>
      <c r="D83" s="6">
        <f t="shared" si="94"/>
        <v>0</v>
      </c>
      <c r="E83" s="6">
        <f t="shared" si="94"/>
        <v>0</v>
      </c>
      <c r="F83" s="6">
        <f>F104</f>
        <v>0</v>
      </c>
      <c r="G83" s="6">
        <f t="shared" ref="G83:M84" si="95">+G53</f>
        <v>0</v>
      </c>
      <c r="H83" s="6">
        <f t="shared" ref="H83" si="96">+H53</f>
        <v>0</v>
      </c>
      <c r="I83" s="6">
        <f t="shared" si="95"/>
        <v>0</v>
      </c>
      <c r="J83" s="6">
        <f t="shared" si="95"/>
        <v>0</v>
      </c>
      <c r="K83" s="6">
        <f t="shared" si="95"/>
        <v>0</v>
      </c>
      <c r="L83" s="6">
        <f t="shared" si="95"/>
        <v>0</v>
      </c>
      <c r="M83" s="6">
        <f t="shared" si="95"/>
        <v>0</v>
      </c>
      <c r="N83" s="30">
        <f>SUM(B83:M83)</f>
        <v>0</v>
      </c>
      <c r="P83" s="30">
        <f t="shared" si="84"/>
        <v>0</v>
      </c>
      <c r="Q83" s="30">
        <f t="shared" si="85"/>
        <v>0</v>
      </c>
    </row>
    <row r="84" spans="1:17" x14ac:dyDescent="0.25">
      <c r="A84" s="120" t="s">
        <v>63</v>
      </c>
      <c r="B84" s="6">
        <f t="shared" si="94"/>
        <v>44174.48</v>
      </c>
      <c r="C84" s="6">
        <f t="shared" si="94"/>
        <v>37026.959999999999</v>
      </c>
      <c r="D84" s="6">
        <f t="shared" si="94"/>
        <v>50952.97</v>
      </c>
      <c r="E84" s="6">
        <f t="shared" si="94"/>
        <v>17383</v>
      </c>
      <c r="F84" s="6">
        <f>F110+F121</f>
        <v>6537.5</v>
      </c>
      <c r="G84" s="6">
        <f t="shared" si="95"/>
        <v>12690.5</v>
      </c>
      <c r="H84" s="6">
        <f t="shared" ref="H84" si="97">+H54</f>
        <v>14136.99</v>
      </c>
      <c r="I84" s="6">
        <f t="shared" si="95"/>
        <v>3546</v>
      </c>
      <c r="J84" s="6">
        <f t="shared" si="95"/>
        <v>6577.55</v>
      </c>
      <c r="K84" s="6">
        <f t="shared" si="95"/>
        <v>0</v>
      </c>
      <c r="L84" s="6">
        <f t="shared" si="95"/>
        <v>0</v>
      </c>
      <c r="M84" s="6">
        <f t="shared" si="95"/>
        <v>0</v>
      </c>
      <c r="N84" s="30">
        <f>SUM(B84:M84)</f>
        <v>193025.94999999998</v>
      </c>
      <c r="P84" s="30">
        <f t="shared" si="84"/>
        <v>17547.813636363633</v>
      </c>
      <c r="Q84" s="30">
        <f t="shared" si="85"/>
        <v>-17547.813636363633</v>
      </c>
    </row>
    <row r="85" spans="1:17" x14ac:dyDescent="0.25">
      <c r="A85" s="120" t="s">
        <v>64</v>
      </c>
      <c r="B85" s="8">
        <f>SUM(B83:B84)</f>
        <v>44174.48</v>
      </c>
      <c r="C85" s="8">
        <f t="shared" ref="C85:J85" si="98">SUM(C83:C84)</f>
        <v>37026.959999999999</v>
      </c>
      <c r="D85" s="8">
        <f t="shared" si="98"/>
        <v>50952.97</v>
      </c>
      <c r="E85" s="8">
        <f t="shared" si="98"/>
        <v>17383</v>
      </c>
      <c r="F85" s="8">
        <f t="shared" si="98"/>
        <v>6537.5</v>
      </c>
      <c r="G85" s="8">
        <f t="shared" si="98"/>
        <v>12690.5</v>
      </c>
      <c r="H85" s="8">
        <f t="shared" ref="H85" si="99">SUM(H83:H84)</f>
        <v>14136.99</v>
      </c>
      <c r="I85" s="8">
        <f t="shared" si="98"/>
        <v>3546</v>
      </c>
      <c r="J85" s="8">
        <f t="shared" si="98"/>
        <v>6577.55</v>
      </c>
      <c r="K85" s="8">
        <f>SUM(K83:K84)</f>
        <v>0</v>
      </c>
      <c r="L85" s="8">
        <f>SUM(L83:L84)</f>
        <v>0</v>
      </c>
      <c r="M85" s="8">
        <f>SUM(M83:M84)</f>
        <v>0</v>
      </c>
      <c r="N85" s="31">
        <f>SUM(N83:N84)</f>
        <v>193025.94999999998</v>
      </c>
      <c r="P85" s="31">
        <f t="shared" si="84"/>
        <v>17547.813636363633</v>
      </c>
      <c r="Q85" s="31">
        <f t="shared" si="85"/>
        <v>-17547.813636363633</v>
      </c>
    </row>
    <row r="86" spans="1:17" x14ac:dyDescent="0.25">
      <c r="A86" s="120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32"/>
      <c r="P86" s="32">
        <f t="shared" si="84"/>
        <v>0</v>
      </c>
      <c r="Q86" s="32">
        <f t="shared" si="85"/>
        <v>0</v>
      </c>
    </row>
    <row r="87" spans="1:17" x14ac:dyDescent="0.25">
      <c r="A87" s="120" t="s">
        <v>65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32"/>
      <c r="P87" s="32">
        <f t="shared" si="84"/>
        <v>0</v>
      </c>
      <c r="Q87" s="32">
        <f t="shared" si="85"/>
        <v>0</v>
      </c>
    </row>
    <row r="88" spans="1:17" x14ac:dyDescent="0.25">
      <c r="A88" s="120" t="s">
        <v>66</v>
      </c>
      <c r="B88" s="6">
        <f>+B59</f>
        <v>0</v>
      </c>
      <c r="C88" s="6">
        <f>+C59</f>
        <v>0</v>
      </c>
      <c r="D88" s="6">
        <f>+D59</f>
        <v>0</v>
      </c>
      <c r="E88" s="6">
        <f>+E59</f>
        <v>0</v>
      </c>
      <c r="F88" s="6">
        <f>F130</f>
        <v>0</v>
      </c>
      <c r="G88" s="6">
        <f t="shared" ref="G88:M88" si="100">+G59</f>
        <v>0</v>
      </c>
      <c r="H88" s="6">
        <f t="shared" ref="H88" si="101">+H59</f>
        <v>0</v>
      </c>
      <c r="I88" s="6">
        <f t="shared" si="100"/>
        <v>0</v>
      </c>
      <c r="J88" s="6">
        <f t="shared" si="100"/>
        <v>0</v>
      </c>
      <c r="K88" s="6">
        <f t="shared" si="100"/>
        <v>0</v>
      </c>
      <c r="L88" s="6">
        <f t="shared" si="100"/>
        <v>0</v>
      </c>
      <c r="M88" s="6">
        <f t="shared" si="100"/>
        <v>0</v>
      </c>
      <c r="N88" s="30">
        <f>SUM(B88:M88)</f>
        <v>0</v>
      </c>
      <c r="P88" s="30">
        <f t="shared" si="84"/>
        <v>0</v>
      </c>
      <c r="Q88" s="30">
        <f t="shared" si="85"/>
        <v>0</v>
      </c>
    </row>
    <row r="89" spans="1:17" x14ac:dyDescent="0.25">
      <c r="A89" s="120" t="s">
        <v>67</v>
      </c>
      <c r="B89" s="6">
        <f t="shared" ref="B89:G89" si="102">B141</f>
        <v>47744.73</v>
      </c>
      <c r="C89" s="6">
        <f t="shared" si="102"/>
        <v>40318.61</v>
      </c>
      <c r="D89" s="6">
        <f t="shared" si="102"/>
        <v>53566.29</v>
      </c>
      <c r="E89" s="6">
        <f t="shared" si="102"/>
        <v>-3427.84</v>
      </c>
      <c r="F89" s="6">
        <f t="shared" si="102"/>
        <v>5808.03</v>
      </c>
      <c r="G89" s="6">
        <f t="shared" si="102"/>
        <v>11225.63</v>
      </c>
      <c r="H89" s="6">
        <f t="shared" ref="H89:L89" si="103">+H60</f>
        <v>20530.47</v>
      </c>
      <c r="I89" s="6">
        <f t="shared" si="103"/>
        <v>5400.13</v>
      </c>
      <c r="J89" s="6">
        <f t="shared" si="103"/>
        <v>10087.08</v>
      </c>
      <c r="K89" s="6">
        <f t="shared" si="103"/>
        <v>0</v>
      </c>
      <c r="L89" s="6">
        <f t="shared" si="103"/>
        <v>0</v>
      </c>
      <c r="M89" s="6"/>
      <c r="N89" s="30">
        <f>SUM(B89:M89)</f>
        <v>191253.13</v>
      </c>
      <c r="P89" s="30">
        <f t="shared" si="84"/>
        <v>17386.648181818182</v>
      </c>
      <c r="Q89" s="30">
        <f t="shared" si="85"/>
        <v>-17386.648181818182</v>
      </c>
    </row>
    <row r="90" spans="1:17" x14ac:dyDescent="0.25">
      <c r="A90" s="120" t="s">
        <v>68</v>
      </c>
      <c r="B90" s="6">
        <f t="shared" ref="B90:L90" si="104">B173</f>
        <v>0</v>
      </c>
      <c r="C90" s="6">
        <f t="shared" si="104"/>
        <v>800</v>
      </c>
      <c r="D90" s="6">
        <f t="shared" si="104"/>
        <v>0</v>
      </c>
      <c r="E90" s="6">
        <f t="shared" si="104"/>
        <v>0</v>
      </c>
      <c r="F90" s="6">
        <f t="shared" si="104"/>
        <v>0</v>
      </c>
      <c r="G90" s="6">
        <f t="shared" si="104"/>
        <v>0</v>
      </c>
      <c r="H90" s="6">
        <f t="shared" ref="H90" si="105">H173</f>
        <v>0</v>
      </c>
      <c r="I90" s="6">
        <f t="shared" si="104"/>
        <v>0</v>
      </c>
      <c r="J90" s="6">
        <f t="shared" si="104"/>
        <v>0</v>
      </c>
      <c r="K90" s="6">
        <f t="shared" si="104"/>
        <v>0</v>
      </c>
      <c r="L90" s="6">
        <f t="shared" si="104"/>
        <v>0</v>
      </c>
      <c r="M90" s="6"/>
      <c r="N90" s="30">
        <f>SUM(B90:M90)</f>
        <v>800</v>
      </c>
      <c r="P90" s="30">
        <f t="shared" si="84"/>
        <v>72.727272727272734</v>
      </c>
      <c r="Q90" s="30">
        <f t="shared" si="85"/>
        <v>-72.727272727272734</v>
      </c>
    </row>
    <row r="91" spans="1:17" x14ac:dyDescent="0.25">
      <c r="A91" s="120" t="s">
        <v>69</v>
      </c>
      <c r="B91" s="6">
        <f>B185</f>
        <v>1.87</v>
      </c>
      <c r="C91" s="6">
        <f t="shared" ref="C91:M91" si="106">C185</f>
        <v>0</v>
      </c>
      <c r="D91" s="6">
        <f t="shared" si="106"/>
        <v>-115.12</v>
      </c>
      <c r="E91" s="6">
        <f t="shared" si="106"/>
        <v>3216.06</v>
      </c>
      <c r="F91" s="6">
        <f t="shared" si="106"/>
        <v>-2308</v>
      </c>
      <c r="G91" s="6">
        <f t="shared" si="106"/>
        <v>0</v>
      </c>
      <c r="H91" s="6">
        <f t="shared" ref="H91" si="107">H185</f>
        <v>0</v>
      </c>
      <c r="I91" s="6">
        <f t="shared" si="106"/>
        <v>0</v>
      </c>
      <c r="J91" s="6">
        <f t="shared" si="106"/>
        <v>0</v>
      </c>
      <c r="K91" s="6">
        <f t="shared" si="106"/>
        <v>0</v>
      </c>
      <c r="L91" s="6">
        <f t="shared" si="106"/>
        <v>0</v>
      </c>
      <c r="M91" s="6">
        <f t="shared" si="106"/>
        <v>0</v>
      </c>
      <c r="N91" s="30">
        <f>SUM(B91:M91)</f>
        <v>794.81</v>
      </c>
      <c r="P91" s="30">
        <f t="shared" si="84"/>
        <v>72.25545454545454</v>
      </c>
      <c r="Q91" s="30">
        <f t="shared" si="85"/>
        <v>-72.25545454545454</v>
      </c>
    </row>
    <row r="92" spans="1:17" x14ac:dyDescent="0.25">
      <c r="A92" s="120" t="s">
        <v>70</v>
      </c>
      <c r="B92" s="6">
        <f>B66</f>
        <v>0</v>
      </c>
      <c r="C92" s="6">
        <f>C66</f>
        <v>878</v>
      </c>
      <c r="D92" s="6">
        <f>D66</f>
        <v>0</v>
      </c>
      <c r="E92" s="6">
        <f>E66</f>
        <v>0</v>
      </c>
      <c r="F92" s="6">
        <f>F180</f>
        <v>620</v>
      </c>
      <c r="G92" s="6">
        <f t="shared" ref="G92:M92" si="108">G66</f>
        <v>0</v>
      </c>
      <c r="H92" s="6">
        <f t="shared" ref="H92" si="109">H66</f>
        <v>12</v>
      </c>
      <c r="I92" s="6">
        <f t="shared" si="108"/>
        <v>0</v>
      </c>
      <c r="J92" s="6">
        <f t="shared" si="108"/>
        <v>0</v>
      </c>
      <c r="K92" s="6">
        <f t="shared" si="108"/>
        <v>0</v>
      </c>
      <c r="L92" s="6">
        <f t="shared" si="108"/>
        <v>0</v>
      </c>
      <c r="M92" s="6">
        <f t="shared" si="108"/>
        <v>0</v>
      </c>
      <c r="N92" s="30">
        <f>SUM(B92:M92)</f>
        <v>1510</v>
      </c>
      <c r="P92" s="30">
        <f t="shared" si="84"/>
        <v>137.27272727272728</v>
      </c>
      <c r="Q92" s="30">
        <f t="shared" si="85"/>
        <v>-137.27272727272728</v>
      </c>
    </row>
    <row r="93" spans="1:17" x14ac:dyDescent="0.25">
      <c r="A93" s="120"/>
      <c r="B93" s="8">
        <f>SUM(B88:B92)</f>
        <v>47746.600000000006</v>
      </c>
      <c r="C93" s="8">
        <f t="shared" ref="C93:L93" si="110">SUM(C88:C92)</f>
        <v>41996.61</v>
      </c>
      <c r="D93" s="8">
        <f t="shared" si="110"/>
        <v>53451.17</v>
      </c>
      <c r="E93" s="8">
        <f t="shared" si="110"/>
        <v>-211.7800000000002</v>
      </c>
      <c r="F93" s="8">
        <f t="shared" si="110"/>
        <v>4120.03</v>
      </c>
      <c r="G93" s="8">
        <f t="shared" si="110"/>
        <v>11225.63</v>
      </c>
      <c r="H93" s="8">
        <f t="shared" ref="H93" si="111">SUM(H88:H92)</f>
        <v>20542.47</v>
      </c>
      <c r="I93" s="8">
        <f t="shared" si="110"/>
        <v>5400.13</v>
      </c>
      <c r="J93" s="8">
        <f t="shared" si="110"/>
        <v>10087.08</v>
      </c>
      <c r="K93" s="8">
        <f t="shared" si="110"/>
        <v>0</v>
      </c>
      <c r="L93" s="8">
        <f t="shared" si="110"/>
        <v>0</v>
      </c>
      <c r="M93" s="8">
        <f>SUM(M88:M92)</f>
        <v>0</v>
      </c>
      <c r="N93" s="31">
        <f>SUM(N88:N92)</f>
        <v>194357.94</v>
      </c>
      <c r="P93" s="31">
        <f t="shared" si="84"/>
        <v>17668.903636363637</v>
      </c>
      <c r="Q93" s="31">
        <f t="shared" si="85"/>
        <v>-17668.903636363637</v>
      </c>
    </row>
    <row r="94" spans="1:17" ht="27" customHeight="1" thickBot="1" x14ac:dyDescent="0.3">
      <c r="A94" s="120"/>
      <c r="B94" s="33">
        <f>+B85-B93</f>
        <v>-3572.1200000000026</v>
      </c>
      <c r="C94" s="33">
        <f t="shared" ref="C94:L94" si="112">+C85-C93</f>
        <v>-4969.6500000000015</v>
      </c>
      <c r="D94" s="33">
        <f t="shared" si="112"/>
        <v>-2498.1999999999971</v>
      </c>
      <c r="E94" s="33">
        <f t="shared" si="112"/>
        <v>17594.78</v>
      </c>
      <c r="F94" s="33">
        <f t="shared" si="112"/>
        <v>2417.4700000000003</v>
      </c>
      <c r="G94" s="33">
        <f t="shared" si="112"/>
        <v>1464.8700000000008</v>
      </c>
      <c r="H94" s="33">
        <f t="shared" ref="H94" si="113">+H85-H93</f>
        <v>-6405.4800000000014</v>
      </c>
      <c r="I94" s="33">
        <f t="shared" si="112"/>
        <v>-1854.13</v>
      </c>
      <c r="J94" s="33">
        <f t="shared" si="112"/>
        <v>-3509.5299999999997</v>
      </c>
      <c r="K94" s="33">
        <f t="shared" si="112"/>
        <v>0</v>
      </c>
      <c r="L94" s="33">
        <f t="shared" si="112"/>
        <v>0</v>
      </c>
      <c r="M94" s="33">
        <f>+M85-M93</f>
        <v>0</v>
      </c>
      <c r="N94" s="34">
        <f>+N85-N93</f>
        <v>-1331.9900000000198</v>
      </c>
      <c r="P94" s="34">
        <f t="shared" si="84"/>
        <v>-121.09000000000179</v>
      </c>
      <c r="Q94" s="34">
        <f t="shared" si="85"/>
        <v>121.09000000000179</v>
      </c>
    </row>
    <row r="95" spans="1:17" ht="16.5" thickTop="1" thickBot="1" x14ac:dyDescent="0.3">
      <c r="A95" s="121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6"/>
      <c r="P95" s="36">
        <f t="shared" si="84"/>
        <v>0</v>
      </c>
      <c r="Q95" s="36">
        <f t="shared" si="85"/>
        <v>0</v>
      </c>
    </row>
    <row r="96" spans="1:17" x14ac:dyDescent="0.25">
      <c r="C96" s="1"/>
      <c r="D96" s="1"/>
      <c r="E96" s="1"/>
      <c r="F96" s="1"/>
      <c r="G96" s="1"/>
      <c r="H96" s="58"/>
      <c r="I96" s="1"/>
      <c r="J96" s="1"/>
      <c r="K96" s="1"/>
      <c r="L96" s="1"/>
      <c r="M96" s="1"/>
      <c r="P96" s="2">
        <f t="shared" si="84"/>
        <v>0</v>
      </c>
      <c r="Q96" s="2">
        <f t="shared" si="85"/>
        <v>0</v>
      </c>
    </row>
    <row r="97" spans="1:17" x14ac:dyDescent="0.25">
      <c r="C97" s="1"/>
      <c r="D97" s="1"/>
      <c r="E97" s="1"/>
      <c r="F97" s="1"/>
      <c r="G97" s="1"/>
      <c r="H97" s="58"/>
      <c r="I97" s="1"/>
      <c r="J97" s="1"/>
      <c r="K97" s="1"/>
      <c r="L97" s="1"/>
      <c r="M97" s="1"/>
      <c r="P97" s="2">
        <f t="shared" si="84"/>
        <v>0</v>
      </c>
      <c r="Q97" s="2">
        <f t="shared" si="85"/>
        <v>0</v>
      </c>
    </row>
    <row r="98" spans="1:17" s="17" customFormat="1" ht="30.75" customHeight="1" x14ac:dyDescent="0.25">
      <c r="A98" s="117" t="s">
        <v>71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11">
        <f>SUM(B98:M98)</f>
        <v>0</v>
      </c>
      <c r="P98" s="11">
        <f t="shared" si="84"/>
        <v>0</v>
      </c>
      <c r="Q98" s="11">
        <f t="shared" si="85"/>
        <v>0</v>
      </c>
    </row>
    <row r="99" spans="1:17" x14ac:dyDescent="0.25">
      <c r="C99" s="1"/>
      <c r="D99" s="1"/>
      <c r="E99" s="1"/>
      <c r="F99" s="1"/>
      <c r="G99" s="1"/>
      <c r="H99" s="58"/>
      <c r="I99" s="1"/>
      <c r="J99" s="1"/>
      <c r="K99" s="1"/>
      <c r="L99" s="1"/>
      <c r="M99" s="1"/>
      <c r="P99" s="2">
        <f t="shared" si="84"/>
        <v>0</v>
      </c>
      <c r="Q99" s="2">
        <f t="shared" si="85"/>
        <v>0</v>
      </c>
    </row>
    <row r="100" spans="1:17" x14ac:dyDescent="0.25">
      <c r="C100" s="1"/>
      <c r="D100" s="1"/>
      <c r="E100" s="1"/>
      <c r="F100" s="1"/>
      <c r="G100" s="1"/>
      <c r="H100" s="58"/>
      <c r="I100" s="1"/>
      <c r="J100" s="1"/>
      <c r="K100" s="1"/>
      <c r="L100" s="1"/>
      <c r="M100" s="1"/>
      <c r="P100" s="2">
        <f t="shared" si="84"/>
        <v>0</v>
      </c>
      <c r="Q100" s="2">
        <f t="shared" si="85"/>
        <v>0</v>
      </c>
    </row>
    <row r="101" spans="1:17" x14ac:dyDescent="0.25">
      <c r="C101" s="1"/>
      <c r="D101" s="1"/>
      <c r="E101" s="1"/>
      <c r="F101" s="1"/>
      <c r="G101" s="1"/>
      <c r="H101" s="58"/>
      <c r="I101" s="1"/>
      <c r="J101" s="1"/>
      <c r="K101" s="1"/>
      <c r="L101" s="1"/>
      <c r="M101" s="1"/>
      <c r="P101" s="2">
        <f t="shared" si="84"/>
        <v>0</v>
      </c>
      <c r="Q101" s="2">
        <f t="shared" si="85"/>
        <v>0</v>
      </c>
    </row>
    <row r="102" spans="1:17" s="37" customFormat="1" ht="15.75" thickBot="1" x14ac:dyDescent="0.3">
      <c r="A102" s="122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P102" s="37">
        <f t="shared" si="84"/>
        <v>0</v>
      </c>
      <c r="Q102" s="37">
        <f t="shared" si="85"/>
        <v>0</v>
      </c>
    </row>
    <row r="103" spans="1:17" x14ac:dyDescent="0.25">
      <c r="A103" s="123"/>
      <c r="C103" s="1"/>
      <c r="D103" s="1"/>
      <c r="E103" s="1"/>
      <c r="F103" s="1"/>
      <c r="G103" s="1"/>
      <c r="H103" s="58"/>
      <c r="I103" s="1"/>
      <c r="J103" s="1"/>
      <c r="K103" s="1"/>
      <c r="L103" s="1"/>
      <c r="M103" s="1"/>
      <c r="P103" s="2">
        <f t="shared" si="84"/>
        <v>0</v>
      </c>
      <c r="Q103" s="2">
        <f t="shared" si="85"/>
        <v>0</v>
      </c>
    </row>
    <row r="104" spans="1:17" x14ac:dyDescent="0.25">
      <c r="A104" s="114" t="s">
        <v>72</v>
      </c>
      <c r="B104" s="1">
        <v>0</v>
      </c>
      <c r="C104" s="1">
        <v>0</v>
      </c>
      <c r="D104" s="1">
        <v>0</v>
      </c>
      <c r="E104" s="1"/>
      <c r="F104" s="1"/>
      <c r="G104" s="1">
        <v>0</v>
      </c>
      <c r="H104" s="58">
        <v>0</v>
      </c>
      <c r="I104" s="58">
        <v>0</v>
      </c>
      <c r="J104" s="1">
        <v>0</v>
      </c>
      <c r="K104" s="1"/>
      <c r="L104" s="1"/>
      <c r="M104" s="1"/>
      <c r="N104" s="1">
        <f t="shared" ref="N104:N126" si="114">SUM(B104:M104)</f>
        <v>0</v>
      </c>
      <c r="P104" s="1">
        <f t="shared" si="84"/>
        <v>0</v>
      </c>
      <c r="Q104" s="1">
        <f t="shared" si="85"/>
        <v>0</v>
      </c>
    </row>
    <row r="105" spans="1:17" x14ac:dyDescent="0.25">
      <c r="A105" s="114" t="s">
        <v>73</v>
      </c>
      <c r="B105" s="1">
        <v>154744703.27000001</v>
      </c>
      <c r="C105" s="1">
        <v>123954975.27</v>
      </c>
      <c r="D105" s="1">
        <v>101935013.19</v>
      </c>
      <c r="E105" s="1">
        <v>92863307.959999993</v>
      </c>
      <c r="F105" s="1">
        <v>94258757.019999996</v>
      </c>
      <c r="G105" s="1">
        <v>97605649.239999995</v>
      </c>
      <c r="H105" s="58">
        <v>123097958.22</v>
      </c>
      <c r="I105" s="58">
        <v>127862684.09999999</v>
      </c>
      <c r="J105" s="1">
        <v>96885769.400000006</v>
      </c>
      <c r="K105" s="1"/>
      <c r="L105" s="1"/>
      <c r="M105" s="1"/>
      <c r="N105" s="58">
        <f t="shared" si="114"/>
        <v>1013208817.6700001</v>
      </c>
      <c r="P105" s="1">
        <f t="shared" si="84"/>
        <v>92109892.515454546</v>
      </c>
      <c r="Q105" s="1">
        <f t="shared" si="85"/>
        <v>-92109892.515454546</v>
      </c>
    </row>
    <row r="106" spans="1:17" x14ac:dyDescent="0.25">
      <c r="A106" s="114" t="s">
        <v>74</v>
      </c>
      <c r="B106" s="1">
        <v>474420383.94999999</v>
      </c>
      <c r="C106" s="1">
        <v>1272769788.22</v>
      </c>
      <c r="D106" s="1">
        <v>305526926.99000001</v>
      </c>
      <c r="E106" s="1">
        <v>46941731.32</v>
      </c>
      <c r="F106" s="1">
        <v>115118797.62</v>
      </c>
      <c r="G106" s="1">
        <v>261188870.69</v>
      </c>
      <c r="H106" s="58">
        <v>167224902.31999999</v>
      </c>
      <c r="I106" s="58">
        <v>334958641.80000001</v>
      </c>
      <c r="J106" s="1">
        <v>240211825.59</v>
      </c>
      <c r="K106" s="1"/>
      <c r="L106" s="1"/>
      <c r="M106" s="1"/>
      <c r="N106" s="58">
        <f t="shared" si="114"/>
        <v>3218361868.5000005</v>
      </c>
      <c r="P106" s="1">
        <f t="shared" si="84"/>
        <v>292578351.68181825</v>
      </c>
      <c r="Q106" s="1">
        <f t="shared" si="85"/>
        <v>-292578351.68181825</v>
      </c>
    </row>
    <row r="107" spans="1:17" x14ac:dyDescent="0.25">
      <c r="A107" s="114" t="s">
        <v>75</v>
      </c>
      <c r="B107" s="1">
        <v>2898099.37</v>
      </c>
      <c r="C107" s="1">
        <v>2610105.7200000002</v>
      </c>
      <c r="D107" s="1">
        <v>622399.88</v>
      </c>
      <c r="E107" s="1">
        <v>1945746.84</v>
      </c>
      <c r="F107" s="1">
        <v>1927944.8</v>
      </c>
      <c r="G107" s="1">
        <v>474866.98</v>
      </c>
      <c r="H107" s="58">
        <v>1059505.05</v>
      </c>
      <c r="I107" s="58">
        <v>1458942.34</v>
      </c>
      <c r="J107" s="1">
        <v>319490.71999999997</v>
      </c>
      <c r="K107" s="1"/>
      <c r="L107" s="1"/>
      <c r="M107" s="1"/>
      <c r="N107" s="58">
        <f t="shared" si="114"/>
        <v>13317101.700000001</v>
      </c>
      <c r="P107" s="1">
        <f t="shared" si="84"/>
        <v>1210645.6090909091</v>
      </c>
      <c r="Q107" s="1">
        <f t="shared" si="85"/>
        <v>-1210645.6090909091</v>
      </c>
    </row>
    <row r="108" spans="1:17" x14ac:dyDescent="0.25">
      <c r="A108" s="114" t="s">
        <v>76</v>
      </c>
      <c r="B108" s="1">
        <v>3238349</v>
      </c>
      <c r="C108" s="1">
        <v>1478660.42</v>
      </c>
      <c r="D108" s="1">
        <v>1427673</v>
      </c>
      <c r="E108" s="1">
        <v>2167697.4500000002</v>
      </c>
      <c r="F108" s="1">
        <v>847867.6</v>
      </c>
      <c r="G108" s="1">
        <v>844240.5</v>
      </c>
      <c r="H108" s="58">
        <v>518684.94</v>
      </c>
      <c r="I108" s="58">
        <v>749745</v>
      </c>
      <c r="J108" s="1">
        <v>593767</v>
      </c>
      <c r="K108" s="1"/>
      <c r="L108" s="1"/>
      <c r="M108" s="1"/>
      <c r="N108" s="58">
        <f t="shared" si="114"/>
        <v>11866684.91</v>
      </c>
      <c r="P108" s="1">
        <f t="shared" si="84"/>
        <v>1078789.5372727273</v>
      </c>
      <c r="Q108" s="1">
        <f t="shared" si="85"/>
        <v>-1078789.5372727273</v>
      </c>
    </row>
    <row r="109" spans="1:17" x14ac:dyDescent="0.25">
      <c r="A109" s="114" t="s">
        <v>77</v>
      </c>
      <c r="B109" s="1">
        <v>0</v>
      </c>
      <c r="C109" s="1">
        <v>0</v>
      </c>
      <c r="D109" s="1">
        <v>0</v>
      </c>
      <c r="E109" s="1">
        <v>0</v>
      </c>
      <c r="F109" s="1">
        <v>100</v>
      </c>
      <c r="G109" s="1">
        <v>0</v>
      </c>
      <c r="H109" s="58">
        <v>100</v>
      </c>
      <c r="I109" s="58">
        <v>275</v>
      </c>
      <c r="J109" s="1">
        <v>780</v>
      </c>
      <c r="K109" s="1"/>
      <c r="L109" s="1"/>
      <c r="M109" s="1"/>
      <c r="N109" s="58">
        <f t="shared" si="114"/>
        <v>1255</v>
      </c>
      <c r="P109" s="1">
        <f t="shared" si="84"/>
        <v>114.09090909090909</v>
      </c>
      <c r="Q109" s="1">
        <f t="shared" si="85"/>
        <v>-114.09090909090909</v>
      </c>
    </row>
    <row r="110" spans="1:17" x14ac:dyDescent="0.25">
      <c r="A110" s="114" t="s">
        <v>78</v>
      </c>
      <c r="B110" s="1">
        <v>44174.48</v>
      </c>
      <c r="C110" s="1">
        <v>37026.959999999999</v>
      </c>
      <c r="D110" s="1">
        <v>50952.97</v>
      </c>
      <c r="E110" s="1">
        <v>17383</v>
      </c>
      <c r="F110" s="1">
        <v>6537.5</v>
      </c>
      <c r="G110" s="1">
        <v>12690.5</v>
      </c>
      <c r="H110" s="58">
        <v>14136.99</v>
      </c>
      <c r="I110" s="58">
        <v>3631</v>
      </c>
      <c r="J110" s="1">
        <v>6577.55</v>
      </c>
      <c r="K110" s="1"/>
      <c r="L110" s="1"/>
      <c r="M110" s="1"/>
      <c r="N110" s="58">
        <f t="shared" si="114"/>
        <v>193110.94999999998</v>
      </c>
      <c r="P110" s="1">
        <f t="shared" si="84"/>
        <v>17555.540909090909</v>
      </c>
      <c r="Q110" s="1">
        <f t="shared" si="85"/>
        <v>-17555.540909090909</v>
      </c>
    </row>
    <row r="111" spans="1:17" x14ac:dyDescent="0.25">
      <c r="A111" s="114" t="s">
        <v>79</v>
      </c>
      <c r="B111" s="1">
        <v>0</v>
      </c>
      <c r="C111" s="1">
        <v>40000</v>
      </c>
      <c r="D111" s="1">
        <v>0</v>
      </c>
      <c r="E111" s="1">
        <v>0</v>
      </c>
      <c r="F111" s="1">
        <v>0</v>
      </c>
      <c r="G111" s="1">
        <v>0</v>
      </c>
      <c r="H111" s="58">
        <v>10000</v>
      </c>
      <c r="I111" s="58">
        <v>0</v>
      </c>
      <c r="J111" s="1">
        <v>0</v>
      </c>
      <c r="K111" s="1"/>
      <c r="L111" s="1"/>
      <c r="M111" s="1"/>
      <c r="N111" s="58">
        <f t="shared" si="114"/>
        <v>50000</v>
      </c>
      <c r="P111" s="1">
        <f t="shared" si="84"/>
        <v>4545.454545454545</v>
      </c>
      <c r="Q111" s="1">
        <f t="shared" si="85"/>
        <v>-4545.454545454545</v>
      </c>
    </row>
    <row r="112" spans="1:17" x14ac:dyDescent="0.25">
      <c r="A112" s="114" t="s">
        <v>80</v>
      </c>
      <c r="B112" s="1">
        <v>85825</v>
      </c>
      <c r="C112" s="1">
        <v>579872.5</v>
      </c>
      <c r="D112" s="1">
        <v>108078.75</v>
      </c>
      <c r="E112" s="1">
        <v>961999.14</v>
      </c>
      <c r="F112" s="1">
        <v>349854.6</v>
      </c>
      <c r="G112" s="1">
        <v>1360150.98</v>
      </c>
      <c r="H112" s="58">
        <v>454175</v>
      </c>
      <c r="I112" s="58">
        <v>875445</v>
      </c>
      <c r="J112" s="1">
        <v>461025</v>
      </c>
      <c r="K112" s="1"/>
      <c r="L112" s="1"/>
      <c r="M112" s="1"/>
      <c r="N112" s="58">
        <f t="shared" si="114"/>
        <v>5236425.9700000007</v>
      </c>
      <c r="P112" s="1">
        <f t="shared" si="84"/>
        <v>476038.72454545461</v>
      </c>
      <c r="Q112" s="1">
        <f t="shared" si="85"/>
        <v>-476038.72454545461</v>
      </c>
    </row>
    <row r="113" spans="1:17" x14ac:dyDescent="0.25">
      <c r="A113" s="114" t="s">
        <v>81</v>
      </c>
      <c r="B113" s="1">
        <v>26781.78</v>
      </c>
      <c r="C113" s="1">
        <v>27848.98</v>
      </c>
      <c r="D113" s="1">
        <v>17975.66</v>
      </c>
      <c r="E113" s="1">
        <v>19219.95</v>
      </c>
      <c r="F113" s="1">
        <v>22546.73</v>
      </c>
      <c r="G113" s="1">
        <v>22323.95</v>
      </c>
      <c r="H113" s="58">
        <v>27263.29</v>
      </c>
      <c r="I113" s="58">
        <v>23494.07</v>
      </c>
      <c r="J113" s="1">
        <v>23850.720000000001</v>
      </c>
      <c r="K113" s="1"/>
      <c r="L113" s="1"/>
      <c r="M113" s="1"/>
      <c r="N113" s="58">
        <f t="shared" si="114"/>
        <v>211305.13</v>
      </c>
      <c r="P113" s="1">
        <f t="shared" si="84"/>
        <v>19209.557272727274</v>
      </c>
      <c r="Q113" s="1">
        <f t="shared" si="85"/>
        <v>-19209.557272727274</v>
      </c>
    </row>
    <row r="114" spans="1:17" x14ac:dyDescent="0.25">
      <c r="A114" s="114" t="s">
        <v>82</v>
      </c>
      <c r="B114" s="1">
        <v>5348.08</v>
      </c>
      <c r="C114" s="1">
        <v>3319.45</v>
      </c>
      <c r="D114" s="1">
        <v>4134.66</v>
      </c>
      <c r="E114" s="1">
        <v>2672.3</v>
      </c>
      <c r="F114" s="1">
        <v>3055.3</v>
      </c>
      <c r="G114" s="1">
        <v>3045.54</v>
      </c>
      <c r="H114" s="58">
        <v>4022.15</v>
      </c>
      <c r="I114" s="58">
        <v>6517.32</v>
      </c>
      <c r="J114" s="1">
        <v>4329.42</v>
      </c>
      <c r="K114" s="1"/>
      <c r="L114" s="1"/>
      <c r="M114" s="1"/>
      <c r="N114" s="58">
        <f t="shared" si="114"/>
        <v>36444.22</v>
      </c>
      <c r="P114" s="1">
        <f t="shared" si="84"/>
        <v>3313.110909090909</v>
      </c>
      <c r="Q114" s="1">
        <f t="shared" si="85"/>
        <v>-3313.110909090909</v>
      </c>
    </row>
    <row r="115" spans="1:17" x14ac:dyDescent="0.25">
      <c r="A115" s="114" t="s">
        <v>83</v>
      </c>
      <c r="B115" s="1">
        <v>11966.67</v>
      </c>
      <c r="C115" s="1">
        <v>6875.97</v>
      </c>
      <c r="D115" s="1">
        <v>42473.86</v>
      </c>
      <c r="E115" s="1">
        <v>8332.3799999999992</v>
      </c>
      <c r="F115" s="1">
        <v>47717.82</v>
      </c>
      <c r="G115" s="1">
        <v>14103.21</v>
      </c>
      <c r="H115" s="58">
        <v>64030.9</v>
      </c>
      <c r="I115" s="58">
        <v>12097.62</v>
      </c>
      <c r="J115" s="1">
        <v>52150.96</v>
      </c>
      <c r="K115" s="1"/>
      <c r="L115" s="1"/>
      <c r="M115" s="1"/>
      <c r="N115" s="58">
        <f t="shared" si="114"/>
        <v>259749.38999999998</v>
      </c>
      <c r="P115" s="1">
        <f t="shared" si="84"/>
        <v>23613.580909090906</v>
      </c>
      <c r="Q115" s="1">
        <f t="shared" si="85"/>
        <v>-23613.580909090906</v>
      </c>
    </row>
    <row r="116" spans="1:17" x14ac:dyDescent="0.25">
      <c r="A116" s="114" t="s">
        <v>84</v>
      </c>
      <c r="B116" s="1">
        <v>-181274.6</v>
      </c>
      <c r="C116" s="1">
        <v>-14353247.48</v>
      </c>
      <c r="D116" s="1">
        <v>-865145</v>
      </c>
      <c r="E116" s="1">
        <v>-191768.9</v>
      </c>
      <c r="F116" s="1">
        <v>0</v>
      </c>
      <c r="G116" s="1">
        <v>-4824560.62</v>
      </c>
      <c r="H116" s="58">
        <v>-481109.16</v>
      </c>
      <c r="I116" s="58">
        <v>-1464419.23</v>
      </c>
      <c r="J116" s="1">
        <v>-3207158.47</v>
      </c>
      <c r="K116" s="1"/>
      <c r="L116" s="1"/>
      <c r="M116" s="1"/>
      <c r="N116" s="58">
        <f t="shared" si="114"/>
        <v>-25568683.460000001</v>
      </c>
      <c r="P116" s="1">
        <f t="shared" si="84"/>
        <v>-2324425.769090909</v>
      </c>
      <c r="Q116" s="1">
        <f t="shared" si="85"/>
        <v>2324425.769090909</v>
      </c>
    </row>
    <row r="117" spans="1:17" x14ac:dyDescent="0.25">
      <c r="A117" s="114" t="s">
        <v>85</v>
      </c>
      <c r="B117" s="1">
        <v>-49890630.729999997</v>
      </c>
      <c r="C117" s="1">
        <v>-60452389.869999997</v>
      </c>
      <c r="D117" s="1">
        <v>-214404.86</v>
      </c>
      <c r="E117" s="1">
        <v>0</v>
      </c>
      <c r="F117" s="1">
        <v>-57992.4</v>
      </c>
      <c r="G117" s="1">
        <v>-225137.37</v>
      </c>
      <c r="H117" s="58">
        <v>-521496.35</v>
      </c>
      <c r="I117" s="58">
        <v>-10192938.970000001</v>
      </c>
      <c r="J117" s="1">
        <v>-826272.24</v>
      </c>
      <c r="K117" s="1"/>
      <c r="L117" s="1"/>
      <c r="M117" s="1"/>
      <c r="N117" s="58">
        <f t="shared" si="114"/>
        <v>-122381262.78999999</v>
      </c>
      <c r="P117" s="1">
        <f t="shared" si="84"/>
        <v>-11125569.344545454</v>
      </c>
      <c r="Q117" s="1">
        <f t="shared" si="85"/>
        <v>11125569.344545454</v>
      </c>
    </row>
    <row r="118" spans="1:17" x14ac:dyDescent="0.25">
      <c r="A118" s="114" t="s">
        <v>86</v>
      </c>
      <c r="B118" s="1">
        <v>-13395</v>
      </c>
      <c r="C118" s="1">
        <v>-13570</v>
      </c>
      <c r="D118" s="1">
        <v>0</v>
      </c>
      <c r="E118" s="1">
        <v>0</v>
      </c>
      <c r="F118" s="1">
        <v>0</v>
      </c>
      <c r="G118" s="1">
        <v>0</v>
      </c>
      <c r="H118" s="58">
        <v>0</v>
      </c>
      <c r="I118" s="58">
        <v>-8300</v>
      </c>
      <c r="J118" s="1">
        <v>0</v>
      </c>
      <c r="K118" s="1"/>
      <c r="L118" s="1"/>
      <c r="M118" s="1"/>
      <c r="N118" s="58">
        <f t="shared" si="114"/>
        <v>-35265</v>
      </c>
      <c r="P118" s="1">
        <f t="shared" si="84"/>
        <v>-3205.909090909091</v>
      </c>
      <c r="Q118" s="1">
        <f t="shared" si="85"/>
        <v>3205.909090909091</v>
      </c>
    </row>
    <row r="119" spans="1:17" x14ac:dyDescent="0.25">
      <c r="A119" s="114" t="s">
        <v>87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-59280</v>
      </c>
      <c r="H119" s="58">
        <v>0</v>
      </c>
      <c r="I119" s="58">
        <v>0</v>
      </c>
      <c r="J119" s="1">
        <v>0</v>
      </c>
      <c r="K119" s="1"/>
      <c r="L119" s="1"/>
      <c r="M119" s="1"/>
      <c r="N119" s="58">
        <f t="shared" si="114"/>
        <v>-59280</v>
      </c>
      <c r="P119" s="1">
        <f t="shared" si="84"/>
        <v>-5389.090909090909</v>
      </c>
      <c r="Q119" s="1">
        <f t="shared" si="85"/>
        <v>5389.090909090909</v>
      </c>
    </row>
    <row r="120" spans="1:17" x14ac:dyDescent="0.25">
      <c r="A120" s="114" t="s">
        <v>88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58">
        <v>0</v>
      </c>
      <c r="I120" s="58">
        <v>0</v>
      </c>
      <c r="J120" s="1">
        <v>0</v>
      </c>
      <c r="K120" s="1"/>
      <c r="L120" s="1"/>
      <c r="M120" s="1"/>
      <c r="N120" s="58">
        <f t="shared" si="114"/>
        <v>0</v>
      </c>
      <c r="P120" s="1">
        <f t="shared" si="84"/>
        <v>0</v>
      </c>
      <c r="Q120" s="1">
        <f t="shared" si="85"/>
        <v>0</v>
      </c>
    </row>
    <row r="121" spans="1:17" x14ac:dyDescent="0.25">
      <c r="A121" s="114" t="s">
        <v>89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58">
        <v>0</v>
      </c>
      <c r="I121" s="58">
        <v>-85</v>
      </c>
      <c r="J121" s="1">
        <v>0</v>
      </c>
      <c r="K121" s="1"/>
      <c r="L121" s="1"/>
      <c r="M121" s="1"/>
      <c r="N121" s="58">
        <f t="shared" si="114"/>
        <v>-85</v>
      </c>
      <c r="P121" s="1">
        <f t="shared" si="84"/>
        <v>-7.7272727272727275</v>
      </c>
      <c r="Q121" s="1">
        <f t="shared" si="85"/>
        <v>7.7272727272727275</v>
      </c>
    </row>
    <row r="122" spans="1:17" x14ac:dyDescent="0.25">
      <c r="A122" s="114" t="s">
        <v>90</v>
      </c>
      <c r="B122" s="1">
        <v>0</v>
      </c>
      <c r="C122" s="1">
        <v>0</v>
      </c>
      <c r="D122" s="1">
        <v>0</v>
      </c>
      <c r="E122" s="1">
        <v>-58450</v>
      </c>
      <c r="F122" s="1">
        <v>-38855</v>
      </c>
      <c r="G122" s="1">
        <v>-113930</v>
      </c>
      <c r="H122" s="58">
        <v>0</v>
      </c>
      <c r="I122" s="58">
        <v>0</v>
      </c>
      <c r="J122" s="1">
        <v>-2460</v>
      </c>
      <c r="K122" s="1"/>
      <c r="L122" s="1"/>
      <c r="M122" s="1"/>
      <c r="N122" s="58">
        <f t="shared" si="114"/>
        <v>-213695</v>
      </c>
      <c r="P122" s="1">
        <f t="shared" si="84"/>
        <v>-19426.81818181818</v>
      </c>
      <c r="Q122" s="1">
        <f t="shared" si="85"/>
        <v>19426.81818181818</v>
      </c>
    </row>
    <row r="123" spans="1:17" x14ac:dyDescent="0.25">
      <c r="A123" s="114" t="s">
        <v>91</v>
      </c>
      <c r="B123" s="1">
        <v>0</v>
      </c>
      <c r="C123" s="1">
        <v>0</v>
      </c>
      <c r="D123" s="1">
        <v>0</v>
      </c>
      <c r="E123" s="1">
        <v>279000</v>
      </c>
      <c r="F123" s="1">
        <v>0</v>
      </c>
      <c r="G123" s="1">
        <v>1845</v>
      </c>
      <c r="H123" s="58">
        <v>1346.78</v>
      </c>
      <c r="I123" s="58">
        <v>132.93</v>
      </c>
      <c r="J123" s="1">
        <v>3076.12</v>
      </c>
      <c r="K123" s="1"/>
      <c r="L123" s="1"/>
      <c r="M123" s="1"/>
      <c r="N123" s="58">
        <f t="shared" si="114"/>
        <v>285400.83</v>
      </c>
      <c r="P123" s="1"/>
      <c r="Q123" s="1"/>
    </row>
    <row r="124" spans="1:17" s="162" customFormat="1" x14ac:dyDescent="0.25">
      <c r="A124" s="160" t="s">
        <v>457</v>
      </c>
      <c r="B124" s="58">
        <v>0</v>
      </c>
      <c r="C124" s="58">
        <v>0</v>
      </c>
      <c r="D124" s="58">
        <v>0</v>
      </c>
      <c r="E124" s="161">
        <v>0</v>
      </c>
      <c r="F124" s="58">
        <v>0</v>
      </c>
      <c r="G124" s="58">
        <v>0</v>
      </c>
      <c r="H124" s="58">
        <v>0</v>
      </c>
      <c r="I124" s="58">
        <v>3720</v>
      </c>
      <c r="J124" s="58">
        <v>3720</v>
      </c>
      <c r="K124" s="58"/>
      <c r="L124" s="58"/>
      <c r="M124" s="58"/>
      <c r="N124" s="58">
        <f t="shared" si="114"/>
        <v>7440</v>
      </c>
      <c r="O124" s="58"/>
      <c r="P124" s="58"/>
    </row>
    <row r="125" spans="1:17" x14ac:dyDescent="0.25">
      <c r="A125" s="114" t="s">
        <v>92</v>
      </c>
      <c r="B125" s="1">
        <v>0</v>
      </c>
      <c r="C125" s="1">
        <v>0</v>
      </c>
      <c r="D125" s="1">
        <v>0</v>
      </c>
      <c r="E125" s="1">
        <v>13312.5</v>
      </c>
      <c r="F125" s="1">
        <v>0</v>
      </c>
      <c r="G125" s="1">
        <v>0</v>
      </c>
      <c r="H125" s="58">
        <v>160130</v>
      </c>
      <c r="I125" s="58">
        <v>231818.9</v>
      </c>
      <c r="J125" s="1">
        <v>2021243.69</v>
      </c>
      <c r="K125" s="1"/>
      <c r="L125" s="1"/>
      <c r="M125" s="1"/>
      <c r="N125" s="58">
        <f t="shared" si="114"/>
        <v>2426505.09</v>
      </c>
      <c r="P125" s="1"/>
      <c r="Q125" s="1"/>
    </row>
    <row r="126" spans="1:17" s="162" customFormat="1" x14ac:dyDescent="0.25">
      <c r="A126" s="160" t="s">
        <v>458</v>
      </c>
      <c r="B126" s="58">
        <v>0</v>
      </c>
      <c r="C126" s="58">
        <v>0</v>
      </c>
      <c r="D126" s="58">
        <v>0</v>
      </c>
      <c r="E126" s="161">
        <v>0</v>
      </c>
      <c r="F126" s="58">
        <v>0</v>
      </c>
      <c r="G126" s="58">
        <v>0</v>
      </c>
      <c r="H126" s="58">
        <v>0</v>
      </c>
      <c r="I126" s="58">
        <v>-96720</v>
      </c>
      <c r="J126" s="58">
        <v>0</v>
      </c>
      <c r="K126" s="58"/>
      <c r="L126" s="58"/>
      <c r="M126" s="58"/>
      <c r="N126" s="58">
        <f t="shared" si="114"/>
        <v>-96720</v>
      </c>
      <c r="O126" s="58"/>
      <c r="P126" s="58"/>
    </row>
    <row r="127" spans="1:17" s="38" customFormat="1" ht="15.75" thickBot="1" x14ac:dyDescent="0.3">
      <c r="A127" s="124" t="s">
        <v>93</v>
      </c>
      <c r="B127" s="39">
        <f>SUM(B104:B125)</f>
        <v>585390331.26999998</v>
      </c>
      <c r="C127" s="39">
        <f t="shared" ref="C127:M127" si="115">SUM(C104:C125)</f>
        <v>1326689266.1400003</v>
      </c>
      <c r="D127" s="39">
        <f t="shared" si="115"/>
        <v>408656079.10000008</v>
      </c>
      <c r="E127" s="39">
        <f t="shared" si="115"/>
        <v>144970183.93999997</v>
      </c>
      <c r="F127" s="39">
        <f t="shared" si="115"/>
        <v>212486331.58999997</v>
      </c>
      <c r="G127" s="39">
        <f>SUM(G104:G125)</f>
        <v>356304878.60000002</v>
      </c>
      <c r="H127" s="39">
        <f t="shared" ref="H127" si="116">SUM(H104:H125)</f>
        <v>291633650.12999988</v>
      </c>
      <c r="I127" s="39">
        <f>SUM(I104:I126)</f>
        <v>454424681.87999988</v>
      </c>
      <c r="J127" s="39">
        <f>SUM(J104:J126)</f>
        <v>336551715.46000004</v>
      </c>
      <c r="K127" s="39">
        <f t="shared" si="115"/>
        <v>0</v>
      </c>
      <c r="L127" s="39">
        <f t="shared" si="115"/>
        <v>0</v>
      </c>
      <c r="M127" s="39">
        <f t="shared" si="115"/>
        <v>0</v>
      </c>
      <c r="N127" s="39">
        <f>SUM(N104:N126)</f>
        <v>4117107118.1099997</v>
      </c>
      <c r="P127" s="39">
        <f t="shared" si="84"/>
        <v>374282465.28272724</v>
      </c>
      <c r="Q127" s="39">
        <f t="shared" si="85"/>
        <v>-374282465.28272724</v>
      </c>
    </row>
    <row r="128" spans="1:17" ht="15.75" thickTop="1" x14ac:dyDescent="0.25">
      <c r="C128" s="1"/>
      <c r="D128" s="1"/>
      <c r="E128" s="1"/>
      <c r="F128" s="1"/>
      <c r="G128" s="1"/>
      <c r="H128" s="58"/>
      <c r="I128" s="1"/>
      <c r="J128" s="1"/>
      <c r="K128" s="1"/>
      <c r="L128" s="1"/>
      <c r="M128" s="1"/>
      <c r="N128" s="1"/>
      <c r="P128" s="1">
        <f t="shared" si="84"/>
        <v>0</v>
      </c>
      <c r="Q128" s="1">
        <f t="shared" si="85"/>
        <v>0</v>
      </c>
    </row>
    <row r="129" spans="1:17" x14ac:dyDescent="0.25">
      <c r="A129" s="114" t="s">
        <v>94</v>
      </c>
      <c r="B129" s="1">
        <v>-3595.4</v>
      </c>
      <c r="C129" s="1">
        <v>-2471.31</v>
      </c>
      <c r="D129" s="5">
        <v>-4621.22</v>
      </c>
      <c r="E129" s="1">
        <v>-5799.91</v>
      </c>
      <c r="F129" s="1">
        <v>-1360.64</v>
      </c>
      <c r="G129" s="1">
        <v>-1536.21</v>
      </c>
      <c r="H129" s="58">
        <v>-2242.15</v>
      </c>
      <c r="I129" s="58">
        <v>-4335.7700000000004</v>
      </c>
      <c r="J129" s="1">
        <v>-2948.83</v>
      </c>
      <c r="K129" s="1"/>
      <c r="L129" s="1"/>
      <c r="M129" s="1"/>
      <c r="N129" s="1">
        <f t="shared" ref="N129:N165" si="117">SUM(B129:M129)</f>
        <v>-28911.440000000002</v>
      </c>
      <c r="P129" s="1">
        <f t="shared" si="84"/>
        <v>-2628.3127272727274</v>
      </c>
      <c r="Q129" s="1">
        <f t="shared" si="85"/>
        <v>2628.3127272727274</v>
      </c>
    </row>
    <row r="130" spans="1:17" x14ac:dyDescent="0.25">
      <c r="A130" s="114" t="s">
        <v>95</v>
      </c>
      <c r="B130" s="1">
        <v>0</v>
      </c>
      <c r="C130" s="1">
        <v>0</v>
      </c>
      <c r="D130" s="5">
        <v>0</v>
      </c>
      <c r="E130" s="1"/>
      <c r="F130" s="1">
        <v>0</v>
      </c>
      <c r="G130" s="1">
        <v>0</v>
      </c>
      <c r="H130" s="58">
        <v>0</v>
      </c>
      <c r="I130" s="58">
        <v>0</v>
      </c>
      <c r="J130" s="1">
        <v>0</v>
      </c>
      <c r="K130" s="1"/>
      <c r="L130" s="1"/>
      <c r="M130" s="1"/>
      <c r="N130" s="1">
        <f t="shared" si="117"/>
        <v>0</v>
      </c>
      <c r="P130" s="1">
        <f t="shared" si="84"/>
        <v>0</v>
      </c>
      <c r="Q130" s="1">
        <f t="shared" si="85"/>
        <v>0</v>
      </c>
    </row>
    <row r="131" spans="1:17" s="7" customFormat="1" x14ac:dyDescent="0.25">
      <c r="A131" s="114" t="s">
        <v>474</v>
      </c>
      <c r="B131" s="58"/>
      <c r="C131" s="58"/>
      <c r="D131" s="5"/>
      <c r="E131" s="58"/>
      <c r="F131" s="58"/>
      <c r="G131" s="58"/>
      <c r="H131" s="58"/>
      <c r="I131" s="58"/>
      <c r="J131" s="58">
        <v>15588272.5</v>
      </c>
      <c r="K131" s="58"/>
      <c r="L131" s="58"/>
      <c r="M131" s="58"/>
      <c r="N131" s="58">
        <f t="shared" si="117"/>
        <v>15588272.5</v>
      </c>
      <c r="P131" s="58"/>
      <c r="Q131" s="58"/>
    </row>
    <row r="132" spans="1:17" s="7" customFormat="1" x14ac:dyDescent="0.25">
      <c r="A132" s="114" t="s">
        <v>475</v>
      </c>
      <c r="B132" s="58"/>
      <c r="C132" s="58"/>
      <c r="D132" s="5"/>
      <c r="E132" s="58"/>
      <c r="F132" s="58"/>
      <c r="G132" s="58"/>
      <c r="H132" s="58"/>
      <c r="I132" s="58"/>
      <c r="J132" s="58">
        <v>-6396769.0099999998</v>
      </c>
      <c r="K132" s="58"/>
      <c r="L132" s="58"/>
      <c r="M132" s="58"/>
      <c r="N132" s="58">
        <f t="shared" si="117"/>
        <v>-6396769.0099999998</v>
      </c>
      <c r="P132" s="58"/>
      <c r="Q132" s="58"/>
    </row>
    <row r="133" spans="1:17" s="7" customFormat="1" x14ac:dyDescent="0.25">
      <c r="A133" s="114" t="s">
        <v>476</v>
      </c>
      <c r="B133" s="58"/>
      <c r="C133" s="58"/>
      <c r="D133" s="5"/>
      <c r="E133" s="58"/>
      <c r="F133" s="58"/>
      <c r="G133" s="58"/>
      <c r="H133" s="58"/>
      <c r="I133" s="58"/>
      <c r="J133" s="58">
        <v>-689871.66</v>
      </c>
      <c r="K133" s="58"/>
      <c r="L133" s="58"/>
      <c r="M133" s="58"/>
      <c r="N133" s="58">
        <f t="shared" si="117"/>
        <v>-689871.66</v>
      </c>
      <c r="P133" s="58"/>
      <c r="Q133" s="58"/>
    </row>
    <row r="134" spans="1:17" s="7" customFormat="1" x14ac:dyDescent="0.25">
      <c r="A134" s="114" t="s">
        <v>477</v>
      </c>
      <c r="B134" s="58"/>
      <c r="C134" s="58"/>
      <c r="D134" s="5"/>
      <c r="E134" s="58"/>
      <c r="F134" s="58"/>
      <c r="G134" s="58"/>
      <c r="H134" s="58"/>
      <c r="I134" s="58"/>
      <c r="J134" s="58">
        <v>-374194.7</v>
      </c>
      <c r="K134" s="58"/>
      <c r="L134" s="58"/>
      <c r="M134" s="58"/>
      <c r="N134" s="58">
        <f t="shared" si="117"/>
        <v>-374194.7</v>
      </c>
      <c r="P134" s="58"/>
      <c r="Q134" s="58"/>
    </row>
    <row r="135" spans="1:17" s="7" customFormat="1" x14ac:dyDescent="0.25">
      <c r="A135" s="114" t="s">
        <v>478</v>
      </c>
      <c r="B135" s="58"/>
      <c r="C135" s="58"/>
      <c r="D135" s="5"/>
      <c r="E135" s="58"/>
      <c r="F135" s="58"/>
      <c r="G135" s="58"/>
      <c r="H135" s="58"/>
      <c r="I135" s="58"/>
      <c r="J135" s="58">
        <v>-38467.15</v>
      </c>
      <c r="K135" s="58"/>
      <c r="L135" s="58"/>
      <c r="M135" s="58"/>
      <c r="N135" s="58">
        <f t="shared" si="117"/>
        <v>-38467.15</v>
      </c>
      <c r="P135" s="58"/>
      <c r="Q135" s="58"/>
    </row>
    <row r="136" spans="1:17" x14ac:dyDescent="0.25">
      <c r="A136" s="114" t="s">
        <v>96</v>
      </c>
      <c r="B136" s="1">
        <v>155441266.31</v>
      </c>
      <c r="C136" s="1">
        <v>109044152.26000001</v>
      </c>
      <c r="D136" s="5">
        <v>100539266.20999999</v>
      </c>
      <c r="E136" s="1">
        <v>91915243.909999996</v>
      </c>
      <c r="F136" s="1">
        <v>94245288.590000004</v>
      </c>
      <c r="G136" s="1">
        <v>92942665.650000006</v>
      </c>
      <c r="H136" s="58">
        <v>124203449.56999999</v>
      </c>
      <c r="I136" s="58">
        <v>128282249.83</v>
      </c>
      <c r="J136" s="1">
        <v>93706532.980000004</v>
      </c>
      <c r="K136" s="1"/>
      <c r="L136" s="1"/>
      <c r="M136" s="1"/>
      <c r="N136" s="1">
        <f t="shared" si="117"/>
        <v>990320115.31000006</v>
      </c>
      <c r="P136" s="1">
        <f t="shared" si="84"/>
        <v>90029101.391818181</v>
      </c>
      <c r="Q136" s="1">
        <f t="shared" si="85"/>
        <v>-90029101.391818181</v>
      </c>
    </row>
    <row r="137" spans="1:17" x14ac:dyDescent="0.25">
      <c r="A137" s="114" t="s">
        <v>97</v>
      </c>
      <c r="B137" s="1">
        <v>422458884.52999997</v>
      </c>
      <c r="C137" s="1">
        <v>1215702481.6500001</v>
      </c>
      <c r="D137" s="5">
        <v>305866481.80000001</v>
      </c>
      <c r="E137" s="1">
        <v>46984540.060000002</v>
      </c>
      <c r="F137" s="1">
        <v>116527400.42</v>
      </c>
      <c r="G137" s="1">
        <v>262829543.78999999</v>
      </c>
      <c r="H137" s="58">
        <v>170093292.22</v>
      </c>
      <c r="I137" s="58">
        <v>328155648.12</v>
      </c>
      <c r="J137" s="1">
        <v>244306582.47999999</v>
      </c>
      <c r="K137" s="1"/>
      <c r="L137" s="1"/>
      <c r="M137" s="1"/>
      <c r="N137" s="1">
        <f t="shared" si="117"/>
        <v>3112924855.0699997</v>
      </c>
      <c r="P137" s="1">
        <f t="shared" si="84"/>
        <v>282993168.64272726</v>
      </c>
      <c r="Q137" s="1">
        <f t="shared" si="85"/>
        <v>-282993168.64272726</v>
      </c>
    </row>
    <row r="138" spans="1:17" x14ac:dyDescent="0.25">
      <c r="A138" s="114" t="s">
        <v>98</v>
      </c>
      <c r="B138" s="1">
        <v>2776246.68</v>
      </c>
      <c r="C138" s="1">
        <v>2484320.38</v>
      </c>
      <c r="D138" s="5">
        <v>617771.9</v>
      </c>
      <c r="E138" s="1">
        <v>1936970.97</v>
      </c>
      <c r="F138" s="1">
        <v>2008716.84</v>
      </c>
      <c r="G138" s="1">
        <v>489895.91</v>
      </c>
      <c r="H138" s="58">
        <v>1072423.6100000001</v>
      </c>
      <c r="I138" s="58">
        <v>1487745.77</v>
      </c>
      <c r="J138" s="1">
        <v>330283.58</v>
      </c>
      <c r="K138" s="1"/>
      <c r="L138" s="1"/>
      <c r="M138" s="1"/>
      <c r="N138" s="1">
        <f t="shared" si="117"/>
        <v>13204375.640000001</v>
      </c>
      <c r="P138" s="1">
        <f t="shared" si="84"/>
        <v>1200397.7854545454</v>
      </c>
      <c r="Q138" s="1">
        <f t="shared" si="85"/>
        <v>-1200397.7854545454</v>
      </c>
    </row>
    <row r="139" spans="1:17" x14ac:dyDescent="0.25">
      <c r="A139" s="114" t="s">
        <v>99</v>
      </c>
      <c r="B139" s="1">
        <v>3078499.21</v>
      </c>
      <c r="C139" s="1">
        <v>1513901.47</v>
      </c>
      <c r="D139" s="5">
        <v>1441767.82</v>
      </c>
      <c r="E139" s="1">
        <v>2113636.39</v>
      </c>
      <c r="F139" s="1">
        <v>844764.25</v>
      </c>
      <c r="G139" s="1">
        <v>760350.9</v>
      </c>
      <c r="H139" s="58">
        <v>520958.08</v>
      </c>
      <c r="I139" s="58">
        <v>746076.51</v>
      </c>
      <c r="J139" s="1">
        <v>593567</v>
      </c>
      <c r="K139" s="1"/>
      <c r="L139" s="1"/>
      <c r="M139" s="1"/>
      <c r="N139" s="1">
        <f t="shared" si="117"/>
        <v>11613521.630000001</v>
      </c>
      <c r="P139" s="1">
        <f t="shared" si="84"/>
        <v>1055774.6936363636</v>
      </c>
      <c r="Q139" s="1">
        <f t="shared" si="85"/>
        <v>-1055774.6936363636</v>
      </c>
    </row>
    <row r="140" spans="1:17" x14ac:dyDescent="0.25">
      <c r="A140" s="114" t="s">
        <v>100</v>
      </c>
      <c r="B140" s="1">
        <v>0</v>
      </c>
      <c r="C140" s="1">
        <v>0</v>
      </c>
      <c r="D140" s="5">
        <v>0</v>
      </c>
      <c r="E140" s="1">
        <v>0</v>
      </c>
      <c r="F140" s="1">
        <v>72</v>
      </c>
      <c r="G140" s="1">
        <v>0</v>
      </c>
      <c r="H140" s="58">
        <v>72</v>
      </c>
      <c r="I140" s="58">
        <v>198</v>
      </c>
      <c r="J140" s="1">
        <v>396</v>
      </c>
      <c r="K140" s="1"/>
      <c r="L140" s="1"/>
      <c r="M140" s="1"/>
      <c r="N140" s="1">
        <f t="shared" si="117"/>
        <v>738</v>
      </c>
      <c r="P140" s="1">
        <f t="shared" si="84"/>
        <v>67.090909090909093</v>
      </c>
      <c r="Q140" s="1">
        <f t="shared" si="85"/>
        <v>-67.090909090909093</v>
      </c>
    </row>
    <row r="141" spans="1:17" x14ac:dyDescent="0.25">
      <c r="A141" s="114" t="s">
        <v>101</v>
      </c>
      <c r="B141" s="1">
        <v>47744.73</v>
      </c>
      <c r="C141" s="1">
        <v>40318.61</v>
      </c>
      <c r="D141" s="5">
        <v>53566.29</v>
      </c>
      <c r="E141" s="1">
        <v>-3427.84</v>
      </c>
      <c r="F141" s="1">
        <v>5808.03</v>
      </c>
      <c r="G141" s="1">
        <v>11225.63</v>
      </c>
      <c r="H141" s="58">
        <v>11757.35</v>
      </c>
      <c r="I141" s="58">
        <v>2887.52</v>
      </c>
      <c r="J141" s="1">
        <v>5270.91</v>
      </c>
      <c r="K141" s="1"/>
      <c r="L141" s="1"/>
      <c r="M141" s="1"/>
      <c r="N141" s="1">
        <f t="shared" si="117"/>
        <v>175151.23</v>
      </c>
      <c r="P141" s="1">
        <f t="shared" si="84"/>
        <v>15922.839090909092</v>
      </c>
      <c r="Q141" s="1">
        <f t="shared" si="85"/>
        <v>-15922.839090909092</v>
      </c>
    </row>
    <row r="142" spans="1:17" x14ac:dyDescent="0.25">
      <c r="A142" s="114" t="s">
        <v>102</v>
      </c>
      <c r="B142" s="1">
        <v>82580.429999999993</v>
      </c>
      <c r="C142" s="1">
        <v>556415.63</v>
      </c>
      <c r="D142" s="5">
        <v>104546.19</v>
      </c>
      <c r="E142" s="1">
        <v>891459.31</v>
      </c>
      <c r="F142" s="1">
        <v>309417.95</v>
      </c>
      <c r="G142" s="1">
        <v>1066421.99</v>
      </c>
      <c r="H142" s="58">
        <v>438557.16</v>
      </c>
      <c r="I142" s="58">
        <v>839710.44</v>
      </c>
      <c r="J142" s="1">
        <v>439830.71</v>
      </c>
      <c r="K142" s="1"/>
      <c r="L142" s="1"/>
      <c r="M142" s="1"/>
      <c r="N142" s="1">
        <f t="shared" si="117"/>
        <v>4728939.8099999996</v>
      </c>
      <c r="P142" s="1">
        <f t="shared" si="84"/>
        <v>429903.61909090908</v>
      </c>
      <c r="Q142" s="1">
        <f t="shared" si="85"/>
        <v>-429903.61909090908</v>
      </c>
    </row>
    <row r="143" spans="1:17" x14ac:dyDescent="0.25">
      <c r="A143" s="114" t="s">
        <v>103</v>
      </c>
      <c r="B143" s="1">
        <v>162526.82</v>
      </c>
      <c r="C143" s="1">
        <v>186551.2</v>
      </c>
      <c r="D143" s="5">
        <f>120971.26+500</f>
        <v>121471.26</v>
      </c>
      <c r="E143" s="1">
        <v>104538.95</v>
      </c>
      <c r="F143" s="1">
        <f>108837.33+3500</f>
        <v>112337.33</v>
      </c>
      <c r="G143" s="1">
        <v>58522.59</v>
      </c>
      <c r="H143" s="58">
        <v>142640.88</v>
      </c>
      <c r="I143" s="58">
        <v>302010.69</v>
      </c>
      <c r="J143" s="1">
        <v>148375.73000000001</v>
      </c>
      <c r="K143" s="1"/>
      <c r="L143" s="1"/>
      <c r="M143" s="1"/>
      <c r="N143" s="1">
        <f t="shared" si="117"/>
        <v>1338975.45</v>
      </c>
      <c r="P143" s="1">
        <f t="shared" ref="P143:P211" si="118">(N143-M143)/11</f>
        <v>121725.04090909091</v>
      </c>
      <c r="Q143" s="1">
        <f t="shared" ref="Q143:Q211" si="119">M143-P143</f>
        <v>-121725.04090909091</v>
      </c>
    </row>
    <row r="144" spans="1:17" x14ac:dyDescent="0.25">
      <c r="A144" s="114" t="s">
        <v>104</v>
      </c>
      <c r="B144" s="1">
        <v>0</v>
      </c>
      <c r="C144" s="1">
        <v>0</v>
      </c>
      <c r="D144" s="5">
        <v>0</v>
      </c>
      <c r="E144" s="1">
        <v>0</v>
      </c>
      <c r="F144" s="1">
        <v>0</v>
      </c>
      <c r="G144" s="1">
        <v>0</v>
      </c>
      <c r="H144" s="58">
        <v>0</v>
      </c>
      <c r="I144" s="58">
        <v>0</v>
      </c>
      <c r="J144" s="1">
        <v>0</v>
      </c>
      <c r="K144" s="1"/>
      <c r="L144" s="1"/>
      <c r="M144" s="1"/>
      <c r="N144" s="1">
        <f t="shared" si="117"/>
        <v>0</v>
      </c>
      <c r="P144" s="1">
        <f t="shared" si="118"/>
        <v>0</v>
      </c>
      <c r="Q144" s="1">
        <f t="shared" si="119"/>
        <v>0</v>
      </c>
    </row>
    <row r="145" spans="1:17" x14ac:dyDescent="0.25">
      <c r="A145" s="114" t="s">
        <v>105</v>
      </c>
      <c r="B145" s="1">
        <v>0</v>
      </c>
      <c r="C145" s="1">
        <v>0</v>
      </c>
      <c r="D145" s="5">
        <v>0</v>
      </c>
      <c r="E145" s="1">
        <v>0</v>
      </c>
      <c r="F145" s="1">
        <v>0</v>
      </c>
      <c r="G145" s="1">
        <v>0</v>
      </c>
      <c r="H145" s="58">
        <v>0</v>
      </c>
      <c r="I145" s="58">
        <v>0</v>
      </c>
      <c r="J145" s="1">
        <v>0</v>
      </c>
      <c r="K145" s="1"/>
      <c r="L145" s="1"/>
      <c r="M145" s="1"/>
      <c r="N145" s="1">
        <f t="shared" si="117"/>
        <v>0</v>
      </c>
      <c r="P145" s="1">
        <f t="shared" si="118"/>
        <v>0</v>
      </c>
      <c r="Q145" s="1">
        <f t="shared" si="119"/>
        <v>0</v>
      </c>
    </row>
    <row r="146" spans="1:17" x14ac:dyDescent="0.25">
      <c r="A146" s="114" t="s">
        <v>106</v>
      </c>
      <c r="B146" s="1">
        <v>9335.48</v>
      </c>
      <c r="C146" s="1">
        <v>703.97</v>
      </c>
      <c r="D146" s="5">
        <v>6224.3</v>
      </c>
      <c r="E146" s="1">
        <v>4346.05</v>
      </c>
      <c r="F146" s="1">
        <v>1861.52</v>
      </c>
      <c r="G146" s="1">
        <v>2668.53</v>
      </c>
      <c r="H146" s="58">
        <v>8773.1200000000008</v>
      </c>
      <c r="I146" s="58">
        <v>2512.61</v>
      </c>
      <c r="J146" s="1">
        <v>4656.17</v>
      </c>
      <c r="K146" s="1"/>
      <c r="L146" s="1"/>
      <c r="M146" s="1"/>
      <c r="N146" s="1">
        <f t="shared" si="117"/>
        <v>41081.75</v>
      </c>
      <c r="P146" s="1">
        <f t="shared" si="118"/>
        <v>3734.7045454545455</v>
      </c>
      <c r="Q146" s="1">
        <f t="shared" si="119"/>
        <v>-3734.7045454545455</v>
      </c>
    </row>
    <row r="147" spans="1:17" x14ac:dyDescent="0.25">
      <c r="A147" s="114" t="s">
        <v>107</v>
      </c>
      <c r="B147" s="1">
        <v>0</v>
      </c>
      <c r="C147" s="1">
        <v>1250</v>
      </c>
      <c r="D147" s="5">
        <v>0</v>
      </c>
      <c r="E147" s="1">
        <v>0</v>
      </c>
      <c r="F147" s="1">
        <v>0</v>
      </c>
      <c r="G147" s="1">
        <v>0</v>
      </c>
      <c r="H147" s="58">
        <v>0</v>
      </c>
      <c r="I147" s="58">
        <v>0</v>
      </c>
      <c r="J147" s="1">
        <v>0</v>
      </c>
      <c r="K147" s="1"/>
      <c r="L147" s="1"/>
      <c r="M147" s="1"/>
      <c r="N147" s="1">
        <f t="shared" si="117"/>
        <v>1250</v>
      </c>
      <c r="P147" s="1">
        <f t="shared" si="118"/>
        <v>113.63636363636364</v>
      </c>
      <c r="Q147" s="1">
        <f t="shared" si="119"/>
        <v>-113.63636363636364</v>
      </c>
    </row>
    <row r="148" spans="1:17" x14ac:dyDescent="0.25">
      <c r="A148" s="114" t="s">
        <v>108</v>
      </c>
      <c r="B148" s="1">
        <v>93164865.799999997</v>
      </c>
      <c r="C148" s="1">
        <v>43694992.5</v>
      </c>
      <c r="D148" s="5">
        <v>49872500</v>
      </c>
      <c r="E148" s="1">
        <v>37423820</v>
      </c>
      <c r="F148" s="1">
        <v>33390470</v>
      </c>
      <c r="G148" s="1">
        <v>18213000</v>
      </c>
      <c r="H148" s="58">
        <v>40236590</v>
      </c>
      <c r="I148" s="58">
        <v>27854150</v>
      </c>
      <c r="J148" s="1">
        <v>13967680</v>
      </c>
      <c r="K148" s="1"/>
      <c r="L148" s="1"/>
      <c r="M148" s="1"/>
      <c r="N148" s="1">
        <f t="shared" si="117"/>
        <v>357818068.30000001</v>
      </c>
      <c r="P148" s="1">
        <f t="shared" si="118"/>
        <v>32528915.300000001</v>
      </c>
      <c r="Q148" s="1">
        <f t="shared" si="119"/>
        <v>-32528915.300000001</v>
      </c>
    </row>
    <row r="149" spans="1:17" x14ac:dyDescent="0.25">
      <c r="A149" s="114" t="s">
        <v>109</v>
      </c>
      <c r="B149" s="1">
        <v>39860269.659999996</v>
      </c>
      <c r="C149" s="1">
        <v>50039912.299999997</v>
      </c>
      <c r="D149" s="5">
        <v>119070965.51000001</v>
      </c>
      <c r="E149" s="1">
        <v>32569174</v>
      </c>
      <c r="F149" s="1">
        <v>104415723.54000001</v>
      </c>
      <c r="G149" s="1">
        <v>53384233</v>
      </c>
      <c r="H149" s="58">
        <v>102371087</v>
      </c>
      <c r="I149" s="58">
        <v>40532974</v>
      </c>
      <c r="J149" s="1">
        <v>73873420</v>
      </c>
      <c r="K149" s="1"/>
      <c r="L149" s="1"/>
      <c r="M149" s="1"/>
      <c r="N149" s="1">
        <f t="shared" si="117"/>
        <v>616117759.00999999</v>
      </c>
      <c r="P149" s="1">
        <f t="shared" si="118"/>
        <v>56010705.364545457</v>
      </c>
      <c r="Q149" s="1">
        <f t="shared" si="119"/>
        <v>-56010705.364545457</v>
      </c>
    </row>
    <row r="150" spans="1:17" x14ac:dyDescent="0.25">
      <c r="A150" s="114" t="s">
        <v>110</v>
      </c>
      <c r="B150" s="1">
        <v>0</v>
      </c>
      <c r="C150" s="1">
        <v>252635</v>
      </c>
      <c r="D150" s="5">
        <v>333245</v>
      </c>
      <c r="E150" s="1">
        <v>95125</v>
      </c>
      <c r="F150" s="1">
        <v>0</v>
      </c>
      <c r="G150" s="1">
        <v>45375</v>
      </c>
      <c r="H150" s="58">
        <v>0</v>
      </c>
      <c r="I150" s="58">
        <v>0</v>
      </c>
      <c r="J150" s="1">
        <v>0</v>
      </c>
      <c r="K150" s="1"/>
      <c r="L150" s="1"/>
      <c r="M150" s="1"/>
      <c r="N150" s="1">
        <f t="shared" si="117"/>
        <v>726380</v>
      </c>
      <c r="P150" s="1">
        <f t="shared" si="118"/>
        <v>66034.545454545456</v>
      </c>
      <c r="Q150" s="1">
        <f t="shared" si="119"/>
        <v>-66034.545454545456</v>
      </c>
    </row>
    <row r="151" spans="1:17" x14ac:dyDescent="0.25">
      <c r="A151" s="123" t="s">
        <v>111</v>
      </c>
      <c r="B151" s="1">
        <v>0</v>
      </c>
      <c r="C151" s="1">
        <v>0</v>
      </c>
      <c r="D151" s="5">
        <v>0</v>
      </c>
      <c r="E151" s="1">
        <v>0</v>
      </c>
      <c r="F151" s="1">
        <v>0</v>
      </c>
      <c r="G151" s="1">
        <v>0</v>
      </c>
      <c r="H151" s="58">
        <v>187220</v>
      </c>
      <c r="I151" s="58">
        <v>0</v>
      </c>
      <c r="J151" s="1">
        <v>0</v>
      </c>
      <c r="K151" s="1"/>
      <c r="L151" s="1"/>
      <c r="M151" s="1"/>
      <c r="N151" s="1">
        <f t="shared" si="117"/>
        <v>187220</v>
      </c>
      <c r="P151" s="1">
        <f t="shared" si="118"/>
        <v>17020</v>
      </c>
      <c r="Q151" s="1">
        <f t="shared" si="119"/>
        <v>-17020</v>
      </c>
    </row>
    <row r="152" spans="1:17" x14ac:dyDescent="0.25">
      <c r="A152" s="114" t="s">
        <v>112</v>
      </c>
      <c r="B152" s="1">
        <v>-250773118.75999999</v>
      </c>
      <c r="C152" s="1">
        <v>-106292010.51000001</v>
      </c>
      <c r="D152" s="5">
        <v>-199926459.47999999</v>
      </c>
      <c r="E152" s="1">
        <v>-102886856.97</v>
      </c>
      <c r="F152" s="1">
        <v>-60969608.149999999</v>
      </c>
      <c r="G152" s="1">
        <v>-168909239.22</v>
      </c>
      <c r="H152" s="58">
        <v>-211950197.00999999</v>
      </c>
      <c r="I152" s="58">
        <v>-284906461.36000001</v>
      </c>
      <c r="J152" s="1">
        <v>-412764522.29000002</v>
      </c>
      <c r="K152" s="1"/>
      <c r="L152" s="1"/>
      <c r="M152" s="1"/>
      <c r="N152" s="1">
        <f t="shared" si="117"/>
        <v>-1799378473.75</v>
      </c>
      <c r="P152" s="1">
        <f t="shared" si="118"/>
        <v>-163579861.25</v>
      </c>
      <c r="Q152" s="1">
        <f t="shared" si="119"/>
        <v>163579861.25</v>
      </c>
    </row>
    <row r="153" spans="1:17" x14ac:dyDescent="0.25">
      <c r="A153" s="114" t="s">
        <v>113</v>
      </c>
      <c r="B153" s="1">
        <v>-94616255.870000005</v>
      </c>
      <c r="C153" s="1">
        <v>-43709010</v>
      </c>
      <c r="D153" s="5">
        <v>-50522100</v>
      </c>
      <c r="E153" s="1">
        <v>-37084810</v>
      </c>
      <c r="F153" s="1">
        <v>-33297790</v>
      </c>
      <c r="G153" s="1">
        <v>-17687220</v>
      </c>
      <c r="H153" s="58">
        <v>-39772170</v>
      </c>
      <c r="I153" s="58">
        <v>-27463660</v>
      </c>
      <c r="J153" s="1">
        <v>-13825040</v>
      </c>
      <c r="K153" s="1"/>
      <c r="L153" s="1"/>
      <c r="M153" s="1"/>
      <c r="N153" s="1">
        <f t="shared" si="117"/>
        <v>-357978055.87</v>
      </c>
      <c r="P153" s="1">
        <f t="shared" si="118"/>
        <v>-32543459.624545455</v>
      </c>
      <c r="Q153" s="1">
        <f t="shared" si="119"/>
        <v>32543459.624545455</v>
      </c>
    </row>
    <row r="154" spans="1:17" x14ac:dyDescent="0.25">
      <c r="A154" s="114" t="s">
        <v>114</v>
      </c>
      <c r="B154" s="1">
        <v>-39572318.009999998</v>
      </c>
      <c r="C154" s="1">
        <v>-54501789.609999999</v>
      </c>
      <c r="D154" s="5">
        <v>-119003409.98</v>
      </c>
      <c r="E154" s="1">
        <v>-35983600</v>
      </c>
      <c r="F154" s="1">
        <v>-104443889</v>
      </c>
      <c r="G154" s="1">
        <v>-60159775</v>
      </c>
      <c r="H154" s="58">
        <v>-104982039</v>
      </c>
      <c r="I154" s="58">
        <v>-44639850</v>
      </c>
      <c r="J154" s="1">
        <v>-74748600</v>
      </c>
      <c r="K154" s="1"/>
      <c r="L154" s="1"/>
      <c r="M154" s="1"/>
      <c r="N154" s="1">
        <f t="shared" si="117"/>
        <v>-638035270.60000002</v>
      </c>
      <c r="P154" s="1">
        <f t="shared" si="118"/>
        <v>-58003206.418181822</v>
      </c>
      <c r="Q154" s="1">
        <f t="shared" si="119"/>
        <v>58003206.418181822</v>
      </c>
    </row>
    <row r="155" spans="1:17" x14ac:dyDescent="0.25">
      <c r="A155" s="114" t="s">
        <v>115</v>
      </c>
      <c r="B155" s="1">
        <v>0</v>
      </c>
      <c r="C155" s="1">
        <v>-248100</v>
      </c>
      <c r="D155" s="5">
        <v>-337135</v>
      </c>
      <c r="E155" s="1">
        <v>-95680</v>
      </c>
      <c r="F155" s="1">
        <v>0</v>
      </c>
      <c r="G155" s="1">
        <v>-43600</v>
      </c>
      <c r="H155" s="58">
        <v>0</v>
      </c>
      <c r="I155" s="58">
        <v>0</v>
      </c>
      <c r="J155" s="1">
        <v>0</v>
      </c>
      <c r="K155" s="1"/>
      <c r="L155" s="1"/>
      <c r="M155" s="1"/>
      <c r="N155" s="1">
        <f t="shared" si="117"/>
        <v>-724515</v>
      </c>
      <c r="P155" s="1">
        <f t="shared" si="118"/>
        <v>-65865</v>
      </c>
      <c r="Q155" s="1">
        <f t="shared" si="119"/>
        <v>65865</v>
      </c>
    </row>
    <row r="156" spans="1:17" x14ac:dyDescent="0.25">
      <c r="A156" s="123" t="s">
        <v>116</v>
      </c>
      <c r="B156" s="1">
        <v>0</v>
      </c>
      <c r="C156" s="1">
        <v>0</v>
      </c>
      <c r="D156" s="5">
        <v>0</v>
      </c>
      <c r="E156" s="1">
        <v>0</v>
      </c>
      <c r="F156" s="1">
        <v>0</v>
      </c>
      <c r="G156" s="1">
        <v>0</v>
      </c>
      <c r="H156" s="58">
        <v>-188100</v>
      </c>
      <c r="I156" s="58">
        <v>0</v>
      </c>
      <c r="J156" s="1">
        <v>0</v>
      </c>
      <c r="K156" s="1"/>
      <c r="L156" s="1"/>
      <c r="M156" s="1"/>
      <c r="N156" s="1">
        <f t="shared" si="117"/>
        <v>-188100</v>
      </c>
      <c r="P156" s="1">
        <f t="shared" si="118"/>
        <v>-17100</v>
      </c>
      <c r="Q156" s="1">
        <f t="shared" si="119"/>
        <v>17100</v>
      </c>
    </row>
    <row r="157" spans="1:17" x14ac:dyDescent="0.25">
      <c r="A157" s="114" t="s">
        <v>117</v>
      </c>
      <c r="B157" s="1">
        <v>246469534.72</v>
      </c>
      <c r="C157" s="1">
        <v>106061841.73</v>
      </c>
      <c r="D157" s="5">
        <v>199824413.44</v>
      </c>
      <c r="E157" s="1">
        <v>102901638.84999999</v>
      </c>
      <c r="F157" s="1">
        <v>61067887.670000002</v>
      </c>
      <c r="G157" s="1">
        <v>169335911.84</v>
      </c>
      <c r="H157" s="58">
        <v>212243315.12</v>
      </c>
      <c r="I157" s="58">
        <v>285234425.79000002</v>
      </c>
      <c r="J157" s="1">
        <v>413041926.32999998</v>
      </c>
      <c r="K157" s="1"/>
      <c r="L157" s="1"/>
      <c r="M157" s="1"/>
      <c r="N157" s="1">
        <f t="shared" si="117"/>
        <v>1796180895.4899998</v>
      </c>
      <c r="P157" s="1">
        <f t="shared" si="118"/>
        <v>163289172.31727269</v>
      </c>
      <c r="Q157" s="1">
        <f t="shared" si="119"/>
        <v>-163289172.31727269</v>
      </c>
    </row>
    <row r="158" spans="1:17" x14ac:dyDescent="0.25">
      <c r="A158" s="114" t="s">
        <v>118</v>
      </c>
      <c r="B158" s="1">
        <v>57035597.560000002</v>
      </c>
      <c r="C158" s="1">
        <v>15207183.189999999</v>
      </c>
      <c r="D158" s="5">
        <v>56539241.420000002</v>
      </c>
      <c r="E158" s="1">
        <v>530220449.82999998</v>
      </c>
      <c r="F158" s="1">
        <v>504763748.92000002</v>
      </c>
      <c r="G158" s="1">
        <v>868361816.95000005</v>
      </c>
      <c r="H158" s="58">
        <v>303826130.91000003</v>
      </c>
      <c r="I158" s="58">
        <v>310975719.51999998</v>
      </c>
      <c r="J158" s="1">
        <v>122798210.73</v>
      </c>
      <c r="K158" s="1"/>
      <c r="L158" s="1"/>
      <c r="M158" s="1"/>
      <c r="N158" s="1">
        <f t="shared" si="117"/>
        <v>2769728099.0300002</v>
      </c>
      <c r="P158" s="1">
        <f t="shared" si="118"/>
        <v>251793463.54818183</v>
      </c>
      <c r="Q158" s="1">
        <f t="shared" si="119"/>
        <v>-251793463.54818183</v>
      </c>
    </row>
    <row r="159" spans="1:17" x14ac:dyDescent="0.25">
      <c r="A159" s="114" t="s">
        <v>119</v>
      </c>
      <c r="B159" s="1">
        <v>598572.09</v>
      </c>
      <c r="C159" s="1">
        <v>1754577.38</v>
      </c>
      <c r="D159" s="5">
        <v>588811.42000000004</v>
      </c>
      <c r="E159" s="1">
        <v>283948.55</v>
      </c>
      <c r="F159" s="1">
        <v>707796.87</v>
      </c>
      <c r="G159" s="1">
        <v>1284752.46</v>
      </c>
      <c r="H159" s="58">
        <v>497824.77</v>
      </c>
      <c r="I159" s="58">
        <v>795083.58</v>
      </c>
      <c r="J159" s="1">
        <v>408056.53</v>
      </c>
      <c r="K159" s="1"/>
      <c r="L159" s="1"/>
      <c r="M159" s="1"/>
      <c r="N159" s="1">
        <f t="shared" si="117"/>
        <v>6919423.6499999994</v>
      </c>
      <c r="P159" s="1">
        <f t="shared" si="118"/>
        <v>629038.51363636355</v>
      </c>
      <c r="Q159" s="1">
        <f t="shared" si="119"/>
        <v>-629038.51363636355</v>
      </c>
    </row>
    <row r="160" spans="1:17" x14ac:dyDescent="0.25">
      <c r="A160" s="114" t="s">
        <v>120</v>
      </c>
      <c r="B160" s="1">
        <v>223864.49</v>
      </c>
      <c r="C160" s="1">
        <v>0</v>
      </c>
      <c r="D160" s="5">
        <v>6537.06</v>
      </c>
      <c r="E160" s="1">
        <v>918411.8</v>
      </c>
      <c r="F160" s="1">
        <v>48550</v>
      </c>
      <c r="G160" s="1">
        <v>0</v>
      </c>
      <c r="H160" s="58">
        <v>28932.61</v>
      </c>
      <c r="I160" s="58">
        <v>247481.95</v>
      </c>
      <c r="J160" s="1">
        <v>1006564.16</v>
      </c>
      <c r="K160" s="1"/>
      <c r="L160" s="1"/>
      <c r="M160" s="1"/>
      <c r="N160" s="1">
        <f t="shared" si="117"/>
        <v>2480342.0700000003</v>
      </c>
      <c r="P160" s="1">
        <f t="shared" si="118"/>
        <v>225485.64272727276</v>
      </c>
      <c r="Q160" s="1">
        <f t="shared" si="119"/>
        <v>-225485.64272727276</v>
      </c>
    </row>
    <row r="161" spans="1:17" x14ac:dyDescent="0.25">
      <c r="A161" s="114" t="s">
        <v>121</v>
      </c>
      <c r="B161" s="1">
        <v>170622.29</v>
      </c>
      <c r="C161" s="1">
        <v>-355074.95</v>
      </c>
      <c r="D161" s="5">
        <v>93202.33</v>
      </c>
      <c r="E161" s="1">
        <v>151429.5</v>
      </c>
      <c r="F161" s="1">
        <v>472954.71</v>
      </c>
      <c r="G161" s="1">
        <v>-437756.06</v>
      </c>
      <c r="H161" s="58">
        <v>118154.22</v>
      </c>
      <c r="I161" s="58">
        <v>-187544.92</v>
      </c>
      <c r="J161" s="1">
        <v>302364.55</v>
      </c>
      <c r="K161" s="1"/>
      <c r="L161" s="1"/>
      <c r="M161" s="1"/>
      <c r="N161" s="1">
        <f t="shared" si="117"/>
        <v>328351.67</v>
      </c>
      <c r="P161" s="1">
        <f t="shared" si="118"/>
        <v>29850.151818181817</v>
      </c>
      <c r="Q161" s="1">
        <f t="shared" si="119"/>
        <v>-29850.151818181817</v>
      </c>
    </row>
    <row r="162" spans="1:17" x14ac:dyDescent="0.25">
      <c r="A162" s="114" t="s">
        <v>122</v>
      </c>
      <c r="B162" s="1">
        <v>-126361.61</v>
      </c>
      <c r="C162" s="1">
        <v>-158081.74</v>
      </c>
      <c r="D162" s="5">
        <v>-293026.18</v>
      </c>
      <c r="E162" s="1">
        <v>10452.620000000001</v>
      </c>
      <c r="F162" s="1">
        <v>175404.24</v>
      </c>
      <c r="G162" s="1">
        <v>14443.59</v>
      </c>
      <c r="H162" s="58">
        <v>-416683.86</v>
      </c>
      <c r="I162" s="58">
        <v>-13303.72</v>
      </c>
      <c r="J162" s="1">
        <v>102066.31</v>
      </c>
      <c r="K162" s="1"/>
      <c r="L162" s="1"/>
      <c r="M162" s="1"/>
      <c r="N162" s="1">
        <f t="shared" si="117"/>
        <v>-705090.34999999986</v>
      </c>
      <c r="P162" s="1">
        <f t="shared" si="118"/>
        <v>-64099.122727272712</v>
      </c>
      <c r="Q162" s="1">
        <f t="shared" si="119"/>
        <v>64099.122727272712</v>
      </c>
    </row>
    <row r="163" spans="1:17" x14ac:dyDescent="0.25">
      <c r="A163" s="114" t="s">
        <v>123</v>
      </c>
      <c r="B163" s="1">
        <v>18221.580000000002</v>
      </c>
      <c r="C163" s="1">
        <v>-143.22</v>
      </c>
      <c r="D163" s="5">
        <v>554.66999999999996</v>
      </c>
      <c r="E163" s="1">
        <v>-4571.0200000000004</v>
      </c>
      <c r="F163" s="1">
        <v>42.88</v>
      </c>
      <c r="G163" s="1">
        <v>-5187.8100000000004</v>
      </c>
      <c r="H163" s="58">
        <v>-12485.88</v>
      </c>
      <c r="I163" s="58">
        <v>-3196.33</v>
      </c>
      <c r="J163" s="1">
        <v>50315.040000000001</v>
      </c>
      <c r="K163" s="1"/>
      <c r="L163" s="1"/>
      <c r="M163" s="1"/>
      <c r="N163" s="1">
        <f t="shared" si="117"/>
        <v>43549.91</v>
      </c>
      <c r="P163" s="1">
        <f t="shared" si="118"/>
        <v>3959.0827272727274</v>
      </c>
      <c r="Q163" s="1">
        <f t="shared" si="119"/>
        <v>-3959.0827272727274</v>
      </c>
    </row>
    <row r="164" spans="1:17" x14ac:dyDescent="0.25">
      <c r="A164" s="114" t="s">
        <v>124</v>
      </c>
      <c r="B164" s="1">
        <v>5399.7</v>
      </c>
      <c r="C164" s="1">
        <v>-3149.21</v>
      </c>
      <c r="D164" s="5">
        <v>6568.13</v>
      </c>
      <c r="E164" s="1">
        <v>405.19</v>
      </c>
      <c r="F164" s="1">
        <v>-182869.11</v>
      </c>
      <c r="G164" s="1">
        <v>-387.53</v>
      </c>
      <c r="H164" s="58">
        <v>-158271.75</v>
      </c>
      <c r="I164" s="58">
        <v>0</v>
      </c>
      <c r="J164" s="1">
        <v>-1562</v>
      </c>
      <c r="K164" s="1"/>
      <c r="L164" s="1"/>
      <c r="M164" s="1"/>
      <c r="N164" s="1">
        <f t="shared" si="117"/>
        <v>-333866.57999999996</v>
      </c>
      <c r="P164" s="1">
        <f t="shared" si="118"/>
        <v>-30351.507272727267</v>
      </c>
      <c r="Q164" s="1">
        <f t="shared" si="119"/>
        <v>30351.507272727267</v>
      </c>
    </row>
    <row r="165" spans="1:17" x14ac:dyDescent="0.25">
      <c r="A165" s="114" t="s">
        <v>125</v>
      </c>
      <c r="B165" s="1">
        <v>-57233909.109999999</v>
      </c>
      <c r="C165" s="1">
        <v>-15348255</v>
      </c>
      <c r="D165" s="5">
        <v>-56465326.530000001</v>
      </c>
      <c r="E165" s="1">
        <v>-529777770.38</v>
      </c>
      <c r="F165" s="1">
        <v>-504081581.20999998</v>
      </c>
      <c r="G165" s="1">
        <v>-867014981.53999996</v>
      </c>
      <c r="H165" s="58">
        <v>-299329589.75</v>
      </c>
      <c r="I165" s="58">
        <v>-310814046.86000001</v>
      </c>
      <c r="J165" s="1">
        <v>-122133504.51000001</v>
      </c>
      <c r="K165" s="1"/>
      <c r="L165" s="1"/>
      <c r="M165" s="1"/>
      <c r="N165" s="1">
        <f t="shared" si="117"/>
        <v>-2762198964.8900003</v>
      </c>
      <c r="P165" s="1">
        <f t="shared" si="118"/>
        <v>-251108996.80818185</v>
      </c>
      <c r="Q165" s="1">
        <f t="shared" si="119"/>
        <v>251108996.80818185</v>
      </c>
    </row>
    <row r="166" spans="1:17" x14ac:dyDescent="0.25">
      <c r="A166" s="114" t="s">
        <v>435</v>
      </c>
      <c r="B166" s="1">
        <v>0</v>
      </c>
      <c r="C166" s="1">
        <v>0</v>
      </c>
      <c r="D166" s="5">
        <v>0</v>
      </c>
      <c r="E166" s="1">
        <v>0</v>
      </c>
      <c r="F166" s="1">
        <v>0</v>
      </c>
      <c r="G166" s="1">
        <v>-3537.84</v>
      </c>
      <c r="H166" s="58">
        <v>-1594.95</v>
      </c>
      <c r="I166" s="58">
        <v>1143.75</v>
      </c>
      <c r="J166" s="1">
        <v>182.18</v>
      </c>
      <c r="K166" s="1"/>
      <c r="L166" s="1"/>
      <c r="M166" s="1"/>
      <c r="N166" s="1">
        <f t="shared" ref="N166:N188" si="120">SUM(B166:M166)</f>
        <v>-3806.86</v>
      </c>
      <c r="P166" s="1"/>
      <c r="Q166" s="1"/>
    </row>
    <row r="167" spans="1:17" x14ac:dyDescent="0.25">
      <c r="A167" s="114" t="s">
        <v>126</v>
      </c>
      <c r="B167" s="1">
        <v>-626650</v>
      </c>
      <c r="C167" s="1">
        <v>-1795920</v>
      </c>
      <c r="D167" s="5">
        <v>-616939.36</v>
      </c>
      <c r="E167" s="1">
        <v>-282900</v>
      </c>
      <c r="F167" s="1">
        <v>-694270</v>
      </c>
      <c r="G167" s="1">
        <v>-1256000</v>
      </c>
      <c r="H167" s="58">
        <v>-513970.45</v>
      </c>
      <c r="I167" s="58">
        <v>-801420</v>
      </c>
      <c r="J167" s="1">
        <v>-444817</v>
      </c>
      <c r="K167" s="1"/>
      <c r="L167" s="1"/>
      <c r="M167" s="1"/>
      <c r="N167" s="1">
        <f t="shared" si="120"/>
        <v>-7032886.8099999996</v>
      </c>
      <c r="P167" s="1">
        <f t="shared" si="118"/>
        <v>-639353.34636363632</v>
      </c>
      <c r="Q167" s="1">
        <f t="shared" si="119"/>
        <v>639353.34636363632</v>
      </c>
    </row>
    <row r="168" spans="1:17" x14ac:dyDescent="0.25">
      <c r="A168" s="114" t="s">
        <v>127</v>
      </c>
      <c r="B168" s="1">
        <v>2230495.09</v>
      </c>
      <c r="C168" s="1">
        <v>157077.15</v>
      </c>
      <c r="D168" s="5">
        <v>273729.07</v>
      </c>
      <c r="E168" s="1">
        <v>307005.37</v>
      </c>
      <c r="F168" s="1">
        <v>-462524.73</v>
      </c>
      <c r="G168" s="1">
        <v>-239021.09</v>
      </c>
      <c r="H168" s="58">
        <v>-273397.37</v>
      </c>
      <c r="I168" s="58">
        <v>-459773.78</v>
      </c>
      <c r="J168" s="1">
        <v>-12461.47</v>
      </c>
      <c r="K168" s="1"/>
      <c r="L168" s="1"/>
      <c r="M168" s="1"/>
      <c r="N168" s="1">
        <f t="shared" si="120"/>
        <v>1521128.2399999998</v>
      </c>
      <c r="P168" s="1">
        <f t="shared" si="118"/>
        <v>138284.38545454544</v>
      </c>
      <c r="Q168" s="1">
        <f t="shared" si="119"/>
        <v>-138284.38545454544</v>
      </c>
    </row>
    <row r="169" spans="1:17" x14ac:dyDescent="0.25">
      <c r="A169" s="114" t="s">
        <v>128</v>
      </c>
      <c r="B169" s="1">
        <v>132999.03</v>
      </c>
      <c r="C169" s="1">
        <v>1861.72</v>
      </c>
      <c r="D169" s="5">
        <v>104613.37</v>
      </c>
      <c r="E169" s="1">
        <v>1487036.54</v>
      </c>
      <c r="F169" s="1">
        <v>-195552.97</v>
      </c>
      <c r="G169" s="1">
        <v>-463703.41</v>
      </c>
      <c r="H169" s="58">
        <v>-388902.1</v>
      </c>
      <c r="I169" s="58">
        <v>-516832.24</v>
      </c>
      <c r="J169" s="1">
        <v>-517332.49</v>
      </c>
      <c r="K169" s="1"/>
      <c r="L169" s="1"/>
      <c r="M169" s="1"/>
      <c r="N169" s="1">
        <f t="shared" si="120"/>
        <v>-355812.5499999997</v>
      </c>
      <c r="P169" s="1">
        <f t="shared" si="118"/>
        <v>-32346.595454545426</v>
      </c>
      <c r="Q169" s="1">
        <f t="shared" si="119"/>
        <v>32346.595454545426</v>
      </c>
    </row>
    <row r="170" spans="1:17" x14ac:dyDescent="0.25">
      <c r="A170" s="114" t="s">
        <v>129</v>
      </c>
      <c r="B170" s="1">
        <v>48155.93</v>
      </c>
      <c r="C170" s="1">
        <v>51045.58</v>
      </c>
      <c r="D170" s="5">
        <v>0</v>
      </c>
      <c r="E170" s="1">
        <v>12980.84</v>
      </c>
      <c r="F170" s="1">
        <v>75.5</v>
      </c>
      <c r="G170" s="1">
        <v>0</v>
      </c>
      <c r="H170" s="58">
        <v>-13005.34</v>
      </c>
      <c r="I170" s="58">
        <v>20986.639999999999</v>
      </c>
      <c r="J170" s="1">
        <v>20965.86</v>
      </c>
      <c r="K170" s="1"/>
      <c r="L170" s="1"/>
      <c r="M170" s="1"/>
      <c r="N170" s="1">
        <f t="shared" si="120"/>
        <v>141205.01</v>
      </c>
      <c r="P170" s="1">
        <f t="shared" si="118"/>
        <v>12836.819090909092</v>
      </c>
      <c r="Q170" s="1">
        <f t="shared" si="119"/>
        <v>-12836.819090909092</v>
      </c>
    </row>
    <row r="171" spans="1:17" x14ac:dyDescent="0.25">
      <c r="A171" s="114" t="s">
        <v>130</v>
      </c>
      <c r="B171" s="1">
        <v>888979.59</v>
      </c>
      <c r="C171" s="1">
        <v>5499.6</v>
      </c>
      <c r="D171" s="5">
        <v>-2025.65</v>
      </c>
      <c r="E171" s="1">
        <v>-2516.61</v>
      </c>
      <c r="F171" s="1">
        <v>174609.93</v>
      </c>
      <c r="G171" s="1">
        <v>-356.02</v>
      </c>
      <c r="H171" s="58">
        <v>108192.24</v>
      </c>
      <c r="I171" s="58">
        <v>23422.84</v>
      </c>
      <c r="J171" s="1">
        <v>40194.65</v>
      </c>
      <c r="K171" s="1"/>
      <c r="L171" s="1"/>
      <c r="M171" s="1"/>
      <c r="N171" s="1">
        <f t="shared" si="120"/>
        <v>1236000.5699999998</v>
      </c>
      <c r="P171" s="1">
        <f t="shared" si="118"/>
        <v>112363.68818181817</v>
      </c>
      <c r="Q171" s="1">
        <f t="shared" si="119"/>
        <v>-112363.68818181817</v>
      </c>
    </row>
    <row r="172" spans="1:17" x14ac:dyDescent="0.25">
      <c r="A172" s="114" t="s">
        <v>131</v>
      </c>
      <c r="B172" s="1">
        <v>-241780</v>
      </c>
      <c r="C172" s="1">
        <v>0</v>
      </c>
      <c r="D172" s="5">
        <v>-42034.45</v>
      </c>
      <c r="E172" s="1">
        <f>-916350</f>
        <v>-916350</v>
      </c>
      <c r="F172" s="1">
        <v>-48550</v>
      </c>
      <c r="G172" s="1">
        <v>0</v>
      </c>
      <c r="H172" s="58">
        <v>-48901.66</v>
      </c>
      <c r="I172" s="58">
        <v>-228900</v>
      </c>
      <c r="J172" s="1">
        <v>-1036340</v>
      </c>
      <c r="K172" s="1"/>
      <c r="L172" s="1"/>
      <c r="M172" s="1"/>
      <c r="N172" s="1">
        <f t="shared" si="120"/>
        <v>-2562856.11</v>
      </c>
      <c r="P172" s="1">
        <f t="shared" si="118"/>
        <v>-232986.91909090907</v>
      </c>
      <c r="Q172" s="1">
        <f t="shared" si="119"/>
        <v>232986.91909090907</v>
      </c>
    </row>
    <row r="173" spans="1:17" x14ac:dyDescent="0.25">
      <c r="A173" s="114" t="s">
        <v>132</v>
      </c>
      <c r="B173" s="1">
        <v>0</v>
      </c>
      <c r="C173" s="1">
        <v>800</v>
      </c>
      <c r="D173" s="5">
        <v>0</v>
      </c>
      <c r="E173" s="1">
        <v>0</v>
      </c>
      <c r="F173" s="1">
        <v>0</v>
      </c>
      <c r="G173" s="1">
        <v>0</v>
      </c>
      <c r="H173" s="58">
        <v>0</v>
      </c>
      <c r="I173" s="58">
        <v>0</v>
      </c>
      <c r="J173" s="1">
        <v>0</v>
      </c>
      <c r="K173" s="1"/>
      <c r="L173" s="1"/>
      <c r="M173" s="1"/>
      <c r="N173" s="1">
        <f t="shared" si="120"/>
        <v>800</v>
      </c>
      <c r="P173" s="1">
        <f t="shared" si="118"/>
        <v>72.727272727272734</v>
      </c>
      <c r="Q173" s="1">
        <f t="shared" si="119"/>
        <v>-72.727272727272734</v>
      </c>
    </row>
    <row r="174" spans="1:17" x14ac:dyDescent="0.25">
      <c r="A174" s="114" t="s">
        <v>133</v>
      </c>
      <c r="B174" s="1">
        <v>2682.05</v>
      </c>
      <c r="C174" s="1">
        <v>-1617.38</v>
      </c>
      <c r="D174" s="5">
        <v>5756.07</v>
      </c>
      <c r="E174" s="1">
        <v>9048.32</v>
      </c>
      <c r="F174" s="1">
        <v>11168.19</v>
      </c>
      <c r="G174" s="1">
        <v>3721.59</v>
      </c>
      <c r="H174" s="58">
        <v>6172.25</v>
      </c>
      <c r="I174" s="58">
        <v>7102.98</v>
      </c>
      <c r="J174" s="1">
        <v>7169.65</v>
      </c>
      <c r="K174" s="1"/>
      <c r="L174" s="1"/>
      <c r="M174" s="1"/>
      <c r="N174" s="1">
        <f t="shared" si="120"/>
        <v>51203.719999999994</v>
      </c>
      <c r="P174" s="1">
        <f t="shared" si="118"/>
        <v>4654.8836363636356</v>
      </c>
      <c r="Q174" s="1">
        <f t="shared" si="119"/>
        <v>-4654.8836363636356</v>
      </c>
    </row>
    <row r="175" spans="1:17" x14ac:dyDescent="0.25">
      <c r="A175" s="114" t="s">
        <v>134</v>
      </c>
      <c r="B175" s="1">
        <v>5000</v>
      </c>
      <c r="C175" s="1">
        <v>16772.5</v>
      </c>
      <c r="D175" s="5">
        <v>-6772.5</v>
      </c>
      <c r="E175" s="1">
        <v>5000</v>
      </c>
      <c r="F175" s="1">
        <v>5000</v>
      </c>
      <c r="G175" s="1">
        <v>5000</v>
      </c>
      <c r="H175" s="58">
        <v>5000</v>
      </c>
      <c r="I175" s="58">
        <v>5000</v>
      </c>
      <c r="J175" s="1">
        <v>5000</v>
      </c>
      <c r="K175" s="1"/>
      <c r="L175" s="1"/>
      <c r="M175" s="1"/>
      <c r="N175" s="1">
        <f t="shared" si="120"/>
        <v>45000</v>
      </c>
      <c r="P175" s="1">
        <f t="shared" si="118"/>
        <v>4090.909090909091</v>
      </c>
      <c r="Q175" s="1">
        <f t="shared" si="119"/>
        <v>-4090.909090909091</v>
      </c>
    </row>
    <row r="176" spans="1:17" x14ac:dyDescent="0.25">
      <c r="A176" s="114" t="s">
        <v>135</v>
      </c>
      <c r="B176" s="1">
        <v>0</v>
      </c>
      <c r="C176" s="1">
        <v>0</v>
      </c>
      <c r="D176" s="5">
        <v>0</v>
      </c>
      <c r="E176" s="1">
        <v>0</v>
      </c>
      <c r="F176" s="1">
        <v>0</v>
      </c>
      <c r="G176" s="1">
        <v>0</v>
      </c>
      <c r="H176" s="58">
        <v>0</v>
      </c>
      <c r="I176" s="58">
        <v>0</v>
      </c>
      <c r="J176" s="1">
        <v>160</v>
      </c>
      <c r="K176" s="1"/>
      <c r="L176" s="1"/>
      <c r="M176" s="1"/>
      <c r="N176" s="1">
        <f t="shared" si="120"/>
        <v>160</v>
      </c>
      <c r="P176" s="1">
        <f t="shared" si="118"/>
        <v>14.545454545454545</v>
      </c>
      <c r="Q176" s="1">
        <f t="shared" si="119"/>
        <v>-14.545454545454545</v>
      </c>
    </row>
    <row r="177" spans="1:17" x14ac:dyDescent="0.25">
      <c r="A177" s="114" t="s">
        <v>136</v>
      </c>
      <c r="B177" s="1">
        <v>20620</v>
      </c>
      <c r="C177" s="1">
        <v>1150</v>
      </c>
      <c r="D177" s="5">
        <v>0</v>
      </c>
      <c r="E177" s="1">
        <v>0</v>
      </c>
      <c r="F177" s="1">
        <v>158944.68</v>
      </c>
      <c r="G177" s="1">
        <v>1357.06</v>
      </c>
      <c r="H177" s="58">
        <v>-3040</v>
      </c>
      <c r="I177" s="58">
        <v>10319.799999999999</v>
      </c>
      <c r="J177" s="1">
        <v>1091.1099999999999</v>
      </c>
      <c r="K177" s="1"/>
      <c r="L177" s="1"/>
      <c r="M177" s="1"/>
      <c r="N177" s="1">
        <f t="shared" si="120"/>
        <v>190442.64999999997</v>
      </c>
      <c r="P177" s="1">
        <f t="shared" si="118"/>
        <v>17312.968181818178</v>
      </c>
      <c r="Q177" s="1">
        <f t="shared" si="119"/>
        <v>-17312.968181818178</v>
      </c>
    </row>
    <row r="178" spans="1:17" x14ac:dyDescent="0.25">
      <c r="A178" s="125" t="s">
        <v>137</v>
      </c>
      <c r="B178" s="40">
        <v>2910296.13</v>
      </c>
      <c r="C178" s="40">
        <v>1651163.39</v>
      </c>
      <c r="D178" s="41">
        <v>-414097.59</v>
      </c>
      <c r="E178" s="42">
        <v>959937.83</v>
      </c>
      <c r="F178" s="42">
        <v>-3014399.59</v>
      </c>
      <c r="G178" s="40">
        <v>3160990.11</v>
      </c>
      <c r="H178" s="40">
        <v>-6973390.4900000002</v>
      </c>
      <c r="I178" s="40">
        <v>-1655327.37</v>
      </c>
      <c r="J178" s="40">
        <v>-13587496.02</v>
      </c>
      <c r="K178" s="40"/>
      <c r="L178" s="40"/>
      <c r="M178" s="40"/>
      <c r="N178" s="43">
        <f t="shared" si="120"/>
        <v>-16962323.600000001</v>
      </c>
      <c r="P178" s="43">
        <f t="shared" si="118"/>
        <v>-1542029.4181818182</v>
      </c>
      <c r="Q178" s="43">
        <f t="shared" si="119"/>
        <v>1542029.4181818182</v>
      </c>
    </row>
    <row r="179" spans="1:17" x14ac:dyDescent="0.25">
      <c r="A179" s="114" t="s">
        <v>138</v>
      </c>
      <c r="B179" s="1">
        <v>28233.33</v>
      </c>
      <c r="C179" s="1">
        <v>28233.33</v>
      </c>
      <c r="D179" s="5">
        <v>28595.83</v>
      </c>
      <c r="E179" s="1">
        <v>28233.33</v>
      </c>
      <c r="F179" s="1">
        <v>28233.33</v>
      </c>
      <c r="G179" s="1">
        <v>7627.91</v>
      </c>
      <c r="H179" s="58">
        <v>28233.33</v>
      </c>
      <c r="I179" s="58">
        <v>28233.33</v>
      </c>
      <c r="J179" s="1">
        <v>28233.33</v>
      </c>
      <c r="K179" s="1"/>
      <c r="L179" s="1"/>
      <c r="M179" s="1"/>
      <c r="N179" s="1">
        <f t="shared" si="120"/>
        <v>233857.05000000005</v>
      </c>
      <c r="P179" s="1">
        <f t="shared" si="118"/>
        <v>21259.731818181823</v>
      </c>
      <c r="Q179" s="1">
        <f t="shared" si="119"/>
        <v>-21259.731818181823</v>
      </c>
    </row>
    <row r="180" spans="1:17" x14ac:dyDescent="0.25">
      <c r="A180" s="114" t="s">
        <v>139</v>
      </c>
      <c r="B180" s="1">
        <v>0</v>
      </c>
      <c r="C180" s="1">
        <v>878</v>
      </c>
      <c r="D180" s="5">
        <v>0</v>
      </c>
      <c r="E180" s="1">
        <v>0</v>
      </c>
      <c r="F180" s="1">
        <v>620</v>
      </c>
      <c r="G180" s="1">
        <v>0</v>
      </c>
      <c r="H180" s="58">
        <v>12</v>
      </c>
      <c r="I180" s="58">
        <v>0</v>
      </c>
      <c r="J180" s="1">
        <v>0</v>
      </c>
      <c r="K180" s="1"/>
      <c r="L180" s="1"/>
      <c r="M180" s="1"/>
      <c r="N180" s="1">
        <f t="shared" si="120"/>
        <v>1510</v>
      </c>
      <c r="P180" s="1">
        <f t="shared" si="118"/>
        <v>137.27272727272728</v>
      </c>
      <c r="Q180" s="1">
        <f t="shared" si="119"/>
        <v>-137.27272727272728</v>
      </c>
    </row>
    <row r="181" spans="1:17" x14ac:dyDescent="0.25">
      <c r="A181" s="114" t="s">
        <v>140</v>
      </c>
      <c r="B181" s="1">
        <v>935.34</v>
      </c>
      <c r="C181" s="1">
        <v>6097.82</v>
      </c>
      <c r="D181" s="5">
        <v>0</v>
      </c>
      <c r="E181" s="1">
        <v>924</v>
      </c>
      <c r="F181" s="1">
        <v>0</v>
      </c>
      <c r="G181" s="1">
        <v>0</v>
      </c>
      <c r="H181" s="58">
        <v>0</v>
      </c>
      <c r="I181" s="58">
        <v>6764.11</v>
      </c>
      <c r="J181" s="1">
        <v>0</v>
      </c>
      <c r="K181" s="1"/>
      <c r="L181" s="1"/>
      <c r="M181" s="1"/>
      <c r="N181" s="1">
        <f t="shared" si="120"/>
        <v>14721.27</v>
      </c>
      <c r="P181" s="1">
        <f t="shared" si="118"/>
        <v>1338.2972727272727</v>
      </c>
      <c r="Q181" s="1">
        <f t="shared" si="119"/>
        <v>-1338.2972727272727</v>
      </c>
    </row>
    <row r="182" spans="1:17" x14ac:dyDescent="0.25">
      <c r="A182" s="114" t="s">
        <v>141</v>
      </c>
      <c r="B182" s="1">
        <v>13984.01</v>
      </c>
      <c r="C182" s="1">
        <v>16090.71</v>
      </c>
      <c r="D182" s="5">
        <v>17832.23</v>
      </c>
      <c r="E182" s="1">
        <v>16363.64</v>
      </c>
      <c r="F182" s="1">
        <v>18902.009999999998</v>
      </c>
      <c r="G182" s="1">
        <v>15846.75</v>
      </c>
      <c r="H182" s="58">
        <v>13522.84</v>
      </c>
      <c r="I182" s="58">
        <v>14007.24</v>
      </c>
      <c r="J182" s="1">
        <v>8848.61</v>
      </c>
      <c r="K182" s="1"/>
      <c r="L182" s="1"/>
      <c r="M182" s="1"/>
      <c r="N182" s="1">
        <f t="shared" si="120"/>
        <v>135398.03999999998</v>
      </c>
      <c r="P182" s="1">
        <f t="shared" si="118"/>
        <v>12308.912727272726</v>
      </c>
      <c r="Q182" s="1">
        <f t="shared" si="119"/>
        <v>-12308.912727272726</v>
      </c>
    </row>
    <row r="183" spans="1:17" x14ac:dyDescent="0.25">
      <c r="A183" s="114" t="s">
        <v>142</v>
      </c>
      <c r="B183" s="1">
        <v>0</v>
      </c>
      <c r="C183" s="1">
        <v>2779.92</v>
      </c>
      <c r="D183" s="5">
        <v>3901.48</v>
      </c>
      <c r="E183" s="1">
        <v>3738.32</v>
      </c>
      <c r="F183" s="1">
        <v>2514.86</v>
      </c>
      <c r="G183" s="1">
        <v>3378.54</v>
      </c>
      <c r="H183" s="58">
        <v>1013.2</v>
      </c>
      <c r="I183" s="58">
        <v>2380.56</v>
      </c>
      <c r="J183" s="1">
        <v>1769.04</v>
      </c>
      <c r="K183" s="1"/>
      <c r="L183" s="1"/>
      <c r="M183" s="1"/>
      <c r="N183" s="1">
        <f t="shared" si="120"/>
        <v>21475.920000000002</v>
      </c>
      <c r="P183" s="1">
        <f t="shared" si="118"/>
        <v>1952.3563636363638</v>
      </c>
      <c r="Q183" s="1">
        <f t="shared" si="119"/>
        <v>-1952.3563636363638</v>
      </c>
    </row>
    <row r="184" spans="1:17" x14ac:dyDescent="0.25">
      <c r="A184" s="114" t="s">
        <v>143</v>
      </c>
      <c r="B184" s="1">
        <v>0</v>
      </c>
      <c r="C184" s="1">
        <v>0</v>
      </c>
      <c r="D184" s="5">
        <v>0</v>
      </c>
      <c r="E184" s="1">
        <v>0</v>
      </c>
      <c r="F184" s="1">
        <v>-72</v>
      </c>
      <c r="G184" s="1">
        <v>0</v>
      </c>
      <c r="H184" s="58">
        <v>-72</v>
      </c>
      <c r="I184" s="58">
        <v>-198</v>
      </c>
      <c r="J184" s="1">
        <v>-309.95999999999998</v>
      </c>
      <c r="K184" s="1"/>
      <c r="L184" s="1"/>
      <c r="M184" s="1"/>
      <c r="N184" s="1">
        <f t="shared" si="120"/>
        <v>-651.96</v>
      </c>
      <c r="P184" s="1">
        <f t="shared" si="118"/>
        <v>-59.269090909090913</v>
      </c>
      <c r="Q184" s="1">
        <f t="shared" si="119"/>
        <v>59.269090909090913</v>
      </c>
    </row>
    <row r="185" spans="1:17" x14ac:dyDescent="0.25">
      <c r="A185" s="114" t="s">
        <v>144</v>
      </c>
      <c r="B185" s="1">
        <v>1.87</v>
      </c>
      <c r="C185" s="1">
        <v>0</v>
      </c>
      <c r="D185" s="1">
        <v>-115.12</v>
      </c>
      <c r="E185" s="1">
        <v>3216.06</v>
      </c>
      <c r="F185" s="1">
        <v>-2308</v>
      </c>
      <c r="G185" s="1">
        <v>0</v>
      </c>
      <c r="H185" s="58">
        <v>0</v>
      </c>
      <c r="I185" s="58">
        <v>0</v>
      </c>
      <c r="J185" s="1">
        <v>0</v>
      </c>
      <c r="K185" s="1"/>
      <c r="L185" s="1"/>
      <c r="M185" s="1"/>
      <c r="N185" s="1">
        <f t="shared" si="120"/>
        <v>794.81</v>
      </c>
      <c r="P185" s="1">
        <f t="shared" si="118"/>
        <v>72.25545454545454</v>
      </c>
      <c r="Q185" s="1">
        <f t="shared" si="119"/>
        <v>-72.25545454545454</v>
      </c>
    </row>
    <row r="186" spans="1:17" x14ac:dyDescent="0.25">
      <c r="A186" s="114" t="s">
        <v>145</v>
      </c>
      <c r="B186" s="1">
        <v>655.42</v>
      </c>
      <c r="C186" s="1">
        <v>-345.3</v>
      </c>
      <c r="D186" s="1">
        <v>-1325.46</v>
      </c>
      <c r="E186" s="1">
        <v>-3163.28</v>
      </c>
      <c r="F186" s="1">
        <v>-3813.42</v>
      </c>
      <c r="G186" s="1">
        <v>-5151.74</v>
      </c>
      <c r="H186" s="58">
        <v>-2238.48</v>
      </c>
      <c r="I186" s="58">
        <v>-4687.5200000000004</v>
      </c>
      <c r="J186" s="1">
        <v>-3915.61</v>
      </c>
      <c r="K186" s="1"/>
      <c r="L186" s="1"/>
      <c r="M186" s="1"/>
      <c r="N186" s="1">
        <f t="shared" si="120"/>
        <v>-23985.39</v>
      </c>
      <c r="P186" s="1">
        <f t="shared" si="118"/>
        <v>-2180.4899999999998</v>
      </c>
      <c r="Q186" s="1">
        <f t="shared" si="119"/>
        <v>2180.4899999999998</v>
      </c>
    </row>
    <row r="187" spans="1:17" ht="15.6" customHeight="1" x14ac:dyDescent="0.25">
      <c r="A187" s="114" t="s">
        <v>146</v>
      </c>
      <c r="B187" s="1">
        <v>-260</v>
      </c>
      <c r="C187" s="1">
        <v>0</v>
      </c>
      <c r="D187" s="1">
        <v>-15</v>
      </c>
      <c r="E187" s="1">
        <f>-15</f>
        <v>-15</v>
      </c>
      <c r="F187" s="1">
        <v>0</v>
      </c>
      <c r="G187" s="1">
        <v>0</v>
      </c>
      <c r="H187" s="58">
        <v>-52.5</v>
      </c>
      <c r="I187" s="58">
        <v>0</v>
      </c>
      <c r="J187" s="1">
        <v>-15</v>
      </c>
      <c r="K187" s="1"/>
      <c r="L187" s="1"/>
      <c r="M187" s="1"/>
      <c r="N187" s="1">
        <f t="shared" si="120"/>
        <v>-357.5</v>
      </c>
      <c r="P187" s="1">
        <f t="shared" si="118"/>
        <v>-32.5</v>
      </c>
      <c r="Q187" s="1">
        <f t="shared" si="119"/>
        <v>32.5</v>
      </c>
    </row>
    <row r="188" spans="1:17" ht="15.6" customHeight="1" x14ac:dyDescent="0.25">
      <c r="A188" s="114" t="s">
        <v>147</v>
      </c>
      <c r="B188" s="1">
        <v>0</v>
      </c>
      <c r="C188" s="1">
        <v>0</v>
      </c>
      <c r="D188" s="1">
        <v>0</v>
      </c>
      <c r="E188" s="1">
        <v>168314.67</v>
      </c>
      <c r="F188" s="1">
        <v>0</v>
      </c>
      <c r="G188" s="1">
        <v>1178.56</v>
      </c>
      <c r="H188" s="58">
        <v>707.78</v>
      </c>
      <c r="I188" s="58">
        <v>73.5</v>
      </c>
      <c r="J188" s="1">
        <v>3004.54</v>
      </c>
      <c r="K188" s="1"/>
      <c r="L188" s="1"/>
      <c r="M188" s="1"/>
      <c r="N188" s="1">
        <f t="shared" si="120"/>
        <v>173279.05000000002</v>
      </c>
      <c r="P188" s="1"/>
      <c r="Q188" s="1"/>
    </row>
    <row r="189" spans="1:17" s="162" customFormat="1" ht="15.6" customHeight="1" x14ac:dyDescent="0.25">
      <c r="A189" s="160" t="s">
        <v>459</v>
      </c>
      <c r="B189" s="58"/>
      <c r="C189" s="58"/>
      <c r="D189" s="58"/>
      <c r="E189" s="161"/>
      <c r="F189" s="58"/>
      <c r="G189" s="58">
        <v>0</v>
      </c>
      <c r="H189" s="58">
        <v>0</v>
      </c>
      <c r="I189" s="58">
        <v>3682.32</v>
      </c>
      <c r="J189" s="58">
        <v>3682.32</v>
      </c>
      <c r="K189" s="58"/>
      <c r="L189" s="58"/>
      <c r="M189" s="58"/>
      <c r="N189" s="58">
        <f>SUM(B189:M189)</f>
        <v>7364.64</v>
      </c>
      <c r="O189" s="163"/>
      <c r="P189" s="58"/>
      <c r="Q189" s="58"/>
    </row>
    <row r="190" spans="1:17" ht="15.6" customHeight="1" x14ac:dyDescent="0.25">
      <c r="A190" s="114" t="s">
        <v>148</v>
      </c>
      <c r="B190" s="1">
        <v>0</v>
      </c>
      <c r="C190" s="1">
        <v>0</v>
      </c>
      <c r="D190" s="1">
        <v>0</v>
      </c>
      <c r="E190" s="1">
        <v>12675.04</v>
      </c>
      <c r="F190" s="1">
        <v>-0.02</v>
      </c>
      <c r="G190" s="1">
        <v>0</v>
      </c>
      <c r="H190" s="58">
        <v>164595.71</v>
      </c>
      <c r="I190" s="58">
        <v>146739.68</v>
      </c>
      <c r="J190" s="1">
        <v>2220349.09</v>
      </c>
      <c r="K190" s="1"/>
      <c r="L190" s="1"/>
      <c r="M190" s="1"/>
      <c r="N190" s="1">
        <f>SUM(B190:M190)</f>
        <v>2544359.5</v>
      </c>
      <c r="P190" s="1"/>
      <c r="Q190" s="1"/>
    </row>
    <row r="191" spans="1:17" s="7" customFormat="1" ht="15.6" customHeight="1" x14ac:dyDescent="0.25">
      <c r="A191" s="159" t="s">
        <v>453</v>
      </c>
      <c r="B191" s="58">
        <v>0</v>
      </c>
      <c r="C191" s="58">
        <v>0</v>
      </c>
      <c r="D191" s="58">
        <v>0</v>
      </c>
      <c r="E191" s="58">
        <v>0</v>
      </c>
      <c r="F191" s="58">
        <v>0</v>
      </c>
      <c r="G191" s="58">
        <v>0</v>
      </c>
      <c r="H191" s="58">
        <v>-4850.6000000000004</v>
      </c>
      <c r="I191" s="58">
        <v>-8842.1</v>
      </c>
      <c r="J191" s="58">
        <v>-211499.92</v>
      </c>
      <c r="K191" s="58"/>
      <c r="L191" s="58"/>
      <c r="M191" s="58"/>
      <c r="N191" s="58">
        <f>SUM(B191:M191)</f>
        <v>-225192.62000000002</v>
      </c>
      <c r="P191" s="58"/>
      <c r="Q191" s="58"/>
    </row>
    <row r="192" spans="1:17" s="162" customFormat="1" ht="15.6" customHeight="1" x14ac:dyDescent="0.25">
      <c r="A192" s="160" t="s">
        <v>460</v>
      </c>
      <c r="B192" s="58"/>
      <c r="C192" s="58"/>
      <c r="D192" s="58"/>
      <c r="E192" s="161"/>
      <c r="F192" s="58"/>
      <c r="G192" s="58">
        <v>0</v>
      </c>
      <c r="H192" s="58">
        <v>0</v>
      </c>
      <c r="I192" s="58">
        <v>-686.87</v>
      </c>
      <c r="J192" s="58">
        <v>-1890.15</v>
      </c>
      <c r="K192" s="58"/>
      <c r="L192" s="58"/>
      <c r="M192" s="58"/>
      <c r="N192" s="58">
        <f t="shared" ref="N192" si="121">SUM(B192:M192)</f>
        <v>-2577.02</v>
      </c>
      <c r="O192" s="163"/>
      <c r="P192" s="58"/>
      <c r="Q192" s="58"/>
    </row>
    <row r="193" spans="1:17" ht="15.6" customHeight="1" x14ac:dyDescent="0.25">
      <c r="A193" s="114" t="s">
        <v>433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29.46</v>
      </c>
      <c r="H193" s="58">
        <v>61.84</v>
      </c>
      <c r="I193" s="58">
        <v>0</v>
      </c>
      <c r="J193" s="1">
        <v>0</v>
      </c>
      <c r="K193" s="1"/>
      <c r="L193" s="1"/>
      <c r="M193" s="1"/>
      <c r="N193" s="1">
        <f>SUM(B193:M193)</f>
        <v>91.300000000000011</v>
      </c>
      <c r="P193" s="1"/>
      <c r="Q193" s="1"/>
    </row>
    <row r="194" spans="1:17" ht="15.6" customHeight="1" x14ac:dyDescent="0.25">
      <c r="A194" s="114" t="s">
        <v>434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58">
        <v>100.32</v>
      </c>
      <c r="I194" s="58">
        <v>-1577.17</v>
      </c>
      <c r="J194" s="1">
        <v>81.47</v>
      </c>
      <c r="K194" s="1"/>
      <c r="L194" s="1"/>
      <c r="M194" s="1"/>
      <c r="N194" s="1">
        <f>SUM(B194:M194)</f>
        <v>-1395.38</v>
      </c>
      <c r="P194" s="1"/>
      <c r="Q194" s="1"/>
    </row>
    <row r="195" spans="1:17" s="7" customFormat="1" ht="15.6" customHeight="1" x14ac:dyDescent="0.25">
      <c r="A195" s="7" t="s">
        <v>449</v>
      </c>
      <c r="B195" s="58">
        <v>0</v>
      </c>
      <c r="C195" s="58">
        <v>0</v>
      </c>
      <c r="D195" s="58">
        <v>0</v>
      </c>
      <c r="E195" s="58">
        <v>0</v>
      </c>
      <c r="F195" s="58">
        <v>0</v>
      </c>
      <c r="G195" s="58">
        <v>0</v>
      </c>
      <c r="H195" s="58">
        <v>168</v>
      </c>
      <c r="I195" s="58">
        <v>0</v>
      </c>
      <c r="J195" s="58">
        <v>0</v>
      </c>
      <c r="K195" s="58"/>
      <c r="L195" s="58"/>
      <c r="M195" s="58"/>
      <c r="N195" s="58">
        <f>SUM(B195:M195)</f>
        <v>168</v>
      </c>
      <c r="P195" s="58"/>
      <c r="Q195" s="58"/>
    </row>
    <row r="196" spans="1:17" s="38" customFormat="1" x14ac:dyDescent="0.25">
      <c r="A196" s="124" t="s">
        <v>149</v>
      </c>
      <c r="B196" s="44">
        <f>SUM(B129:B195)</f>
        <v>584692821.1099999</v>
      </c>
      <c r="C196" s="44">
        <f t="shared" ref="C196:F196" si="122">SUM(C129:C194)</f>
        <v>1326064718.7600005</v>
      </c>
      <c r="D196" s="44">
        <f t="shared" si="122"/>
        <v>407886159.28000009</v>
      </c>
      <c r="E196" s="44">
        <f>SUM(E129:E195)</f>
        <v>144492603.92999986</v>
      </c>
      <c r="F196" s="44">
        <f t="shared" si="122"/>
        <v>212099725.4200002</v>
      </c>
      <c r="G196" s="44">
        <f>SUM(G129:G195)</f>
        <v>355772504.34000009</v>
      </c>
      <c r="H196" s="44">
        <f>SUM(H129:H195)</f>
        <v>291293762.78999996</v>
      </c>
      <c r="I196" s="44">
        <f>SUM(I129:I195)</f>
        <v>454018087.06999999</v>
      </c>
      <c r="J196" s="44">
        <f>SUM(J129:J195)</f>
        <v>336223545.79000008</v>
      </c>
      <c r="K196" s="44">
        <f>SUM(K129:K187)</f>
        <v>0</v>
      </c>
      <c r="L196" s="44">
        <f>SUM(L129:L187)</f>
        <v>0</v>
      </c>
      <c r="M196" s="44">
        <f>SUM(M129:M187)</f>
        <v>0</v>
      </c>
      <c r="N196" s="44">
        <f>SUM(N129:N195)</f>
        <v>4112543928.4899988</v>
      </c>
      <c r="P196" s="44">
        <f t="shared" si="118"/>
        <v>373867629.86272717</v>
      </c>
      <c r="Q196" s="44">
        <f t="shared" si="119"/>
        <v>-373867629.86272717</v>
      </c>
    </row>
    <row r="197" spans="1:17" s="38" customFormat="1" ht="15.75" thickBot="1" x14ac:dyDescent="0.3">
      <c r="A197" s="124" t="s">
        <v>150</v>
      </c>
      <c r="B197" s="39">
        <f t="shared" ref="B197:G197" si="123">B127-B196</f>
        <v>697510.16000008583</v>
      </c>
      <c r="C197" s="39">
        <f t="shared" si="123"/>
        <v>624547.37999987602</v>
      </c>
      <c r="D197" s="39">
        <f t="shared" si="123"/>
        <v>769919.81999999285</v>
      </c>
      <c r="E197" s="39">
        <f t="shared" si="123"/>
        <v>477580.01000010967</v>
      </c>
      <c r="F197" s="39">
        <f t="shared" si="123"/>
        <v>386606.16999977827</v>
      </c>
      <c r="G197" s="39">
        <f t="shared" si="123"/>
        <v>532374.25999993086</v>
      </c>
      <c r="H197" s="39">
        <f t="shared" ref="H197" si="124">H127-H196</f>
        <v>339887.33999991417</v>
      </c>
      <c r="I197" s="39">
        <f>I127-I196</f>
        <v>406594.80999988317</v>
      </c>
      <c r="J197" s="39">
        <f>J127-J196</f>
        <v>328169.66999995708</v>
      </c>
      <c r="K197" s="39">
        <f>K127-K196</f>
        <v>0</v>
      </c>
      <c r="L197" s="39">
        <f>L127-L196</f>
        <v>0</v>
      </c>
      <c r="M197" s="39">
        <f>M127-M196</f>
        <v>0</v>
      </c>
      <c r="N197" s="39">
        <f>SUM(B197:M197)</f>
        <v>4563189.6199995279</v>
      </c>
      <c r="P197" s="39">
        <f t="shared" si="118"/>
        <v>414835.41999995708</v>
      </c>
      <c r="Q197" s="39">
        <f t="shared" si="119"/>
        <v>-414835.41999995708</v>
      </c>
    </row>
    <row r="198" spans="1:17" ht="15.75" thickTop="1" x14ac:dyDescent="0.25">
      <c r="C198" s="1"/>
      <c r="D198" s="1"/>
      <c r="E198" s="1"/>
      <c r="F198" s="1"/>
      <c r="G198" s="1"/>
      <c r="H198" s="58"/>
      <c r="I198" s="1"/>
      <c r="J198" s="1"/>
      <c r="K198" s="1"/>
      <c r="L198" s="1"/>
      <c r="M198" s="1"/>
      <c r="N198" s="1"/>
      <c r="P198" s="1">
        <f t="shared" si="118"/>
        <v>0</v>
      </c>
      <c r="Q198" s="1">
        <f t="shared" si="119"/>
        <v>0</v>
      </c>
    </row>
    <row r="199" spans="1:17" x14ac:dyDescent="0.25">
      <c r="A199" s="114" t="s">
        <v>151</v>
      </c>
      <c r="B199" s="1">
        <v>321540.08</v>
      </c>
      <c r="C199" s="1">
        <v>265057.82</v>
      </c>
      <c r="D199" s="1">
        <v>284816.11</v>
      </c>
      <c r="E199" s="1">
        <v>286945.63</v>
      </c>
      <c r="F199" s="1">
        <v>338930.51</v>
      </c>
      <c r="G199" s="1">
        <v>336452.67</v>
      </c>
      <c r="H199" s="58">
        <v>332380.34000000003</v>
      </c>
      <c r="I199" s="58">
        <v>332790.09000000003</v>
      </c>
      <c r="J199" s="1">
        <v>298732.25</v>
      </c>
      <c r="K199" s="1"/>
      <c r="L199" s="1"/>
      <c r="M199" s="1"/>
      <c r="N199" s="1">
        <f t="shared" ref="N199:N209" si="125">SUM(B199:M199)</f>
        <v>2797645.5</v>
      </c>
      <c r="P199" s="1">
        <f t="shared" si="118"/>
        <v>254331.40909090909</v>
      </c>
      <c r="Q199" s="1">
        <f t="shared" si="119"/>
        <v>-254331.40909090909</v>
      </c>
    </row>
    <row r="200" spans="1:17" x14ac:dyDescent="0.25">
      <c r="A200" s="114" t="s">
        <v>152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58">
        <v>0</v>
      </c>
      <c r="I200" s="58">
        <v>0</v>
      </c>
      <c r="J200" s="1">
        <v>0</v>
      </c>
      <c r="K200" s="1"/>
      <c r="L200" s="1"/>
      <c r="M200" s="1"/>
      <c r="N200" s="1">
        <f t="shared" si="125"/>
        <v>0</v>
      </c>
      <c r="P200" s="1">
        <f t="shared" si="118"/>
        <v>0</v>
      </c>
      <c r="Q200" s="1">
        <f t="shared" si="119"/>
        <v>0</v>
      </c>
    </row>
    <row r="201" spans="1:17" x14ac:dyDescent="0.25">
      <c r="A201" s="114" t="s">
        <v>153</v>
      </c>
      <c r="B201" s="1">
        <v>0</v>
      </c>
      <c r="C201" s="1">
        <v>4088</v>
      </c>
      <c r="D201" s="5">
        <v>4088</v>
      </c>
      <c r="E201" s="1">
        <v>4088</v>
      </c>
      <c r="F201" s="1">
        <v>4088</v>
      </c>
      <c r="G201" s="1">
        <v>-2599</v>
      </c>
      <c r="H201" s="58">
        <f>[4]Sheet1!$R$95</f>
        <v>4088</v>
      </c>
      <c r="I201" s="58">
        <v>4088</v>
      </c>
      <c r="J201" s="1">
        <v>4088</v>
      </c>
      <c r="K201" s="1"/>
      <c r="L201" s="1"/>
      <c r="M201" s="1"/>
      <c r="N201" s="1">
        <f t="shared" si="125"/>
        <v>26017</v>
      </c>
      <c r="P201" s="1">
        <f t="shared" si="118"/>
        <v>2365.181818181818</v>
      </c>
      <c r="Q201" s="1">
        <f t="shared" si="119"/>
        <v>-2365.181818181818</v>
      </c>
    </row>
    <row r="202" spans="1:17" x14ac:dyDescent="0.25">
      <c r="A202" s="114" t="s">
        <v>154</v>
      </c>
      <c r="B202" s="1">
        <v>34485.919999999998</v>
      </c>
      <c r="C202" s="1">
        <v>25848.55</v>
      </c>
      <c r="D202" s="5">
        <v>25451.64</v>
      </c>
      <c r="E202" s="1">
        <v>26482.85</v>
      </c>
      <c r="F202" s="1">
        <v>27594.59</v>
      </c>
      <c r="G202" s="1">
        <v>26155.119999999999</v>
      </c>
      <c r="H202" s="58">
        <f>[4]Sheet1!$R$96</f>
        <v>24572.799999999999</v>
      </c>
      <c r="I202" s="58">
        <v>24177.29</v>
      </c>
      <c r="J202" s="1">
        <v>19789.93</v>
      </c>
      <c r="K202" s="1"/>
      <c r="L202" s="1"/>
      <c r="M202" s="1"/>
      <c r="N202" s="1">
        <f t="shared" si="125"/>
        <v>234558.68999999997</v>
      </c>
      <c r="P202" s="1">
        <f t="shared" si="118"/>
        <v>21323.517272727269</v>
      </c>
      <c r="Q202" s="1">
        <f t="shared" si="119"/>
        <v>-21323.517272727269</v>
      </c>
    </row>
    <row r="203" spans="1:17" x14ac:dyDescent="0.25">
      <c r="A203" s="114" t="s">
        <v>155</v>
      </c>
      <c r="B203" s="1">
        <v>34701.300000000003</v>
      </c>
      <c r="C203" s="1">
        <v>29078.31</v>
      </c>
      <c r="D203" s="5">
        <v>14776.7</v>
      </c>
      <c r="E203" s="1">
        <v>22093.19</v>
      </c>
      <c r="F203" s="1">
        <v>36544.94</v>
      </c>
      <c r="G203" s="1">
        <v>29148.65</v>
      </c>
      <c r="H203" s="58">
        <f>[4]Sheet1!$R$97</f>
        <v>26044.41</v>
      </c>
      <c r="I203" s="58">
        <v>23927.88</v>
      </c>
      <c r="J203" s="1">
        <v>25377.29</v>
      </c>
      <c r="K203" s="1"/>
      <c r="L203" s="1"/>
      <c r="M203" s="1"/>
      <c r="N203" s="1">
        <f t="shared" si="125"/>
        <v>241692.67</v>
      </c>
      <c r="P203" s="1">
        <f t="shared" si="118"/>
        <v>21972.060909090909</v>
      </c>
      <c r="Q203" s="1">
        <f t="shared" si="119"/>
        <v>-21972.060909090909</v>
      </c>
    </row>
    <row r="204" spans="1:17" x14ac:dyDescent="0.25">
      <c r="A204" s="114" t="s">
        <v>156</v>
      </c>
      <c r="B204" s="1">
        <v>3985.86</v>
      </c>
      <c r="C204" s="1">
        <v>4106.21</v>
      </c>
      <c r="D204" s="5">
        <v>4155.76</v>
      </c>
      <c r="E204" s="1">
        <v>3572.78</v>
      </c>
      <c r="F204" s="1">
        <v>2661.9</v>
      </c>
      <c r="G204" s="1">
        <v>4701.25</v>
      </c>
      <c r="H204" s="58">
        <f>[4]Sheet1!$R$98</f>
        <v>4559.01</v>
      </c>
      <c r="I204" s="58">
        <v>4006.17</v>
      </c>
      <c r="J204" s="1">
        <v>4282.59</v>
      </c>
      <c r="K204" s="1"/>
      <c r="L204" s="1"/>
      <c r="M204" s="1"/>
      <c r="N204" s="1">
        <f t="shared" si="125"/>
        <v>36031.53</v>
      </c>
      <c r="P204" s="1">
        <f t="shared" si="118"/>
        <v>3275.5936363636361</v>
      </c>
      <c r="Q204" s="1">
        <f t="shared" si="119"/>
        <v>-3275.5936363636361</v>
      </c>
    </row>
    <row r="205" spans="1:17" x14ac:dyDescent="0.25">
      <c r="A205" s="114" t="s">
        <v>157</v>
      </c>
      <c r="B205" s="1">
        <v>9167</v>
      </c>
      <c r="C205" s="1">
        <v>9167</v>
      </c>
      <c r="D205" s="5">
        <v>9167</v>
      </c>
      <c r="E205" s="1">
        <v>9167</v>
      </c>
      <c r="F205" s="1">
        <v>9167</v>
      </c>
      <c r="G205" s="1">
        <v>8600</v>
      </c>
      <c r="H205" s="58">
        <f>[4]Sheet1!$R$99</f>
        <v>8600</v>
      </c>
      <c r="I205" s="58">
        <v>8600</v>
      </c>
      <c r="J205" s="1">
        <v>8600</v>
      </c>
      <c r="K205" s="1"/>
      <c r="L205" s="1"/>
      <c r="M205" s="1"/>
      <c r="N205" s="1">
        <f t="shared" si="125"/>
        <v>80235</v>
      </c>
      <c r="P205" s="1">
        <f t="shared" si="118"/>
        <v>7294.090909090909</v>
      </c>
      <c r="Q205" s="1">
        <f t="shared" si="119"/>
        <v>-7294.090909090909</v>
      </c>
    </row>
    <row r="206" spans="1:17" x14ac:dyDescent="0.25">
      <c r="A206" s="114" t="s">
        <v>158</v>
      </c>
      <c r="B206" s="1">
        <v>116.2</v>
      </c>
      <c r="C206" s="1">
        <v>164.9</v>
      </c>
      <c r="D206" s="5">
        <v>55.05</v>
      </c>
      <c r="E206" s="1">
        <v>59.95</v>
      </c>
      <c r="F206" s="1">
        <v>100</v>
      </c>
      <c r="G206" s="1">
        <v>59.95</v>
      </c>
      <c r="H206" s="58">
        <f>[4]Sheet1!$R$100</f>
        <v>1600</v>
      </c>
      <c r="I206" s="58">
        <v>0</v>
      </c>
      <c r="J206" s="1">
        <v>59.95</v>
      </c>
      <c r="K206" s="1"/>
      <c r="L206" s="1"/>
      <c r="M206" s="1"/>
      <c r="N206" s="1">
        <f t="shared" si="125"/>
        <v>2216</v>
      </c>
      <c r="P206" s="1">
        <f t="shared" si="118"/>
        <v>201.45454545454547</v>
      </c>
      <c r="Q206" s="1">
        <f t="shared" si="119"/>
        <v>-201.45454545454547</v>
      </c>
    </row>
    <row r="207" spans="1:17" x14ac:dyDescent="0.25">
      <c r="A207" s="114" t="s">
        <v>159</v>
      </c>
      <c r="B207" s="1">
        <v>1196.75</v>
      </c>
      <c r="C207" s="1">
        <v>1627.2</v>
      </c>
      <c r="D207" s="5">
        <v>1115.29</v>
      </c>
      <c r="E207" s="1">
        <v>1152.68</v>
      </c>
      <c r="F207" s="1">
        <v>1252.42</v>
      </c>
      <c r="G207" s="1">
        <v>1063.43</v>
      </c>
      <c r="H207" s="58">
        <f>[4]Sheet1!$R$101</f>
        <v>1388.91</v>
      </c>
      <c r="I207" s="58">
        <v>1086.9000000000001</v>
      </c>
      <c r="J207" s="1">
        <v>477.46</v>
      </c>
      <c r="K207" s="1"/>
      <c r="L207" s="1"/>
      <c r="M207" s="1"/>
      <c r="N207" s="1">
        <f t="shared" si="125"/>
        <v>10361.039999999999</v>
      </c>
      <c r="P207" s="1">
        <f t="shared" si="118"/>
        <v>941.91272727272724</v>
      </c>
      <c r="Q207" s="1">
        <f t="shared" si="119"/>
        <v>-941.91272727272724</v>
      </c>
    </row>
    <row r="208" spans="1:17" x14ac:dyDescent="0.25">
      <c r="A208" s="114" t="s">
        <v>160</v>
      </c>
      <c r="B208" s="1">
        <v>0</v>
      </c>
      <c r="C208" s="1">
        <v>2800</v>
      </c>
      <c r="D208" s="5">
        <v>0</v>
      </c>
      <c r="E208" s="1">
        <v>0</v>
      </c>
      <c r="F208" s="1">
        <v>0</v>
      </c>
      <c r="G208" s="1">
        <v>220</v>
      </c>
      <c r="H208" s="58">
        <f>[4]Sheet1!$R$102</f>
        <v>0</v>
      </c>
      <c r="I208" s="58">
        <v>320</v>
      </c>
      <c r="J208" s="1">
        <v>340</v>
      </c>
      <c r="K208" s="1"/>
      <c r="L208" s="1"/>
      <c r="M208" s="1"/>
      <c r="N208" s="1">
        <f t="shared" si="125"/>
        <v>3680</v>
      </c>
      <c r="P208" s="1">
        <f t="shared" si="118"/>
        <v>334.54545454545456</v>
      </c>
      <c r="Q208" s="1">
        <f t="shared" si="119"/>
        <v>-334.54545454545456</v>
      </c>
    </row>
    <row r="209" spans="1:17" x14ac:dyDescent="0.25">
      <c r="A209" s="114" t="s">
        <v>161</v>
      </c>
      <c r="B209" s="1">
        <v>0</v>
      </c>
      <c r="C209" s="1">
        <v>0</v>
      </c>
      <c r="D209" s="5">
        <v>0</v>
      </c>
      <c r="E209" s="1">
        <v>309.48</v>
      </c>
      <c r="F209" s="1">
        <v>0</v>
      </c>
      <c r="G209" s="1">
        <v>0</v>
      </c>
      <c r="H209" s="58">
        <f>[4]Sheet1!$R$103</f>
        <v>1732.26</v>
      </c>
      <c r="I209" s="58">
        <v>0</v>
      </c>
      <c r="J209" s="1">
        <v>1020</v>
      </c>
      <c r="K209" s="1"/>
      <c r="L209" s="1"/>
      <c r="M209" s="1"/>
      <c r="N209" s="1">
        <f t="shared" si="125"/>
        <v>3061.74</v>
      </c>
      <c r="P209" s="1">
        <f t="shared" si="118"/>
        <v>278.33999999999997</v>
      </c>
      <c r="Q209" s="1">
        <f t="shared" si="119"/>
        <v>-278.33999999999997</v>
      </c>
    </row>
    <row r="210" spans="1:17" ht="15.75" thickBot="1" x14ac:dyDescent="0.3">
      <c r="A210" s="124" t="s">
        <v>162</v>
      </c>
      <c r="B210" s="39">
        <f t="shared" ref="B210:G210" si="126">SUM(B199:B209)</f>
        <v>405193.11</v>
      </c>
      <c r="C210" s="39">
        <f t="shared" si="126"/>
        <v>341937.99000000005</v>
      </c>
      <c r="D210" s="39">
        <f t="shared" si="126"/>
        <v>343625.55</v>
      </c>
      <c r="E210" s="39">
        <f t="shared" si="126"/>
        <v>353871.56</v>
      </c>
      <c r="F210" s="39">
        <f t="shared" si="126"/>
        <v>420339.36000000004</v>
      </c>
      <c r="G210" s="39">
        <f t="shared" si="126"/>
        <v>403802.07</v>
      </c>
      <c r="H210" s="39">
        <f>SUM(H199:H209)</f>
        <v>404965.73</v>
      </c>
      <c r="I210" s="39">
        <f>SUM(I199:I209)</f>
        <v>398996.33</v>
      </c>
      <c r="J210" s="39">
        <f>SUM(J199:J209)</f>
        <v>362767.47000000003</v>
      </c>
      <c r="K210" s="39">
        <f t="shared" ref="K210:M210" si="127">SUM(K199:K207)</f>
        <v>0</v>
      </c>
      <c r="L210" s="39">
        <f t="shared" si="127"/>
        <v>0</v>
      </c>
      <c r="M210" s="39">
        <f t="shared" si="127"/>
        <v>0</v>
      </c>
      <c r="N210" s="39">
        <f>SUM(N199:T209)</f>
        <v>3435499.17</v>
      </c>
      <c r="P210" s="39">
        <f t="shared" si="118"/>
        <v>312318.10636363638</v>
      </c>
      <c r="Q210" s="39">
        <f t="shared" si="119"/>
        <v>-312318.10636363638</v>
      </c>
    </row>
    <row r="211" spans="1:17" ht="15.75" thickTop="1" x14ac:dyDescent="0.25">
      <c r="C211" s="1"/>
      <c r="D211" s="1"/>
      <c r="E211" s="58"/>
      <c r="F211" s="58"/>
      <c r="G211" s="1"/>
      <c r="H211" s="58"/>
      <c r="I211" s="1"/>
      <c r="J211" s="1"/>
      <c r="K211" s="1"/>
      <c r="L211" s="1"/>
      <c r="M211" s="1"/>
      <c r="N211" s="1"/>
      <c r="P211" s="1">
        <f t="shared" si="118"/>
        <v>0</v>
      </c>
      <c r="Q211" s="1">
        <f t="shared" si="119"/>
        <v>0</v>
      </c>
    </row>
    <row r="212" spans="1:17" x14ac:dyDescent="0.25">
      <c r="A212" s="168" t="s">
        <v>481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58"/>
      <c r="I212" s="1"/>
      <c r="J212" s="1">
        <v>12500</v>
      </c>
      <c r="K212" s="1"/>
      <c r="L212" s="1"/>
      <c r="M212" s="1"/>
      <c r="N212" s="1">
        <f t="shared" ref="N212:N230" si="128">SUM(B212:M212)</f>
        <v>12500</v>
      </c>
      <c r="P212" s="1"/>
      <c r="Q212" s="1"/>
    </row>
    <row r="213" spans="1:17" x14ac:dyDescent="0.25">
      <c r="A213" s="114" t="s">
        <v>163</v>
      </c>
      <c r="B213" s="1">
        <v>34200</v>
      </c>
      <c r="C213" s="1">
        <v>34200</v>
      </c>
      <c r="D213" s="5">
        <v>34200</v>
      </c>
      <c r="E213" s="1">
        <v>34200</v>
      </c>
      <c r="F213" s="1">
        <v>34200</v>
      </c>
      <c r="G213" s="1">
        <v>34200</v>
      </c>
      <c r="H213" s="58">
        <v>34200</v>
      </c>
      <c r="I213" s="58">
        <v>34200</v>
      </c>
      <c r="J213" s="1">
        <v>34200</v>
      </c>
      <c r="K213" s="1"/>
      <c r="L213" s="1"/>
      <c r="M213" s="1"/>
      <c r="N213" s="1">
        <f t="shared" si="128"/>
        <v>307800</v>
      </c>
      <c r="P213" s="1">
        <f t="shared" ref="P213:P267" si="129">(N213-M213)/11</f>
        <v>27981.81818181818</v>
      </c>
      <c r="Q213" s="1">
        <f t="shared" ref="Q213:Q267" si="130">M213-P213</f>
        <v>-27981.81818181818</v>
      </c>
    </row>
    <row r="214" spans="1:17" x14ac:dyDescent="0.25">
      <c r="A214" s="114" t="s">
        <v>164</v>
      </c>
      <c r="B214" s="1">
        <v>8503.81</v>
      </c>
      <c r="C214" s="1">
        <v>5315.92</v>
      </c>
      <c r="D214" s="5">
        <v>5721.77</v>
      </c>
      <c r="E214" s="1">
        <v>1979.68</v>
      </c>
      <c r="F214" s="1">
        <v>-5668.03</v>
      </c>
      <c r="G214" s="1">
        <v>-5550.91</v>
      </c>
      <c r="H214" s="58">
        <v>-5623.92</v>
      </c>
      <c r="I214" s="58">
        <v>-2125.3000000000002</v>
      </c>
      <c r="J214" s="1">
        <v>-1659.04</v>
      </c>
      <c r="K214" s="1"/>
      <c r="L214" s="1"/>
      <c r="M214" s="1"/>
      <c r="N214" s="1">
        <f t="shared" si="128"/>
        <v>893.98000000000138</v>
      </c>
      <c r="P214" s="1">
        <f t="shared" si="129"/>
        <v>81.270909090909214</v>
      </c>
      <c r="Q214" s="1">
        <f t="shared" si="130"/>
        <v>-81.270909090909214</v>
      </c>
    </row>
    <row r="215" spans="1:17" x14ac:dyDescent="0.25">
      <c r="A215" s="114" t="s">
        <v>165</v>
      </c>
      <c r="B215" s="1">
        <v>812.13</v>
      </c>
      <c r="C215" s="1">
        <v>2889.41</v>
      </c>
      <c r="D215" s="5">
        <v>2880.16</v>
      </c>
      <c r="E215" s="1">
        <v>1338.1</v>
      </c>
      <c r="F215" s="1">
        <v>587.38</v>
      </c>
      <c r="G215" s="1">
        <v>168.44</v>
      </c>
      <c r="H215" s="58">
        <v>38.119999999999997</v>
      </c>
      <c r="I215" s="58">
        <v>39.21</v>
      </c>
      <c r="J215" s="1">
        <v>58.76</v>
      </c>
      <c r="K215" s="1"/>
      <c r="L215" s="1"/>
      <c r="M215" s="1"/>
      <c r="N215" s="1">
        <f t="shared" si="128"/>
        <v>8811.7099999999991</v>
      </c>
      <c r="P215" s="1">
        <f t="shared" si="129"/>
        <v>801.0645454545454</v>
      </c>
      <c r="Q215" s="1">
        <f t="shared" si="130"/>
        <v>-801.0645454545454</v>
      </c>
    </row>
    <row r="216" spans="1:17" x14ac:dyDescent="0.25">
      <c r="A216" s="114" t="s">
        <v>166</v>
      </c>
      <c r="B216" s="1">
        <v>0</v>
      </c>
      <c r="C216" s="1">
        <v>0</v>
      </c>
      <c r="D216" s="5">
        <v>0</v>
      </c>
      <c r="E216" s="1">
        <v>0</v>
      </c>
      <c r="F216" s="1">
        <v>579.03</v>
      </c>
      <c r="G216" s="1">
        <v>0</v>
      </c>
      <c r="H216" s="58">
        <v>0</v>
      </c>
      <c r="I216" s="58">
        <v>0</v>
      </c>
      <c r="J216" s="1">
        <v>0</v>
      </c>
      <c r="K216" s="1"/>
      <c r="L216" s="1"/>
      <c r="M216" s="1"/>
      <c r="N216" s="1">
        <f t="shared" si="128"/>
        <v>579.03</v>
      </c>
      <c r="P216" s="1">
        <f t="shared" si="129"/>
        <v>52.639090909090903</v>
      </c>
      <c r="Q216" s="1">
        <f t="shared" si="130"/>
        <v>-52.639090909090903</v>
      </c>
    </row>
    <row r="217" spans="1:17" s="7" customFormat="1" x14ac:dyDescent="0.25">
      <c r="A217" s="116" t="s">
        <v>479</v>
      </c>
      <c r="B217" s="58"/>
      <c r="C217" s="58"/>
      <c r="D217" s="5"/>
      <c r="E217" s="58"/>
      <c r="F217" s="58"/>
      <c r="G217" s="58"/>
      <c r="H217" s="58"/>
      <c r="I217" s="58"/>
      <c r="J217" s="58">
        <v>178.45</v>
      </c>
      <c r="K217" s="58"/>
      <c r="L217" s="58"/>
      <c r="M217" s="58"/>
      <c r="N217" s="58">
        <f t="shared" si="128"/>
        <v>178.45</v>
      </c>
      <c r="P217" s="58"/>
      <c r="Q217" s="58"/>
    </row>
    <row r="218" spans="1:17" x14ac:dyDescent="0.25">
      <c r="A218" t="s">
        <v>452</v>
      </c>
      <c r="B218" s="1">
        <v>6595</v>
      </c>
      <c r="C218" s="1">
        <v>2825</v>
      </c>
      <c r="D218" s="5">
        <v>4805</v>
      </c>
      <c r="E218" s="1">
        <v>0</v>
      </c>
      <c r="F218" s="1">
        <v>0</v>
      </c>
      <c r="G218" s="1">
        <v>0</v>
      </c>
      <c r="H218" s="58">
        <v>5490</v>
      </c>
      <c r="I218" s="58">
        <v>0</v>
      </c>
      <c r="J218" s="1">
        <v>0</v>
      </c>
      <c r="K218" s="1"/>
      <c r="L218" s="1"/>
      <c r="M218" s="1"/>
      <c r="N218" s="1">
        <f t="shared" si="128"/>
        <v>19715</v>
      </c>
      <c r="P218" s="1">
        <f t="shared" si="129"/>
        <v>1792.2727272727273</v>
      </c>
      <c r="Q218" s="1">
        <f t="shared" si="130"/>
        <v>-1792.2727272727273</v>
      </c>
    </row>
    <row r="219" spans="1:17" x14ac:dyDescent="0.25">
      <c r="A219" s="114" t="s">
        <v>167</v>
      </c>
      <c r="B219" s="1">
        <v>11843.29</v>
      </c>
      <c r="C219" s="1">
        <v>5450.87</v>
      </c>
      <c r="D219" s="5">
        <v>12040.98</v>
      </c>
      <c r="E219" s="1">
        <v>8053.61</v>
      </c>
      <c r="F219" s="1">
        <v>16912.45</v>
      </c>
      <c r="G219" s="1">
        <v>6944.38</v>
      </c>
      <c r="H219" s="58">
        <v>13400.41</v>
      </c>
      <c r="I219" s="58">
        <v>5581.37</v>
      </c>
      <c r="J219" s="1">
        <v>8406.82</v>
      </c>
      <c r="K219" s="1"/>
      <c r="L219" s="1"/>
      <c r="M219" s="1"/>
      <c r="N219" s="1">
        <f t="shared" si="128"/>
        <v>88634.18</v>
      </c>
      <c r="P219" s="1">
        <f t="shared" si="129"/>
        <v>8057.6527272727262</v>
      </c>
      <c r="Q219" s="1">
        <f t="shared" si="130"/>
        <v>-8057.6527272727262</v>
      </c>
    </row>
    <row r="220" spans="1:17" x14ac:dyDescent="0.25">
      <c r="A220" s="114" t="s">
        <v>168</v>
      </c>
      <c r="B220" s="1">
        <v>8676.52</v>
      </c>
      <c r="C220" s="1">
        <v>8676.52</v>
      </c>
      <c r="D220" s="5">
        <v>8676.51</v>
      </c>
      <c r="E220" s="1">
        <v>8676.52</v>
      </c>
      <c r="F220" s="1">
        <v>8676.52</v>
      </c>
      <c r="G220" s="1">
        <v>8676.51</v>
      </c>
      <c r="H220" s="58">
        <v>9179.7000000000007</v>
      </c>
      <c r="I220" s="58">
        <v>9179.7000000000007</v>
      </c>
      <c r="J220" s="1">
        <v>9179.7000000000007</v>
      </c>
      <c r="K220" s="1"/>
      <c r="L220" s="1"/>
      <c r="M220" s="1"/>
      <c r="N220" s="1">
        <f t="shared" si="128"/>
        <v>79598.200000000012</v>
      </c>
      <c r="P220" s="1">
        <f t="shared" si="129"/>
        <v>7236.2000000000007</v>
      </c>
      <c r="Q220" s="1">
        <f t="shared" si="130"/>
        <v>-7236.2000000000007</v>
      </c>
    </row>
    <row r="221" spans="1:17" x14ac:dyDescent="0.25">
      <c r="A221" s="114" t="s">
        <v>169</v>
      </c>
      <c r="B221" s="1">
        <v>3100</v>
      </c>
      <c r="C221" s="1">
        <v>3100</v>
      </c>
      <c r="D221" s="5">
        <v>3100</v>
      </c>
      <c r="E221" s="1">
        <v>3100</v>
      </c>
      <c r="F221" s="1">
        <v>3100</v>
      </c>
      <c r="G221" s="1">
        <v>4500</v>
      </c>
      <c r="H221" s="58">
        <v>4366.8900000000003</v>
      </c>
      <c r="I221" s="58">
        <v>4633.1099999999997</v>
      </c>
      <c r="J221" s="1">
        <v>4500</v>
      </c>
      <c r="K221" s="1"/>
      <c r="L221" s="1"/>
      <c r="M221" s="1"/>
      <c r="N221" s="1">
        <f t="shared" si="128"/>
        <v>33500</v>
      </c>
      <c r="P221" s="1">
        <f t="shared" si="129"/>
        <v>3045.4545454545455</v>
      </c>
      <c r="Q221" s="1">
        <f t="shared" si="130"/>
        <v>-3045.4545454545455</v>
      </c>
    </row>
    <row r="222" spans="1:17" x14ac:dyDescent="0.25">
      <c r="A222" s="114" t="s">
        <v>170</v>
      </c>
      <c r="B222" s="1">
        <v>5157.18</v>
      </c>
      <c r="C222" s="1">
        <v>5157.18</v>
      </c>
      <c r="D222" s="5">
        <v>5023.41</v>
      </c>
      <c r="E222" s="1">
        <v>5123.42</v>
      </c>
      <c r="F222" s="1">
        <v>5023.42</v>
      </c>
      <c r="G222" s="1">
        <v>5023.42</v>
      </c>
      <c r="H222" s="58">
        <v>5023.42</v>
      </c>
      <c r="I222" s="58">
        <v>5023.42</v>
      </c>
      <c r="J222" s="1">
        <v>5023.42</v>
      </c>
      <c r="K222" s="1"/>
      <c r="L222" s="1"/>
      <c r="M222" s="1"/>
      <c r="N222" s="1">
        <f t="shared" si="128"/>
        <v>45578.289999999994</v>
      </c>
      <c r="P222" s="1">
        <f t="shared" si="129"/>
        <v>4143.4809090909084</v>
      </c>
      <c r="Q222" s="1">
        <f t="shared" si="130"/>
        <v>-4143.4809090909084</v>
      </c>
    </row>
    <row r="223" spans="1:17" x14ac:dyDescent="0.25">
      <c r="A223" s="114" t="s">
        <v>171</v>
      </c>
      <c r="B223" s="1">
        <v>781.02</v>
      </c>
      <c r="C223" s="1">
        <v>3798.75</v>
      </c>
      <c r="D223" s="5">
        <v>1347.95</v>
      </c>
      <c r="E223" s="1">
        <v>606.57000000000005</v>
      </c>
      <c r="F223" s="1">
        <v>716.17</v>
      </c>
      <c r="G223" s="1">
        <v>506.25</v>
      </c>
      <c r="H223" s="58">
        <v>0</v>
      </c>
      <c r="I223" s="58">
        <v>118.99</v>
      </c>
      <c r="J223" s="1">
        <v>1217.7</v>
      </c>
      <c r="K223" s="1"/>
      <c r="L223" s="1"/>
      <c r="M223" s="1"/>
      <c r="N223" s="1">
        <f t="shared" si="128"/>
        <v>9093.4</v>
      </c>
      <c r="O223" s="1"/>
      <c r="P223" s="1">
        <f t="shared" si="129"/>
        <v>826.67272727272723</v>
      </c>
      <c r="Q223" s="1">
        <f t="shared" si="130"/>
        <v>-826.67272727272723</v>
      </c>
    </row>
    <row r="224" spans="1:17" x14ac:dyDescent="0.25">
      <c r="A224" s="114" t="s">
        <v>172</v>
      </c>
      <c r="B224" s="1">
        <v>740.6</v>
      </c>
      <c r="C224" s="1">
        <v>321.60000000000002</v>
      </c>
      <c r="D224" s="5">
        <v>321.60000000000002</v>
      </c>
      <c r="E224" s="1">
        <v>419.18</v>
      </c>
      <c r="F224" s="1">
        <v>439.52</v>
      </c>
      <c r="G224" s="1">
        <v>321.60000000000002</v>
      </c>
      <c r="H224" s="58">
        <v>1372.85</v>
      </c>
      <c r="I224" s="58">
        <v>2251.7800000000002</v>
      </c>
      <c r="J224" s="1">
        <v>817.68</v>
      </c>
      <c r="K224" s="1"/>
      <c r="L224" s="1"/>
      <c r="M224" s="1"/>
      <c r="N224" s="1">
        <f t="shared" si="128"/>
        <v>7006.41</v>
      </c>
      <c r="P224" s="1">
        <f t="shared" si="129"/>
        <v>636.94636363636357</v>
      </c>
      <c r="Q224" s="1">
        <f t="shared" si="130"/>
        <v>-636.94636363636357</v>
      </c>
    </row>
    <row r="225" spans="1:17" x14ac:dyDescent="0.25">
      <c r="A225" s="114" t="s">
        <v>173</v>
      </c>
      <c r="B225" s="1">
        <v>333.33</v>
      </c>
      <c r="C225" s="1">
        <v>333.33</v>
      </c>
      <c r="D225" s="5">
        <v>333.33</v>
      </c>
      <c r="E225" s="1">
        <v>333.33</v>
      </c>
      <c r="F225" s="1">
        <v>333.33</v>
      </c>
      <c r="G225" s="1">
        <v>333.33</v>
      </c>
      <c r="H225" s="58">
        <v>333.33</v>
      </c>
      <c r="I225" s="58">
        <v>333.33</v>
      </c>
      <c r="J225" s="1">
        <v>333.33</v>
      </c>
      <c r="K225" s="1"/>
      <c r="L225" s="1"/>
      <c r="M225" s="1"/>
      <c r="N225" s="1">
        <f t="shared" si="128"/>
        <v>2999.97</v>
      </c>
      <c r="P225" s="1">
        <f t="shared" si="129"/>
        <v>272.72454545454542</v>
      </c>
      <c r="Q225" s="1">
        <f t="shared" si="130"/>
        <v>-272.72454545454542</v>
      </c>
    </row>
    <row r="226" spans="1:17" x14ac:dyDescent="0.25">
      <c r="A226" s="114" t="s">
        <v>174</v>
      </c>
      <c r="B226" s="1">
        <v>115897.3</v>
      </c>
      <c r="C226" s="1">
        <v>117313.31</v>
      </c>
      <c r="D226" s="5">
        <v>117313.31</v>
      </c>
      <c r="E226" s="1">
        <v>69868.929999999993</v>
      </c>
      <c r="F226" s="1">
        <v>62865.39</v>
      </c>
      <c r="G226" s="1">
        <v>89768.53</v>
      </c>
      <c r="H226" s="58">
        <v>67753.13</v>
      </c>
      <c r="I226" s="58">
        <v>67298.850000000006</v>
      </c>
      <c r="J226" s="1">
        <v>65440.22</v>
      </c>
      <c r="K226" s="1"/>
      <c r="L226" s="1"/>
      <c r="M226" s="1"/>
      <c r="N226" s="1">
        <f t="shared" si="128"/>
        <v>773518.97</v>
      </c>
      <c r="P226" s="1">
        <f t="shared" si="129"/>
        <v>70319.906363636357</v>
      </c>
      <c r="Q226" s="1">
        <f t="shared" si="130"/>
        <v>-70319.906363636357</v>
      </c>
    </row>
    <row r="227" spans="1:17" x14ac:dyDescent="0.25">
      <c r="A227" s="114" t="s">
        <v>175</v>
      </c>
      <c r="B227" s="1">
        <v>0</v>
      </c>
      <c r="C227" s="1">
        <v>0</v>
      </c>
      <c r="D227" s="5">
        <v>0</v>
      </c>
      <c r="E227" s="1">
        <v>1820.4</v>
      </c>
      <c r="F227" s="1">
        <v>0</v>
      </c>
      <c r="G227" s="1">
        <v>5256.73</v>
      </c>
      <c r="H227" s="58">
        <v>3721.9</v>
      </c>
      <c r="I227" s="58">
        <v>1441.3</v>
      </c>
      <c r="J227" s="1">
        <v>1188.0899999999999</v>
      </c>
      <c r="K227" s="1"/>
      <c r="L227" s="1"/>
      <c r="M227" s="1"/>
      <c r="N227" s="1">
        <f t="shared" si="128"/>
        <v>13428.419999999998</v>
      </c>
      <c r="P227" s="1">
        <f t="shared" si="129"/>
        <v>1220.7654545454543</v>
      </c>
      <c r="Q227" s="1">
        <f t="shared" si="130"/>
        <v>-1220.7654545454543</v>
      </c>
    </row>
    <row r="228" spans="1:17" x14ac:dyDescent="0.25">
      <c r="A228" s="114" t="s">
        <v>176</v>
      </c>
      <c r="B228" s="1">
        <v>0</v>
      </c>
      <c r="C228" s="1">
        <v>0</v>
      </c>
      <c r="D228" s="5">
        <v>0</v>
      </c>
      <c r="E228" s="1">
        <v>390</v>
      </c>
      <c r="F228" s="1">
        <v>390</v>
      </c>
      <c r="G228" s="1">
        <v>390</v>
      </c>
      <c r="H228" s="58">
        <v>390</v>
      </c>
      <c r="I228" s="58">
        <v>390</v>
      </c>
      <c r="J228" s="1">
        <v>390</v>
      </c>
      <c r="K228" s="1"/>
      <c r="L228" s="1"/>
      <c r="M228" s="1"/>
      <c r="N228" s="1">
        <f t="shared" si="128"/>
        <v>2340</v>
      </c>
      <c r="P228" s="1">
        <f t="shared" si="129"/>
        <v>212.72727272727272</v>
      </c>
      <c r="Q228" s="1">
        <f t="shared" si="130"/>
        <v>-212.72727272727272</v>
      </c>
    </row>
    <row r="229" spans="1:17" x14ac:dyDescent="0.25">
      <c r="A229" s="114" t="s">
        <v>395</v>
      </c>
      <c r="B229" s="1">
        <v>0</v>
      </c>
      <c r="C229" s="1">
        <v>0</v>
      </c>
      <c r="D229" s="5">
        <v>0</v>
      </c>
      <c r="E229" s="1">
        <v>51803</v>
      </c>
      <c r="F229" s="1">
        <v>58244.6</v>
      </c>
      <c r="G229" s="1">
        <v>55745.919999999998</v>
      </c>
      <c r="H229" s="58">
        <v>74963</v>
      </c>
      <c r="I229" s="58">
        <v>57878.13</v>
      </c>
      <c r="J229" s="1">
        <v>58108.23</v>
      </c>
      <c r="K229" s="1"/>
      <c r="L229" s="1"/>
      <c r="M229" s="1"/>
      <c r="N229" s="1">
        <f t="shared" si="128"/>
        <v>356742.88</v>
      </c>
      <c r="P229" s="1"/>
      <c r="Q229" s="1"/>
    </row>
    <row r="230" spans="1:17" s="7" customFormat="1" x14ac:dyDescent="0.25">
      <c r="A230" s="116" t="s">
        <v>480</v>
      </c>
      <c r="B230" s="58"/>
      <c r="C230" s="58"/>
      <c r="D230" s="5"/>
      <c r="E230" s="58"/>
      <c r="F230" s="58"/>
      <c r="G230" s="58"/>
      <c r="H230" s="58"/>
      <c r="I230" s="58"/>
      <c r="J230" s="58">
        <v>67500</v>
      </c>
      <c r="K230" s="58"/>
      <c r="L230" s="58"/>
      <c r="M230" s="58"/>
      <c r="N230" s="58">
        <f t="shared" si="128"/>
        <v>67500</v>
      </c>
      <c r="P230" s="58"/>
      <c r="Q230" s="58"/>
    </row>
    <row r="231" spans="1:17" ht="15.75" thickBot="1" x14ac:dyDescent="0.3">
      <c r="A231" s="124" t="s">
        <v>177</v>
      </c>
      <c r="B231" s="39">
        <f t="shared" ref="B231:F231" si="131">SUM(B213:B229)</f>
        <v>196640.18</v>
      </c>
      <c r="C231" s="39">
        <f t="shared" si="131"/>
        <v>189381.89</v>
      </c>
      <c r="D231" s="39">
        <f t="shared" si="131"/>
        <v>195764.02000000002</v>
      </c>
      <c r="E231" s="39">
        <f t="shared" si="131"/>
        <v>187712.74</v>
      </c>
      <c r="F231" s="39">
        <f t="shared" si="131"/>
        <v>186399.78</v>
      </c>
      <c r="G231" s="39">
        <f>SUM(G213:G229)</f>
        <v>206284.2</v>
      </c>
      <c r="H231" s="39">
        <f>SUM(H213:H229)</f>
        <v>214608.83</v>
      </c>
      <c r="I231" s="39">
        <f>SUM(I213:I230)</f>
        <v>186243.88999999998</v>
      </c>
      <c r="J231" s="39">
        <f>SUM(J212:J230)</f>
        <v>267383.36</v>
      </c>
      <c r="K231" s="39">
        <f t="shared" ref="K231:M231" si="132">SUM(K213:K226)</f>
        <v>0</v>
      </c>
      <c r="L231" s="39">
        <f t="shared" si="132"/>
        <v>0</v>
      </c>
      <c r="M231" s="39">
        <f t="shared" si="132"/>
        <v>0</v>
      </c>
      <c r="N231" s="39">
        <f>SUM(N212:N230)</f>
        <v>1830418.8900000001</v>
      </c>
      <c r="P231" s="39">
        <f t="shared" si="129"/>
        <v>166401.71727272728</v>
      </c>
      <c r="Q231" s="39">
        <f t="shared" si="130"/>
        <v>-166401.71727272728</v>
      </c>
    </row>
    <row r="232" spans="1:17" ht="15.75" thickTop="1" x14ac:dyDescent="0.25">
      <c r="C232" s="1"/>
      <c r="D232" s="1"/>
      <c r="E232" s="1"/>
      <c r="F232" s="1"/>
      <c r="G232" s="1"/>
      <c r="H232" s="58"/>
      <c r="I232" s="1"/>
      <c r="J232" s="1"/>
      <c r="K232" s="1"/>
      <c r="L232" s="1"/>
      <c r="M232" s="1"/>
      <c r="N232" s="1"/>
      <c r="P232" s="1">
        <f t="shared" si="129"/>
        <v>0</v>
      </c>
      <c r="Q232" s="1">
        <f t="shared" si="130"/>
        <v>0</v>
      </c>
    </row>
    <row r="233" spans="1:17" x14ac:dyDescent="0.25">
      <c r="A233" s="114" t="s">
        <v>178</v>
      </c>
      <c r="B233" s="1">
        <v>0</v>
      </c>
      <c r="C233" s="1">
        <v>0</v>
      </c>
      <c r="D233" s="1">
        <v>0</v>
      </c>
      <c r="E233" s="1"/>
      <c r="F233" s="1">
        <v>0</v>
      </c>
      <c r="G233" s="1">
        <v>2500</v>
      </c>
      <c r="H233" s="58">
        <v>2000</v>
      </c>
      <c r="I233" s="58">
        <v>0</v>
      </c>
      <c r="J233" s="1">
        <v>0</v>
      </c>
      <c r="K233" s="1"/>
      <c r="L233" s="1"/>
      <c r="M233" s="1"/>
      <c r="N233" s="1">
        <f t="shared" ref="N233:N261" si="133">SUM(B233:M233)</f>
        <v>4500</v>
      </c>
      <c r="P233" s="1">
        <f t="shared" si="129"/>
        <v>409.09090909090907</v>
      </c>
      <c r="Q233" s="1">
        <f t="shared" si="130"/>
        <v>-409.09090909090907</v>
      </c>
    </row>
    <row r="234" spans="1:17" x14ac:dyDescent="0.25">
      <c r="A234" s="114" t="s">
        <v>179</v>
      </c>
      <c r="B234" s="1">
        <v>5835.67</v>
      </c>
      <c r="C234" s="1">
        <v>5000</v>
      </c>
      <c r="D234" s="5">
        <v>4813.05</v>
      </c>
      <c r="E234" s="1">
        <v>5000</v>
      </c>
      <c r="F234" s="1">
        <v>5000</v>
      </c>
      <c r="G234" s="1">
        <v>5000</v>
      </c>
      <c r="H234" s="58">
        <v>5000</v>
      </c>
      <c r="I234" s="58">
        <v>5000</v>
      </c>
      <c r="J234" s="1">
        <v>5000</v>
      </c>
      <c r="K234" s="1"/>
      <c r="L234" s="1"/>
      <c r="M234" s="1"/>
      <c r="N234" s="1">
        <f t="shared" si="133"/>
        <v>45648.72</v>
      </c>
      <c r="P234" s="1">
        <f t="shared" si="129"/>
        <v>4149.8836363636365</v>
      </c>
      <c r="Q234" s="1">
        <f t="shared" si="130"/>
        <v>-4149.8836363636365</v>
      </c>
    </row>
    <row r="235" spans="1:17" x14ac:dyDescent="0.25">
      <c r="A235" s="114" t="s">
        <v>180</v>
      </c>
      <c r="B235" s="1">
        <v>815.83</v>
      </c>
      <c r="C235" s="1">
        <v>1293.81</v>
      </c>
      <c r="D235" s="5">
        <v>863.73</v>
      </c>
      <c r="E235" s="1">
        <v>836.51</v>
      </c>
      <c r="F235" s="1">
        <v>838.95</v>
      </c>
      <c r="G235" s="1">
        <v>838.95</v>
      </c>
      <c r="H235" s="58">
        <v>822.29</v>
      </c>
      <c r="I235" s="58">
        <v>935.47</v>
      </c>
      <c r="J235" s="1">
        <v>805.06</v>
      </c>
      <c r="K235" s="1"/>
      <c r="L235" s="1"/>
      <c r="M235" s="1"/>
      <c r="N235" s="1">
        <f t="shared" si="133"/>
        <v>8050.6</v>
      </c>
      <c r="P235" s="1">
        <f t="shared" si="129"/>
        <v>731.87272727272727</v>
      </c>
      <c r="Q235" s="1">
        <f t="shared" si="130"/>
        <v>-731.87272727272727</v>
      </c>
    </row>
    <row r="236" spans="1:17" x14ac:dyDescent="0.25">
      <c r="A236" s="114" t="s">
        <v>181</v>
      </c>
      <c r="B236" s="1">
        <v>11891.59</v>
      </c>
      <c r="C236" s="1">
        <v>11089.07</v>
      </c>
      <c r="D236" s="5">
        <v>11189.22</v>
      </c>
      <c r="E236" s="1">
        <v>11179.32</v>
      </c>
      <c r="F236" s="1">
        <v>10355.59</v>
      </c>
      <c r="G236" s="1">
        <v>2547</v>
      </c>
      <c r="H236" s="58">
        <v>10193.629999999999</v>
      </c>
      <c r="I236" s="58">
        <v>11578.59</v>
      </c>
      <c r="J236" s="1">
        <v>11065.45</v>
      </c>
      <c r="K236" s="1"/>
      <c r="L236" s="1"/>
      <c r="M236" s="1"/>
      <c r="N236" s="1">
        <f t="shared" si="133"/>
        <v>91089.459999999992</v>
      </c>
      <c r="P236" s="1">
        <f t="shared" si="129"/>
        <v>8280.8599999999988</v>
      </c>
      <c r="Q236" s="1">
        <f t="shared" si="130"/>
        <v>-8280.8599999999988</v>
      </c>
    </row>
    <row r="237" spans="1:17" x14ac:dyDescent="0.25">
      <c r="A237" s="114" t="s">
        <v>182</v>
      </c>
      <c r="B237" s="1">
        <v>0</v>
      </c>
      <c r="C237" s="1">
        <v>0</v>
      </c>
      <c r="D237" s="5">
        <v>0</v>
      </c>
      <c r="E237" s="1">
        <v>0</v>
      </c>
      <c r="F237" s="1">
        <v>0</v>
      </c>
      <c r="G237" s="1">
        <v>0</v>
      </c>
      <c r="H237" s="58">
        <v>0</v>
      </c>
      <c r="I237" s="58">
        <v>0</v>
      </c>
      <c r="J237" s="1">
        <v>543.67999999999995</v>
      </c>
      <c r="K237" s="1"/>
      <c r="L237" s="1"/>
      <c r="M237" s="1"/>
      <c r="N237" s="1">
        <f t="shared" si="133"/>
        <v>543.67999999999995</v>
      </c>
      <c r="P237" s="1">
        <f t="shared" si="129"/>
        <v>49.425454545454542</v>
      </c>
      <c r="Q237" s="1">
        <f t="shared" si="130"/>
        <v>-49.425454545454542</v>
      </c>
    </row>
    <row r="238" spans="1:17" x14ac:dyDescent="0.25">
      <c r="A238" s="114" t="s">
        <v>183</v>
      </c>
      <c r="B238" s="1">
        <v>2200</v>
      </c>
      <c r="C238" s="1">
        <v>545.54</v>
      </c>
      <c r="D238" s="5">
        <v>774.24</v>
      </c>
      <c r="E238" s="1">
        <v>36.65</v>
      </c>
      <c r="F238" s="1">
        <v>22.4</v>
      </c>
      <c r="G238" s="1">
        <v>149.9</v>
      </c>
      <c r="H238" s="58">
        <v>27.1</v>
      </c>
      <c r="I238" s="58">
        <v>53.2</v>
      </c>
      <c r="J238" s="1">
        <v>11.78</v>
      </c>
      <c r="K238" s="1"/>
      <c r="L238" s="1"/>
      <c r="M238" s="1"/>
      <c r="N238" s="1">
        <f t="shared" si="133"/>
        <v>3820.81</v>
      </c>
      <c r="P238" s="1">
        <f t="shared" si="129"/>
        <v>347.34636363636361</v>
      </c>
      <c r="Q238" s="1">
        <f t="shared" si="130"/>
        <v>-347.34636363636361</v>
      </c>
    </row>
    <row r="239" spans="1:17" x14ac:dyDescent="0.25">
      <c r="A239" s="114" t="s">
        <v>184</v>
      </c>
      <c r="B239" s="1">
        <v>0</v>
      </c>
      <c r="C239" s="1">
        <v>0</v>
      </c>
      <c r="D239" s="5">
        <v>0</v>
      </c>
      <c r="E239" s="1">
        <v>0</v>
      </c>
      <c r="F239" s="1">
        <v>0</v>
      </c>
      <c r="G239" s="1">
        <v>0</v>
      </c>
      <c r="H239" s="58">
        <v>0</v>
      </c>
      <c r="I239" s="58">
        <v>0</v>
      </c>
      <c r="J239" s="1">
        <v>0</v>
      </c>
      <c r="K239" s="1"/>
      <c r="L239" s="1"/>
      <c r="M239" s="1"/>
      <c r="N239" s="1">
        <f t="shared" si="133"/>
        <v>0</v>
      </c>
      <c r="O239" s="1"/>
      <c r="P239" s="1">
        <f t="shared" si="129"/>
        <v>0</v>
      </c>
      <c r="Q239" s="1">
        <f t="shared" si="130"/>
        <v>0</v>
      </c>
    </row>
    <row r="240" spans="1:17" x14ac:dyDescent="0.25">
      <c r="A240" s="114" t="s">
        <v>185</v>
      </c>
      <c r="B240" s="1">
        <v>0</v>
      </c>
      <c r="C240" s="1">
        <v>0</v>
      </c>
      <c r="D240" s="5">
        <v>0</v>
      </c>
      <c r="E240" s="1">
        <v>0</v>
      </c>
      <c r="F240" s="1">
        <v>0</v>
      </c>
      <c r="G240" s="1">
        <v>0</v>
      </c>
      <c r="H240" s="58">
        <v>0</v>
      </c>
      <c r="I240" s="58">
        <v>0</v>
      </c>
      <c r="J240" s="1">
        <v>0</v>
      </c>
      <c r="K240" s="1"/>
      <c r="L240" s="1"/>
      <c r="M240" s="1"/>
      <c r="N240" s="1">
        <f t="shared" si="133"/>
        <v>0</v>
      </c>
      <c r="P240" s="1">
        <f t="shared" si="129"/>
        <v>0</v>
      </c>
      <c r="Q240" s="1">
        <f t="shared" si="130"/>
        <v>0</v>
      </c>
    </row>
    <row r="241" spans="1:17" x14ac:dyDescent="0.25">
      <c r="A241" s="114" t="s">
        <v>186</v>
      </c>
      <c r="B241" s="1">
        <v>0</v>
      </c>
      <c r="C241" s="1">
        <v>0</v>
      </c>
      <c r="D241" s="5">
        <v>0</v>
      </c>
      <c r="E241" s="1">
        <v>0</v>
      </c>
      <c r="F241" s="1">
        <v>0</v>
      </c>
      <c r="G241" s="1">
        <v>0</v>
      </c>
      <c r="H241" s="58">
        <v>0</v>
      </c>
      <c r="I241" s="58">
        <v>0</v>
      </c>
      <c r="J241" s="1">
        <v>0</v>
      </c>
      <c r="K241" s="1"/>
      <c r="L241" s="1"/>
      <c r="M241" s="1"/>
      <c r="N241" s="1">
        <f t="shared" si="133"/>
        <v>0</v>
      </c>
      <c r="P241" s="1">
        <f t="shared" si="129"/>
        <v>0</v>
      </c>
      <c r="Q241" s="1">
        <f t="shared" si="130"/>
        <v>0</v>
      </c>
    </row>
    <row r="242" spans="1:17" x14ac:dyDescent="0.25">
      <c r="A242" s="114" t="s">
        <v>187</v>
      </c>
      <c r="B242" s="1">
        <v>0</v>
      </c>
      <c r="C242" s="1">
        <v>0</v>
      </c>
      <c r="D242" s="5">
        <v>0</v>
      </c>
      <c r="E242" s="1">
        <v>3888.88</v>
      </c>
      <c r="F242" s="1">
        <v>3888.88</v>
      </c>
      <c r="G242" s="1">
        <v>13152.25</v>
      </c>
      <c r="H242" s="58">
        <v>10269.51</v>
      </c>
      <c r="I242" s="58">
        <v>3908.87</v>
      </c>
      <c r="J242" s="1">
        <v>4037.64</v>
      </c>
      <c r="K242" s="1"/>
      <c r="L242" s="1"/>
      <c r="M242" s="1"/>
      <c r="N242" s="1">
        <f t="shared" si="133"/>
        <v>39146.030000000006</v>
      </c>
      <c r="P242" s="1">
        <f t="shared" si="129"/>
        <v>3558.7300000000005</v>
      </c>
      <c r="Q242" s="1">
        <f t="shared" si="130"/>
        <v>-3558.7300000000005</v>
      </c>
    </row>
    <row r="243" spans="1:17" x14ac:dyDescent="0.25">
      <c r="A243" s="114" t="s">
        <v>188</v>
      </c>
      <c r="B243" s="1">
        <v>0</v>
      </c>
      <c r="C243" s="1">
        <v>0</v>
      </c>
      <c r="D243" s="5">
        <v>0</v>
      </c>
      <c r="E243" s="1">
        <v>0</v>
      </c>
      <c r="F243" s="1">
        <v>0</v>
      </c>
      <c r="G243" s="1">
        <v>234.03</v>
      </c>
      <c r="H243" s="58">
        <v>0</v>
      </c>
      <c r="I243" s="58">
        <v>56.7</v>
      </c>
      <c r="J243" s="1">
        <v>106.9</v>
      </c>
      <c r="K243" s="1"/>
      <c r="L243" s="1"/>
      <c r="M243" s="1"/>
      <c r="N243" s="1">
        <f t="shared" si="133"/>
        <v>397.63</v>
      </c>
      <c r="O243" s="1"/>
      <c r="P243" s="1">
        <f t="shared" si="129"/>
        <v>36.148181818181818</v>
      </c>
      <c r="Q243" s="1">
        <f t="shared" si="130"/>
        <v>-36.148181818181818</v>
      </c>
    </row>
    <row r="244" spans="1:17" x14ac:dyDescent="0.25">
      <c r="A244" s="114" t="s">
        <v>189</v>
      </c>
      <c r="B244" s="1">
        <v>-1079.68</v>
      </c>
      <c r="C244" s="1">
        <v>2431.7199999999998</v>
      </c>
      <c r="D244" s="5">
        <v>1397.5</v>
      </c>
      <c r="E244" s="1">
        <f>1455.94+540.08</f>
        <v>1996.02</v>
      </c>
      <c r="F244" s="1">
        <v>4141.2299999999996</v>
      </c>
      <c r="G244" s="1">
        <v>1897.43</v>
      </c>
      <c r="H244" s="58">
        <v>1351.56</v>
      </c>
      <c r="I244" s="58">
        <v>1842.88</v>
      </c>
      <c r="J244" s="1">
        <v>1351.56</v>
      </c>
      <c r="K244" s="1"/>
      <c r="L244" s="1"/>
      <c r="M244" s="1"/>
      <c r="N244" s="1">
        <f t="shared" si="133"/>
        <v>15330.22</v>
      </c>
      <c r="P244" s="1">
        <f t="shared" si="129"/>
        <v>1393.6563636363635</v>
      </c>
      <c r="Q244" s="1">
        <f t="shared" si="130"/>
        <v>-1393.6563636363635</v>
      </c>
    </row>
    <row r="245" spans="1:17" x14ac:dyDescent="0.25">
      <c r="A245" s="114" t="s">
        <v>190</v>
      </c>
      <c r="B245" s="1">
        <v>369.62</v>
      </c>
      <c r="C245" s="1">
        <v>337.5</v>
      </c>
      <c r="D245" s="5">
        <v>0</v>
      </c>
      <c r="E245" s="1">
        <v>269.62</v>
      </c>
      <c r="F245" s="1">
        <v>0</v>
      </c>
      <c r="G245" s="1">
        <v>0</v>
      </c>
      <c r="H245" s="58">
        <v>291.94</v>
      </c>
      <c r="I245" s="58">
        <v>0</v>
      </c>
      <c r="J245" s="1">
        <v>0</v>
      </c>
      <c r="K245" s="1"/>
      <c r="L245" s="1"/>
      <c r="M245" s="1"/>
      <c r="N245" s="1">
        <f t="shared" si="133"/>
        <v>1268.68</v>
      </c>
      <c r="P245" s="1">
        <f t="shared" si="129"/>
        <v>115.33454545454546</v>
      </c>
      <c r="Q245" s="1">
        <f t="shared" si="130"/>
        <v>-115.33454545454546</v>
      </c>
    </row>
    <row r="246" spans="1:17" x14ac:dyDescent="0.25">
      <c r="A246" s="114" t="s">
        <v>191</v>
      </c>
      <c r="B246" s="1">
        <v>5036.3900000000003</v>
      </c>
      <c r="C246" s="1">
        <v>4091.87</v>
      </c>
      <c r="D246" s="5">
        <v>4231.8500000000004</v>
      </c>
      <c r="E246" s="1">
        <v>1960.99</v>
      </c>
      <c r="F246" s="1">
        <v>3137.77</v>
      </c>
      <c r="G246" s="1">
        <v>2373.7600000000002</v>
      </c>
      <c r="H246" s="58">
        <v>2720.77</v>
      </c>
      <c r="I246" s="58">
        <v>2233.6799999999998</v>
      </c>
      <c r="J246" s="1">
        <v>1749.68</v>
      </c>
      <c r="K246" s="1"/>
      <c r="L246" s="1"/>
      <c r="M246" s="1"/>
      <c r="N246" s="1">
        <f t="shared" si="133"/>
        <v>27536.76</v>
      </c>
      <c r="P246" s="1">
        <f t="shared" si="129"/>
        <v>2503.3418181818179</v>
      </c>
      <c r="Q246" s="1">
        <f t="shared" si="130"/>
        <v>-2503.3418181818179</v>
      </c>
    </row>
    <row r="247" spans="1:17" x14ac:dyDescent="0.25">
      <c r="A247" s="114" t="s">
        <v>192</v>
      </c>
      <c r="B247" s="1">
        <v>2582.41</v>
      </c>
      <c r="C247" s="1">
        <v>2701.31</v>
      </c>
      <c r="D247" s="5">
        <v>3298.35</v>
      </c>
      <c r="E247" s="1">
        <v>2350.81</v>
      </c>
      <c r="F247" s="1">
        <v>2499.0500000000002</v>
      </c>
      <c r="G247" s="1">
        <v>3334.89</v>
      </c>
      <c r="H247" s="58">
        <v>2438.75</v>
      </c>
      <c r="I247" s="58">
        <v>2256.88</v>
      </c>
      <c r="J247" s="1">
        <v>4054.05</v>
      </c>
      <c r="K247" s="1"/>
      <c r="L247" s="1"/>
      <c r="M247" s="1"/>
      <c r="N247" s="1">
        <f t="shared" si="133"/>
        <v>25516.5</v>
      </c>
      <c r="P247" s="1">
        <f t="shared" si="129"/>
        <v>2319.681818181818</v>
      </c>
      <c r="Q247" s="1">
        <f t="shared" si="130"/>
        <v>-2319.681818181818</v>
      </c>
    </row>
    <row r="248" spans="1:17" x14ac:dyDescent="0.25">
      <c r="A248" s="114" t="s">
        <v>193</v>
      </c>
      <c r="B248" s="1">
        <v>20798</v>
      </c>
      <c r="C248" s="1">
        <v>19135.740000000002</v>
      </c>
      <c r="D248" s="1">
        <v>17216.87</v>
      </c>
      <c r="E248" s="1">
        <v>10016.870000000001</v>
      </c>
      <c r="F248" s="1">
        <v>10016.870000000001</v>
      </c>
      <c r="G248" s="1">
        <v>10168.870000000001</v>
      </c>
      <c r="H248" s="58">
        <v>10016.870000000001</v>
      </c>
      <c r="I248" s="58">
        <v>10267.049999999999</v>
      </c>
      <c r="J248" s="1">
        <v>10402.66</v>
      </c>
      <c r="K248" s="1"/>
      <c r="L248" s="1"/>
      <c r="M248" s="1"/>
      <c r="N248" s="1">
        <f t="shared" si="133"/>
        <v>118039.79999999999</v>
      </c>
      <c r="P248" s="1">
        <f>(N248-M248)/11</f>
        <v>10730.890909090907</v>
      </c>
      <c r="Q248" s="1">
        <f>M248-P248</f>
        <v>-10730.890909090907</v>
      </c>
    </row>
    <row r="249" spans="1:17" x14ac:dyDescent="0.25">
      <c r="A249" s="114" t="s">
        <v>194</v>
      </c>
      <c r="B249" s="1">
        <v>3253.33</v>
      </c>
      <c r="C249" s="1">
        <v>2533.33</v>
      </c>
      <c r="D249" s="5">
        <v>2533.33</v>
      </c>
      <c r="E249" s="1">
        <v>2533.33</v>
      </c>
      <c r="F249" s="1">
        <v>2533.33</v>
      </c>
      <c r="G249" s="1">
        <v>2533.33</v>
      </c>
      <c r="H249" s="58">
        <v>2533.33</v>
      </c>
      <c r="I249" s="58">
        <v>2533.33</v>
      </c>
      <c r="J249" s="1">
        <v>3039.95</v>
      </c>
      <c r="K249" s="1"/>
      <c r="L249" s="1"/>
      <c r="M249" s="1"/>
      <c r="N249" s="1">
        <f t="shared" si="133"/>
        <v>24026.59</v>
      </c>
      <c r="P249" s="1">
        <f t="shared" si="129"/>
        <v>2184.2354545454546</v>
      </c>
      <c r="Q249" s="1">
        <f t="shared" si="130"/>
        <v>-2184.2354545454546</v>
      </c>
    </row>
    <row r="250" spans="1:17" x14ac:dyDescent="0.25">
      <c r="A250" s="114" t="s">
        <v>195</v>
      </c>
      <c r="B250" s="1">
        <v>1266.67</v>
      </c>
      <c r="C250" s="1">
        <v>1266.67</v>
      </c>
      <c r="D250" s="5">
        <v>6536.01</v>
      </c>
      <c r="E250" s="1">
        <v>3238.1</v>
      </c>
      <c r="F250" s="1">
        <v>3238.1</v>
      </c>
      <c r="G250" s="1">
        <v>-3590.69</v>
      </c>
      <c r="H250" s="58">
        <v>1535.07</v>
      </c>
      <c r="I250" s="58">
        <v>1266.67</v>
      </c>
      <c r="J250" s="1">
        <v>2678.42</v>
      </c>
      <c r="K250" s="1"/>
      <c r="L250" s="1"/>
      <c r="M250" s="1"/>
      <c r="N250" s="1">
        <f t="shared" si="133"/>
        <v>17435.02</v>
      </c>
      <c r="P250" s="1">
        <f t="shared" si="129"/>
        <v>1585.0018181818182</v>
      </c>
      <c r="Q250" s="1">
        <f t="shared" si="130"/>
        <v>-1585.0018181818182</v>
      </c>
    </row>
    <row r="251" spans="1:17" x14ac:dyDescent="0.25">
      <c r="A251" s="114" t="s">
        <v>196</v>
      </c>
      <c r="B251" s="1">
        <v>428.57</v>
      </c>
      <c r="C251" s="1">
        <v>428.57</v>
      </c>
      <c r="D251" s="5">
        <v>428.57</v>
      </c>
      <c r="E251" s="1">
        <v>428.57</v>
      </c>
      <c r="F251" s="1">
        <v>1580.99</v>
      </c>
      <c r="G251" s="1">
        <v>-895.84</v>
      </c>
      <c r="H251" s="58">
        <v>374.03</v>
      </c>
      <c r="I251" s="58">
        <v>750</v>
      </c>
      <c r="J251" s="1">
        <v>1068.75</v>
      </c>
      <c r="K251" s="1"/>
      <c r="L251" s="1"/>
      <c r="M251" s="1"/>
      <c r="N251" s="1">
        <f t="shared" si="133"/>
        <v>4592.21</v>
      </c>
      <c r="P251" s="1">
        <f t="shared" si="129"/>
        <v>417.47363636363639</v>
      </c>
      <c r="Q251" s="1">
        <f t="shared" si="130"/>
        <v>-417.47363636363639</v>
      </c>
    </row>
    <row r="252" spans="1:17" x14ac:dyDescent="0.25">
      <c r="A252" s="114" t="s">
        <v>197</v>
      </c>
      <c r="B252" s="1">
        <v>2451.4299999999998</v>
      </c>
      <c r="C252" s="1">
        <v>2673.97</v>
      </c>
      <c r="D252" s="5">
        <v>2254.42</v>
      </c>
      <c r="E252" s="1">
        <v>0</v>
      </c>
      <c r="F252" s="1">
        <v>865.5</v>
      </c>
      <c r="G252" s="1">
        <v>3530.1</v>
      </c>
      <c r="H252" s="58">
        <v>2405.85</v>
      </c>
      <c r="I252" s="58">
        <v>2695.65</v>
      </c>
      <c r="J252" s="1">
        <v>1073.3599999999999</v>
      </c>
      <c r="K252" s="1"/>
      <c r="L252" s="1"/>
      <c r="M252" s="1"/>
      <c r="N252" s="1">
        <f t="shared" si="133"/>
        <v>17950.280000000002</v>
      </c>
      <c r="P252" s="1">
        <f t="shared" si="129"/>
        <v>1631.8436363636365</v>
      </c>
      <c r="Q252" s="1">
        <f t="shared" si="130"/>
        <v>-1631.8436363636365</v>
      </c>
    </row>
    <row r="253" spans="1:17" x14ac:dyDescent="0.25">
      <c r="A253" s="114" t="s">
        <v>198</v>
      </c>
      <c r="B253" s="1">
        <v>0</v>
      </c>
      <c r="C253" s="1">
        <v>680.88</v>
      </c>
      <c r="D253" s="5">
        <v>4256.26</v>
      </c>
      <c r="E253" s="1">
        <v>998.65</v>
      </c>
      <c r="F253" s="1">
        <v>3059.3</v>
      </c>
      <c r="G253" s="1">
        <v>2520.4299999999998</v>
      </c>
      <c r="H253" s="58">
        <v>3606.37</v>
      </c>
      <c r="I253" s="58">
        <v>7404.71</v>
      </c>
      <c r="J253" s="1">
        <v>4019.71</v>
      </c>
      <c r="K253" s="1"/>
      <c r="L253" s="1"/>
      <c r="M253" s="1"/>
      <c r="N253" s="1">
        <f t="shared" si="133"/>
        <v>26546.309999999998</v>
      </c>
      <c r="P253" s="1">
        <f t="shared" si="129"/>
        <v>2413.300909090909</v>
      </c>
      <c r="Q253" s="1">
        <f t="shared" si="130"/>
        <v>-2413.300909090909</v>
      </c>
    </row>
    <row r="254" spans="1:17" x14ac:dyDescent="0.25">
      <c r="A254" s="114" t="s">
        <v>441</v>
      </c>
      <c r="C254" s="1"/>
      <c r="D254" s="5"/>
      <c r="E254" s="1"/>
      <c r="F254" s="1"/>
      <c r="G254" s="1">
        <v>3196.84</v>
      </c>
      <c r="H254" s="58">
        <v>4200.3</v>
      </c>
      <c r="I254" s="58">
        <v>2284</v>
      </c>
      <c r="J254" s="1">
        <v>3424.43</v>
      </c>
      <c r="K254" s="1"/>
      <c r="L254" s="1"/>
      <c r="M254" s="1"/>
      <c r="N254" s="1">
        <f t="shared" si="133"/>
        <v>13105.57</v>
      </c>
      <c r="P254" s="1"/>
      <c r="Q254" s="1"/>
    </row>
    <row r="255" spans="1:17" x14ac:dyDescent="0.25">
      <c r="A255" s="114" t="s">
        <v>396</v>
      </c>
      <c r="B255" s="1">
        <v>3782</v>
      </c>
      <c r="C255" s="1">
        <v>3307.08</v>
      </c>
      <c r="D255" s="5">
        <v>1484.08</v>
      </c>
      <c r="E255" s="1">
        <v>3120.16</v>
      </c>
      <c r="F255" s="1">
        <v>1484.08</v>
      </c>
      <c r="G255" s="1">
        <v>10055.51</v>
      </c>
      <c r="H255" s="58">
        <v>11706.59</v>
      </c>
      <c r="I255" s="58">
        <v>10222.51</v>
      </c>
      <c r="J255" s="1">
        <v>8591.42</v>
      </c>
      <c r="K255" s="1"/>
      <c r="L255" s="1"/>
      <c r="M255" s="1"/>
      <c r="N255" s="1">
        <f t="shared" si="133"/>
        <v>53753.43</v>
      </c>
      <c r="P255" s="1"/>
      <c r="Q255" s="1"/>
    </row>
    <row r="256" spans="1:17" x14ac:dyDescent="0.25">
      <c r="A256" s="114" t="s">
        <v>436</v>
      </c>
      <c r="B256" s="1">
        <v>44000</v>
      </c>
      <c r="C256" s="1">
        <v>25000</v>
      </c>
      <c r="D256" s="5">
        <v>25000</v>
      </c>
      <c r="E256" s="1">
        <v>25000</v>
      </c>
      <c r="F256" s="1">
        <v>25000</v>
      </c>
      <c r="G256" s="1">
        <v>29428.57</v>
      </c>
      <c r="H256" s="58">
        <v>29428.57</v>
      </c>
      <c r="I256" s="58">
        <v>29428.57</v>
      </c>
      <c r="J256" s="1">
        <v>29428.57</v>
      </c>
      <c r="K256" s="1"/>
      <c r="L256" s="1"/>
      <c r="M256" s="1"/>
      <c r="N256" s="1">
        <f t="shared" si="133"/>
        <v>261714.28000000003</v>
      </c>
      <c r="P256" s="1"/>
      <c r="Q256" s="1"/>
    </row>
    <row r="257" spans="1:17" x14ac:dyDescent="0.25">
      <c r="A257" s="114" t="s">
        <v>397</v>
      </c>
      <c r="B257" s="1">
        <v>7500</v>
      </c>
      <c r="C257" s="1">
        <v>7500</v>
      </c>
      <c r="D257" s="5">
        <v>8000</v>
      </c>
      <c r="E257" s="1">
        <v>7500</v>
      </c>
      <c r="F257" s="1">
        <v>7500</v>
      </c>
      <c r="G257" s="1">
        <v>7500</v>
      </c>
      <c r="H257" s="58">
        <v>7500</v>
      </c>
      <c r="I257" s="58">
        <v>7500</v>
      </c>
      <c r="J257" s="1">
        <v>7500</v>
      </c>
      <c r="K257" s="1"/>
      <c r="L257" s="1"/>
      <c r="M257" s="1"/>
      <c r="N257" s="1">
        <f t="shared" si="133"/>
        <v>68000</v>
      </c>
      <c r="P257" s="1"/>
      <c r="Q257" s="1"/>
    </row>
    <row r="258" spans="1:17" x14ac:dyDescent="0.25">
      <c r="A258" s="114" t="s">
        <v>437</v>
      </c>
      <c r="B258" s="1">
        <v>0</v>
      </c>
      <c r="C258" s="1">
        <v>1215</v>
      </c>
      <c r="D258" s="5">
        <v>0</v>
      </c>
      <c r="E258" s="1">
        <v>8257.5</v>
      </c>
      <c r="F258" s="1">
        <v>3982.5</v>
      </c>
      <c r="G258" s="1">
        <v>6097.5</v>
      </c>
      <c r="H258" s="58">
        <v>9922.5</v>
      </c>
      <c r="I258" s="58">
        <v>4455</v>
      </c>
      <c r="J258" s="1">
        <v>5422.5</v>
      </c>
      <c r="K258" s="1"/>
      <c r="L258" s="1"/>
      <c r="M258" s="1"/>
      <c r="N258" s="1">
        <f t="shared" si="133"/>
        <v>39352.5</v>
      </c>
      <c r="P258" s="1"/>
      <c r="Q258" s="1"/>
    </row>
    <row r="259" spans="1:17" x14ac:dyDescent="0.25">
      <c r="A259" s="114" t="s">
        <v>438</v>
      </c>
      <c r="B259" s="1">
        <v>109</v>
      </c>
      <c r="C259" s="1">
        <v>0</v>
      </c>
      <c r="D259" s="5">
        <v>0</v>
      </c>
      <c r="E259" s="1">
        <v>0</v>
      </c>
      <c r="F259" s="1">
        <v>0</v>
      </c>
      <c r="G259" s="1">
        <v>0</v>
      </c>
      <c r="H259" s="58">
        <v>161</v>
      </c>
      <c r="I259" s="58">
        <v>300</v>
      </c>
      <c r="J259" s="1">
        <v>1093</v>
      </c>
      <c r="K259" s="1"/>
      <c r="L259" s="1"/>
      <c r="M259" s="1"/>
      <c r="N259" s="1">
        <f t="shared" si="133"/>
        <v>1663</v>
      </c>
      <c r="P259" s="1"/>
      <c r="Q259" s="1"/>
    </row>
    <row r="260" spans="1:17" x14ac:dyDescent="0.25">
      <c r="A260" s="114" t="s">
        <v>439</v>
      </c>
      <c r="B260" s="1">
        <v>0</v>
      </c>
      <c r="C260" s="1">
        <v>0</v>
      </c>
      <c r="D260" s="5">
        <v>0</v>
      </c>
      <c r="E260" s="1">
        <v>0</v>
      </c>
      <c r="F260" s="1">
        <v>300</v>
      </c>
      <c r="G260" s="1">
        <v>0</v>
      </c>
      <c r="H260" s="58">
        <v>0</v>
      </c>
      <c r="I260" s="58">
        <v>86.71</v>
      </c>
      <c r="J260" s="1">
        <v>0</v>
      </c>
      <c r="K260" s="1"/>
      <c r="L260" s="1"/>
      <c r="M260" s="1"/>
      <c r="N260" s="1">
        <f t="shared" si="133"/>
        <v>386.71</v>
      </c>
      <c r="P260" s="1"/>
      <c r="Q260" s="1"/>
    </row>
    <row r="261" spans="1:17" x14ac:dyDescent="0.25">
      <c r="A261" s="114" t="s">
        <v>440</v>
      </c>
      <c r="B261" s="1">
        <v>0</v>
      </c>
      <c r="C261" s="1">
        <v>0</v>
      </c>
      <c r="D261" s="5">
        <v>0</v>
      </c>
      <c r="E261" s="1">
        <v>0</v>
      </c>
      <c r="F261" s="1">
        <v>0</v>
      </c>
      <c r="G261" s="1">
        <v>573.52</v>
      </c>
      <c r="H261" s="58">
        <v>0</v>
      </c>
      <c r="I261" s="58">
        <v>0</v>
      </c>
      <c r="J261" s="1">
        <v>0</v>
      </c>
      <c r="K261" s="1"/>
      <c r="L261" s="1"/>
      <c r="M261" s="1"/>
      <c r="N261" s="1">
        <f t="shared" si="133"/>
        <v>573.52</v>
      </c>
      <c r="P261" s="1"/>
      <c r="Q261" s="1"/>
    </row>
    <row r="262" spans="1:17" s="162" customFormat="1" x14ac:dyDescent="0.25">
      <c r="A262" s="160" t="s">
        <v>461</v>
      </c>
      <c r="B262" s="58"/>
      <c r="C262" s="58"/>
      <c r="D262" s="5"/>
      <c r="E262" s="161"/>
      <c r="F262" s="58"/>
      <c r="G262" s="58">
        <v>0</v>
      </c>
      <c r="H262" s="58">
        <v>0</v>
      </c>
      <c r="I262" s="58">
        <v>6518.25</v>
      </c>
      <c r="J262" s="58">
        <v>1181.6199999999999</v>
      </c>
      <c r="K262" s="58"/>
      <c r="L262" s="58"/>
      <c r="M262" s="58"/>
      <c r="N262" s="58">
        <f t="shared" ref="N262" si="134">SUM(B262:M262)</f>
        <v>7699.87</v>
      </c>
      <c r="P262" s="58"/>
      <c r="Q262" s="58"/>
    </row>
    <row r="263" spans="1:17" ht="15.75" thickBot="1" x14ac:dyDescent="0.3">
      <c r="A263" s="124" t="s">
        <v>199</v>
      </c>
      <c r="B263" s="39">
        <f t="shared" ref="B263:G263" si="135">SUM(B233:B261)</f>
        <v>111240.83</v>
      </c>
      <c r="C263" s="39">
        <f t="shared" si="135"/>
        <v>91232.06</v>
      </c>
      <c r="D263" s="39">
        <f t="shared" si="135"/>
        <v>94277.48000000001</v>
      </c>
      <c r="E263" s="39">
        <f t="shared" si="135"/>
        <v>88611.98000000001</v>
      </c>
      <c r="F263" s="39">
        <f t="shared" si="135"/>
        <v>89444.540000000008</v>
      </c>
      <c r="G263" s="39">
        <f t="shared" si="135"/>
        <v>103146.35</v>
      </c>
      <c r="H263" s="39">
        <f t="shared" ref="H263" si="136">SUM(H233:H260)</f>
        <v>118506.03</v>
      </c>
      <c r="I263" s="39">
        <f>SUM(I233:I262)</f>
        <v>113578.72000000002</v>
      </c>
      <c r="J263" s="39">
        <f>SUM(J233:J262)</f>
        <v>107650.19</v>
      </c>
      <c r="K263" s="39">
        <f>SUM(K233:K260)</f>
        <v>0</v>
      </c>
      <c r="L263" s="39">
        <f>SUM(L233:L260)</f>
        <v>0</v>
      </c>
      <c r="M263" s="39">
        <f>SUM(M233:M260)</f>
        <v>0</v>
      </c>
      <c r="N263" s="39">
        <f>SUM(N233:N262)</f>
        <v>917688.18</v>
      </c>
      <c r="P263" s="39">
        <f t="shared" si="129"/>
        <v>83426.198181818181</v>
      </c>
      <c r="Q263" s="39">
        <f t="shared" si="130"/>
        <v>-83426.198181818181</v>
      </c>
    </row>
    <row r="264" spans="1:17" ht="15.75" thickTop="1" x14ac:dyDescent="0.25">
      <c r="C264" s="1"/>
      <c r="D264" s="1"/>
      <c r="E264" s="1"/>
      <c r="F264" s="1"/>
      <c r="G264" s="1"/>
      <c r="H264" s="58"/>
      <c r="I264" s="1"/>
      <c r="J264" s="1"/>
      <c r="K264" s="1"/>
      <c r="L264" s="1"/>
      <c r="M264" s="1"/>
      <c r="N264" s="1"/>
      <c r="P264" s="1">
        <f t="shared" si="129"/>
        <v>0</v>
      </c>
      <c r="Q264" s="1">
        <f t="shared" si="130"/>
        <v>0</v>
      </c>
    </row>
    <row r="265" spans="1:17" x14ac:dyDescent="0.25">
      <c r="A265" s="124" t="s">
        <v>325</v>
      </c>
      <c r="C265" s="1"/>
      <c r="D265" s="1"/>
      <c r="E265" s="1"/>
      <c r="F265" s="1"/>
      <c r="G265" s="1"/>
      <c r="H265" s="58"/>
      <c r="I265" s="1"/>
      <c r="J265" s="1"/>
      <c r="K265" s="1"/>
      <c r="L265" s="1"/>
      <c r="M265" s="1"/>
      <c r="N265" s="1"/>
      <c r="P265" s="1">
        <f t="shared" si="129"/>
        <v>0</v>
      </c>
      <c r="Q265" s="1">
        <f t="shared" si="130"/>
        <v>0</v>
      </c>
    </row>
    <row r="266" spans="1:17" x14ac:dyDescent="0.25">
      <c r="A266" s="114" t="s">
        <v>200</v>
      </c>
      <c r="B266" s="1">
        <v>12500</v>
      </c>
      <c r="C266" s="1">
        <v>12500</v>
      </c>
      <c r="D266" s="1">
        <v>12500</v>
      </c>
      <c r="E266" s="1">
        <v>12500</v>
      </c>
      <c r="F266" s="1">
        <v>12500</v>
      </c>
      <c r="G266" s="1">
        <v>12500</v>
      </c>
      <c r="H266" s="58">
        <v>12500</v>
      </c>
      <c r="I266" s="58">
        <v>12500</v>
      </c>
      <c r="J266" s="1">
        <v>12500</v>
      </c>
      <c r="K266" s="1"/>
      <c r="L266" s="1"/>
      <c r="M266" s="1"/>
      <c r="N266" s="1">
        <f t="shared" ref="N266:N277" si="137">SUM(B266:M266)</f>
        <v>112500</v>
      </c>
      <c r="P266" s="1">
        <f t="shared" si="129"/>
        <v>10227.272727272728</v>
      </c>
      <c r="Q266" s="1">
        <f t="shared" si="130"/>
        <v>-10227.272727272728</v>
      </c>
    </row>
    <row r="267" spans="1:17" x14ac:dyDescent="0.25">
      <c r="A267" s="114" t="s">
        <v>201</v>
      </c>
      <c r="B267" s="1">
        <v>34022.5</v>
      </c>
      <c r="C267" s="1">
        <v>34265</v>
      </c>
      <c r="D267" s="1">
        <v>34451.25</v>
      </c>
      <c r="E267" s="1">
        <v>34845</v>
      </c>
      <c r="F267" s="1">
        <v>34565</v>
      </c>
      <c r="G267" s="1">
        <v>34906.25</v>
      </c>
      <c r="H267" s="58">
        <v>36258.75</v>
      </c>
      <c r="I267" s="58">
        <v>35423.75</v>
      </c>
      <c r="J267" s="1">
        <v>32376.25</v>
      </c>
      <c r="K267" s="1"/>
      <c r="L267" s="1"/>
      <c r="M267" s="1"/>
      <c r="N267" s="1">
        <f t="shared" si="137"/>
        <v>311113.75</v>
      </c>
      <c r="P267" s="1">
        <f t="shared" si="129"/>
        <v>28283.06818181818</v>
      </c>
      <c r="Q267" s="1">
        <f t="shared" si="130"/>
        <v>-28283.06818181818</v>
      </c>
    </row>
    <row r="268" spans="1:17" x14ac:dyDescent="0.25">
      <c r="A268" s="114" t="s">
        <v>398</v>
      </c>
      <c r="B268" s="1">
        <v>0</v>
      </c>
      <c r="C268" s="1">
        <v>0</v>
      </c>
      <c r="D268" s="1">
        <v>0</v>
      </c>
      <c r="E268" s="1">
        <v>0</v>
      </c>
      <c r="F268" s="1">
        <v>31752.38</v>
      </c>
      <c r="G268" s="1">
        <v>5625.56</v>
      </c>
      <c r="H268" s="58">
        <v>4645.78</v>
      </c>
      <c r="I268" s="58">
        <v>3846.94</v>
      </c>
      <c r="J268" s="1">
        <v>3326.21</v>
      </c>
      <c r="K268" s="1"/>
      <c r="L268" s="1"/>
      <c r="M268" s="1"/>
      <c r="N268" s="1">
        <f t="shared" si="137"/>
        <v>49196.87</v>
      </c>
      <c r="P268" s="1"/>
      <c r="Q268" s="1"/>
    </row>
    <row r="269" spans="1:17" x14ac:dyDescent="0.25">
      <c r="A269" s="114" t="s">
        <v>202</v>
      </c>
      <c r="B269" s="1">
        <v>6585.5</v>
      </c>
      <c r="C269" s="1">
        <v>10400.5</v>
      </c>
      <c r="D269" s="1">
        <v>6846.5</v>
      </c>
      <c r="E269" s="1">
        <v>18155</v>
      </c>
      <c r="F269" s="1">
        <v>23942.5</v>
      </c>
      <c r="G269" s="1">
        <v>23535</v>
      </c>
      <c r="H269" s="58">
        <v>27107.66</v>
      </c>
      <c r="I269" s="58">
        <v>22399.58</v>
      </c>
      <c r="J269" s="1">
        <v>15252.15</v>
      </c>
      <c r="K269" s="1"/>
      <c r="L269" s="1"/>
      <c r="M269" s="1"/>
      <c r="N269" s="1">
        <f t="shared" si="137"/>
        <v>154224.38999999998</v>
      </c>
      <c r="P269" s="1"/>
      <c r="Q269" s="1"/>
    </row>
    <row r="270" spans="1:17" x14ac:dyDescent="0.25">
      <c r="A270" s="114" t="s">
        <v>203</v>
      </c>
      <c r="B270" s="1">
        <v>41021.9</v>
      </c>
      <c r="C270" s="1">
        <v>14206.22</v>
      </c>
      <c r="D270" s="1">
        <v>13266.54</v>
      </c>
      <c r="E270" s="1">
        <v>32043.16</v>
      </c>
      <c r="F270" s="1">
        <v>18002.150000000001</v>
      </c>
      <c r="G270" s="1">
        <v>18622.22</v>
      </c>
      <c r="H270" s="58">
        <v>12562.67</v>
      </c>
      <c r="I270" s="58">
        <v>3538.9</v>
      </c>
      <c r="J270" s="1">
        <v>30143.42</v>
      </c>
      <c r="K270" s="1"/>
      <c r="L270" s="1"/>
      <c r="M270" s="1"/>
      <c r="N270" s="1">
        <f t="shared" si="137"/>
        <v>183407.18</v>
      </c>
      <c r="P270" s="1">
        <f t="shared" ref="P270:P282" si="138">(N270-M270)/11</f>
        <v>16673.38</v>
      </c>
      <c r="Q270" s="1">
        <f t="shared" ref="Q270:Q282" si="139">M270-P270</f>
        <v>-16673.38</v>
      </c>
    </row>
    <row r="271" spans="1:17" x14ac:dyDescent="0.25">
      <c r="A271" s="114" t="s">
        <v>204</v>
      </c>
      <c r="B271" s="1">
        <v>-12832.51</v>
      </c>
      <c r="C271" s="1">
        <v>-10798.17</v>
      </c>
      <c r="D271" s="1">
        <v>-12464.55</v>
      </c>
      <c r="E271" s="1">
        <v>-15499.01</v>
      </c>
      <c r="F271" s="1">
        <v>-24863.5</v>
      </c>
      <c r="G271" s="1">
        <v>-16320.72</v>
      </c>
      <c r="H271" s="58">
        <v>-14231.08</v>
      </c>
      <c r="I271" s="58">
        <v>-15651.5</v>
      </c>
      <c r="J271" s="1">
        <v>-15109.51</v>
      </c>
      <c r="K271" s="1"/>
      <c r="L271" s="1"/>
      <c r="M271" s="1"/>
      <c r="N271" s="1">
        <f t="shared" si="137"/>
        <v>-137770.54999999999</v>
      </c>
      <c r="P271" s="1">
        <f t="shared" si="138"/>
        <v>-12524.595454545453</v>
      </c>
      <c r="Q271" s="1">
        <f t="shared" si="139"/>
        <v>12524.595454545453</v>
      </c>
    </row>
    <row r="272" spans="1:17" x14ac:dyDescent="0.25">
      <c r="A272" s="114" t="s">
        <v>399</v>
      </c>
      <c r="B272" s="1">
        <v>0</v>
      </c>
      <c r="C272" s="1">
        <v>0</v>
      </c>
      <c r="D272" s="1">
        <v>0.1</v>
      </c>
      <c r="E272" s="1">
        <v>0</v>
      </c>
      <c r="F272" s="1">
        <v>0</v>
      </c>
      <c r="G272" s="1">
        <v>49.5</v>
      </c>
      <c r="H272" s="58">
        <v>0</v>
      </c>
      <c r="I272" s="58">
        <v>0</v>
      </c>
      <c r="J272" s="1">
        <v>0</v>
      </c>
      <c r="K272" s="1"/>
      <c r="L272" s="1"/>
      <c r="M272" s="1"/>
      <c r="N272" s="1">
        <f t="shared" si="137"/>
        <v>49.6</v>
      </c>
      <c r="P272" s="1">
        <f t="shared" si="138"/>
        <v>4.5090909090909088</v>
      </c>
      <c r="Q272" s="1">
        <f t="shared" si="139"/>
        <v>-4.5090909090909088</v>
      </c>
    </row>
    <row r="273" spans="1:18" x14ac:dyDescent="0.25">
      <c r="A273" s="114" t="s">
        <v>400</v>
      </c>
      <c r="B273" s="1">
        <v>0</v>
      </c>
      <c r="C273" s="1">
        <v>0</v>
      </c>
      <c r="D273" s="1">
        <v>0</v>
      </c>
      <c r="E273" s="1">
        <v>0</v>
      </c>
      <c r="F273" s="1">
        <v>2087.77</v>
      </c>
      <c r="G273" s="1">
        <v>2250.1799999999998</v>
      </c>
      <c r="H273" s="58">
        <v>1925.15</v>
      </c>
      <c r="I273" s="58">
        <v>9930.23</v>
      </c>
      <c r="J273" s="1">
        <v>9676.48</v>
      </c>
      <c r="K273" s="1"/>
      <c r="L273" s="1"/>
      <c r="M273" s="1"/>
      <c r="N273" s="1">
        <f t="shared" si="137"/>
        <v>25869.809999999998</v>
      </c>
      <c r="P273" s="1"/>
      <c r="Q273" s="1"/>
    </row>
    <row r="274" spans="1:18" x14ac:dyDescent="0.25">
      <c r="A274" s="114" t="s">
        <v>443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944.87</v>
      </c>
      <c r="H274" s="58">
        <v>896.84</v>
      </c>
      <c r="I274" s="58">
        <v>1815.02</v>
      </c>
      <c r="J274" s="1">
        <v>1378.43</v>
      </c>
      <c r="K274" s="1"/>
      <c r="L274" s="1"/>
      <c r="M274" s="1"/>
      <c r="N274" s="1">
        <f t="shared" si="137"/>
        <v>5035.16</v>
      </c>
      <c r="P274" s="1"/>
      <c r="Q274" s="1"/>
    </row>
    <row r="275" spans="1:18" x14ac:dyDescent="0.25">
      <c r="A275" s="114" t="s">
        <v>401</v>
      </c>
      <c r="B275" s="1">
        <v>0</v>
      </c>
      <c r="C275" s="1">
        <v>0</v>
      </c>
      <c r="D275" s="1">
        <v>0</v>
      </c>
      <c r="E275" s="1">
        <v>0</v>
      </c>
      <c r="F275" s="1">
        <v>7848.21</v>
      </c>
      <c r="G275" s="1">
        <v>7891.39</v>
      </c>
      <c r="H275" s="58">
        <v>2345.38</v>
      </c>
      <c r="I275" s="58">
        <v>2213.81</v>
      </c>
      <c r="J275" s="1">
        <v>1785.24</v>
      </c>
      <c r="K275" s="1"/>
      <c r="L275" s="1"/>
      <c r="M275" s="1"/>
      <c r="N275" s="1">
        <f t="shared" si="137"/>
        <v>22084.030000000002</v>
      </c>
      <c r="P275" s="1"/>
      <c r="Q275" s="1"/>
    </row>
    <row r="276" spans="1:18" x14ac:dyDescent="0.25">
      <c r="A276" s="114" t="s">
        <v>442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2495.6</v>
      </c>
      <c r="H276" s="58">
        <v>7458.78</v>
      </c>
      <c r="I276" s="58">
        <v>7350.25</v>
      </c>
      <c r="J276" s="1">
        <v>8126.37</v>
      </c>
      <c r="K276" s="1"/>
      <c r="L276" s="1"/>
      <c r="M276" s="1"/>
      <c r="N276" s="1">
        <f t="shared" si="137"/>
        <v>25430.999999999996</v>
      </c>
      <c r="P276" s="1"/>
      <c r="Q276" s="1"/>
    </row>
    <row r="277" spans="1:18" s="7" customFormat="1" x14ac:dyDescent="0.25">
      <c r="A277" s="114" t="s">
        <v>454</v>
      </c>
      <c r="B277" s="58">
        <v>0</v>
      </c>
      <c r="C277" s="58">
        <v>0</v>
      </c>
      <c r="D277" s="58">
        <v>0</v>
      </c>
      <c r="E277" s="58">
        <v>0</v>
      </c>
      <c r="F277" s="58">
        <v>0</v>
      </c>
      <c r="G277" s="58">
        <v>0</v>
      </c>
      <c r="H277" s="58">
        <v>3098.28</v>
      </c>
      <c r="I277" s="58">
        <v>0</v>
      </c>
      <c r="J277" s="58">
        <v>0</v>
      </c>
      <c r="K277" s="58"/>
      <c r="L277" s="58"/>
      <c r="M277" s="58"/>
      <c r="N277" s="58">
        <f t="shared" si="137"/>
        <v>3098.28</v>
      </c>
      <c r="P277" s="58"/>
      <c r="Q277" s="58"/>
    </row>
    <row r="278" spans="1:18" ht="15.75" thickBot="1" x14ac:dyDescent="0.3">
      <c r="A278" s="124" t="s">
        <v>205</v>
      </c>
      <c r="B278" s="45">
        <f t="shared" ref="B278:G278" si="140">SUM(B266:B277)</f>
        <v>81297.39</v>
      </c>
      <c r="C278" s="45">
        <f t="shared" si="140"/>
        <v>60573.55</v>
      </c>
      <c r="D278" s="45">
        <f t="shared" si="140"/>
        <v>54599.840000000004</v>
      </c>
      <c r="E278" s="45">
        <f t="shared" si="140"/>
        <v>82044.150000000009</v>
      </c>
      <c r="F278" s="45">
        <f t="shared" si="140"/>
        <v>105834.51000000001</v>
      </c>
      <c r="G278" s="45">
        <f t="shared" si="140"/>
        <v>92499.849999999991</v>
      </c>
      <c r="H278" s="45">
        <f t="shared" ref="H278" si="141">SUM(H266:H277)</f>
        <v>94568.209999999992</v>
      </c>
      <c r="I278" s="45">
        <f>SUM(I266:I277)</f>
        <v>83366.98</v>
      </c>
      <c r="J278" s="45">
        <f>SUM(J266:J277)</f>
        <v>99455.039999999994</v>
      </c>
      <c r="K278" s="45">
        <f t="shared" ref="K278:M278" si="142">SUM(K266:K276)</f>
        <v>0</v>
      </c>
      <c r="L278" s="45">
        <f t="shared" si="142"/>
        <v>0</v>
      </c>
      <c r="M278" s="45">
        <f t="shared" si="142"/>
        <v>0</v>
      </c>
      <c r="N278" s="45">
        <f>SUM(N266:N277)</f>
        <v>754239.5199999999</v>
      </c>
      <c r="P278" s="45">
        <f t="shared" si="138"/>
        <v>68567.229090909081</v>
      </c>
      <c r="Q278" s="45">
        <f t="shared" si="139"/>
        <v>-68567.229090909081</v>
      </c>
    </row>
    <row r="279" spans="1:18" ht="15.75" thickTop="1" x14ac:dyDescent="0.25">
      <c r="P279" s="2">
        <f t="shared" si="138"/>
        <v>0</v>
      </c>
      <c r="Q279" s="2">
        <f t="shared" si="139"/>
        <v>0</v>
      </c>
    </row>
    <row r="280" spans="1:18" s="38" customFormat="1" ht="15.75" thickBot="1" x14ac:dyDescent="0.3">
      <c r="A280" s="124" t="s">
        <v>206</v>
      </c>
      <c r="B280" s="39">
        <f t="shared" ref="B280:G280" si="143">B197-B210-B231-B263+B278</f>
        <v>65733.430000085849</v>
      </c>
      <c r="C280" s="39">
        <f t="shared" si="143"/>
        <v>62568.989999875965</v>
      </c>
      <c r="D280" s="39">
        <f t="shared" si="143"/>
        <v>190852.60999999283</v>
      </c>
      <c r="E280" s="39">
        <f t="shared" si="143"/>
        <v>-70572.119999890318</v>
      </c>
      <c r="F280" s="39">
        <f t="shared" si="143"/>
        <v>-203743.00000022177</v>
      </c>
      <c r="G280" s="39">
        <f t="shared" si="143"/>
        <v>-88358.510000069175</v>
      </c>
      <c r="H280" s="39">
        <f t="shared" ref="H280" si="144">H197-H210-H231-H263+H278</f>
        <v>-303625.04000008584</v>
      </c>
      <c r="I280" s="39">
        <f t="shared" ref="I280:N280" si="145">I197-I210-I231-I263+I278</f>
        <v>-208857.15000011685</v>
      </c>
      <c r="J280" s="39">
        <f t="shared" si="145"/>
        <v>-310176.31000004295</v>
      </c>
      <c r="K280" s="39">
        <f t="shared" si="145"/>
        <v>0</v>
      </c>
      <c r="L280" s="39">
        <f t="shared" si="145"/>
        <v>0</v>
      </c>
      <c r="M280" s="39">
        <f t="shared" si="145"/>
        <v>0</v>
      </c>
      <c r="N280" s="39">
        <f t="shared" si="145"/>
        <v>-866177.10000047239</v>
      </c>
      <c r="P280" s="39">
        <f t="shared" si="138"/>
        <v>-78743.372727315669</v>
      </c>
      <c r="Q280" s="39">
        <f t="shared" si="139"/>
        <v>78743.372727315669</v>
      </c>
    </row>
    <row r="281" spans="1:18" ht="15.75" thickTop="1" x14ac:dyDescent="0.25">
      <c r="P281" s="2">
        <f t="shared" si="138"/>
        <v>0</v>
      </c>
      <c r="Q281" s="2">
        <f t="shared" si="139"/>
        <v>0</v>
      </c>
    </row>
    <row r="282" spans="1:18" x14ac:dyDescent="0.25">
      <c r="B282" s="46">
        <f t="shared" ref="B282:G282" si="146">+B76-B280</f>
        <v>3.3411197364330292E-8</v>
      </c>
      <c r="C282" s="46">
        <f t="shared" si="146"/>
        <v>-8.5987267084419727E-8</v>
      </c>
      <c r="D282" s="46">
        <f t="shared" si="146"/>
        <v>-6.2107574194669724E-8</v>
      </c>
      <c r="E282" s="46">
        <f t="shared" si="146"/>
        <v>-1.5135447029024363E-7</v>
      </c>
      <c r="F282" s="46">
        <f t="shared" si="146"/>
        <v>2.2526364773511887E-7</v>
      </c>
      <c r="G282" s="46">
        <f t="shared" si="146"/>
        <v>1.1888914741575718E-8</v>
      </c>
      <c r="H282" s="46">
        <f t="shared" ref="H282" si="147">+H76-H280</f>
        <v>1.0972144082188606E-7</v>
      </c>
      <c r="I282" s="46">
        <f t="shared" ref="I282:N282" si="148">+I76-I280</f>
        <v>1.6932608559727669E-7</v>
      </c>
      <c r="J282" s="46">
        <f t="shared" si="148"/>
        <v>1.073349267244339E-7</v>
      </c>
      <c r="K282" s="46">
        <f t="shared" si="148"/>
        <v>0</v>
      </c>
      <c r="L282" s="46">
        <f t="shared" si="148"/>
        <v>0</v>
      </c>
      <c r="M282" s="46">
        <f t="shared" si="148"/>
        <v>0</v>
      </c>
      <c r="N282" s="46">
        <f t="shared" si="148"/>
        <v>3.5727862268686295E-7</v>
      </c>
      <c r="P282" s="46">
        <f t="shared" si="138"/>
        <v>3.2479874789714813E-8</v>
      </c>
      <c r="Q282" s="46">
        <f t="shared" si="139"/>
        <v>-3.2479874789714813E-8</v>
      </c>
    </row>
    <row r="283" spans="1:18" x14ac:dyDescent="0.25">
      <c r="R283" s="7"/>
    </row>
    <row r="284" spans="1:18" x14ac:dyDescent="0.25">
      <c r="L284" s="46"/>
      <c r="R284" s="7"/>
    </row>
  </sheetData>
  <pageMargins left="0.5" right="0.5" top="0.5" bottom="0.45899934383202101" header="0.5" footer="0.5"/>
  <pageSetup scale="41" fitToHeight="0" orientation="landscape" r:id="rId1"/>
  <headerFooter scaleWithDoc="0" alignWithMargins="0"/>
  <rowBreaks count="5" manualBreakCount="5">
    <brk id="49" max="13" man="1"/>
    <brk id="102" max="13" man="1"/>
    <brk id="128" max="13" man="1"/>
    <brk id="197" max="13" man="1"/>
    <brk id="263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7"/>
  <sheetViews>
    <sheetView view="pageBreakPreview" zoomScale="60" zoomScaleNormal="60" workbookViewId="0">
      <pane ySplit="6" topLeftCell="A106" activePane="bottomLeft" state="frozen"/>
      <selection activeCell="B82" sqref="B82"/>
      <selection pane="bottomLeft" activeCell="B39" sqref="B39"/>
    </sheetView>
  </sheetViews>
  <sheetFormatPr defaultRowHeight="15" x14ac:dyDescent="0.25"/>
  <cols>
    <col min="1" max="1" width="81.42578125" bestFit="1" customWidth="1"/>
    <col min="2" max="2" width="38.140625" style="55" bestFit="1" customWidth="1"/>
    <col min="3" max="3" width="32.140625" style="55" bestFit="1" customWidth="1"/>
    <col min="4" max="4" width="29.85546875" style="55" bestFit="1" customWidth="1"/>
    <col min="5" max="5" width="24.140625" style="55" bestFit="1" customWidth="1"/>
    <col min="6" max="7" width="26.28515625" style="55" bestFit="1" customWidth="1"/>
    <col min="8" max="8" width="25.5703125" style="55" bestFit="1" customWidth="1"/>
    <col min="9" max="9" width="38.140625" style="55" bestFit="1" customWidth="1"/>
    <col min="12" max="12" width="16.85546875" style="48" bestFit="1" customWidth="1"/>
  </cols>
  <sheetData>
    <row r="1" spans="1:12" ht="36" x14ac:dyDescent="0.55000000000000004">
      <c r="A1" s="191" t="s">
        <v>331</v>
      </c>
      <c r="B1" s="191"/>
      <c r="C1" s="191"/>
      <c r="D1" s="191"/>
      <c r="E1" s="191"/>
      <c r="F1" s="191"/>
      <c r="G1" s="191"/>
      <c r="H1" s="191"/>
      <c r="I1" s="191"/>
    </row>
    <row r="2" spans="1:12" ht="36" x14ac:dyDescent="0.55000000000000004">
      <c r="A2" s="191" t="s">
        <v>330</v>
      </c>
      <c r="B2" s="191"/>
      <c r="C2" s="191"/>
      <c r="D2" s="191"/>
      <c r="E2" s="191"/>
      <c r="F2" s="191"/>
      <c r="G2" s="191"/>
      <c r="H2" s="191"/>
      <c r="I2" s="191"/>
    </row>
    <row r="3" spans="1:12" ht="36" x14ac:dyDescent="0.55000000000000004">
      <c r="A3" s="191" t="s">
        <v>266</v>
      </c>
      <c r="B3" s="191"/>
      <c r="C3" s="191"/>
      <c r="D3" s="191"/>
      <c r="E3" s="191"/>
      <c r="F3" s="191"/>
      <c r="G3" s="191"/>
      <c r="H3" s="191"/>
      <c r="I3" s="191"/>
    </row>
    <row r="4" spans="1:12" ht="36" x14ac:dyDescent="0.55000000000000004">
      <c r="A4" s="192">
        <v>43373</v>
      </c>
      <c r="B4" s="193"/>
      <c r="C4" s="193"/>
      <c r="D4" s="193"/>
      <c r="E4" s="193"/>
      <c r="F4" s="193"/>
      <c r="G4" s="193"/>
      <c r="H4" s="193"/>
      <c r="I4" s="193"/>
    </row>
    <row r="6" spans="1:12" s="88" customFormat="1" ht="30" customHeight="1" x14ac:dyDescent="0.5">
      <c r="A6" s="63"/>
      <c r="B6" s="68" t="s">
        <v>212</v>
      </c>
      <c r="C6" s="68" t="s">
        <v>214</v>
      </c>
      <c r="D6" s="68" t="s">
        <v>213</v>
      </c>
      <c r="E6" s="68" t="s">
        <v>215</v>
      </c>
      <c r="F6" s="68" t="s">
        <v>216</v>
      </c>
      <c r="G6" s="68" t="s">
        <v>411</v>
      </c>
      <c r="H6" s="68" t="s">
        <v>421</v>
      </c>
      <c r="I6" s="68" t="s">
        <v>207</v>
      </c>
      <c r="L6" s="90"/>
    </row>
    <row r="7" spans="1:12" s="88" customFormat="1" ht="42.75" customHeight="1" x14ac:dyDescent="0.5">
      <c r="A7" s="70" t="s">
        <v>62</v>
      </c>
      <c r="B7" s="62"/>
      <c r="C7" s="62"/>
      <c r="D7" s="62"/>
      <c r="E7" s="62"/>
      <c r="F7" s="62"/>
      <c r="G7" s="62"/>
      <c r="H7" s="62"/>
      <c r="I7" s="62"/>
      <c r="L7" s="90"/>
    </row>
    <row r="8" spans="1:12" s="88" customFormat="1" ht="42.75" customHeight="1" x14ac:dyDescent="0.5">
      <c r="A8" s="63" t="s">
        <v>217</v>
      </c>
      <c r="B8" s="72">
        <f>'Comp YTD 2018-2017 10.18.18'!B16</f>
        <v>987640134.21000004</v>
      </c>
      <c r="C8" s="72">
        <f>'Comp YTD 2018-2017 10.18.18'!C16</f>
        <v>57867472.350000001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f t="shared" ref="I8:I15" si="0">SUM(B8:H8)</f>
        <v>1045507606.5600001</v>
      </c>
      <c r="L8" s="90"/>
    </row>
    <row r="9" spans="1:12" s="88" customFormat="1" ht="42.75" customHeight="1" x14ac:dyDescent="0.5">
      <c r="A9" s="63" t="s">
        <v>218</v>
      </c>
      <c r="B9" s="72">
        <f>'Comp YTD 2018-2017 10.18.18'!B17</f>
        <v>3095980605.7100005</v>
      </c>
      <c r="C9" s="72">
        <f>'Comp YTD 2018-2017 10.18.18'!C17</f>
        <v>2741915.1799999997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f t="shared" si="0"/>
        <v>3098722520.8900003</v>
      </c>
      <c r="L9" s="90"/>
    </row>
    <row r="10" spans="1:12" s="88" customFormat="1" ht="42.75" customHeight="1" x14ac:dyDescent="0.5">
      <c r="A10" s="63" t="s">
        <v>219</v>
      </c>
      <c r="B10" s="72">
        <f>'Comp YTD 2018-2017 10.18.18'!B18</f>
        <v>13281836.700000001</v>
      </c>
      <c r="C10" s="72">
        <f>'Comp YTD 2018-2017 10.18.18'!C18</f>
        <v>275361.21000000002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f t="shared" si="0"/>
        <v>13557197.910000002</v>
      </c>
      <c r="L10" s="90"/>
    </row>
    <row r="11" spans="1:12" s="88" customFormat="1" ht="42.75" customHeight="1" x14ac:dyDescent="0.5">
      <c r="A11" s="63" t="s">
        <v>427</v>
      </c>
      <c r="B11" s="72">
        <f>'Comp YTD 2018-2017 10.18.18'!B19</f>
        <v>11807404.91</v>
      </c>
      <c r="C11" s="72">
        <f>'Comp YTD 2018-2017 10.18.18'!C19</f>
        <v>21067.5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f t="shared" si="0"/>
        <v>11828472.41</v>
      </c>
      <c r="L11" s="90"/>
    </row>
    <row r="12" spans="1:12" s="88" customFormat="1" ht="42.75" customHeight="1" x14ac:dyDescent="0.5">
      <c r="A12" s="63" t="s">
        <v>220</v>
      </c>
      <c r="B12" s="72">
        <f>'Comp YTD 2018-2017 10.18.18'!B20</f>
        <v>5022730.9700000007</v>
      </c>
      <c r="C12" s="72">
        <f>0</f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f t="shared" si="0"/>
        <v>5022730.9700000007</v>
      </c>
      <c r="L12" s="90"/>
    </row>
    <row r="13" spans="1:12" s="88" customFormat="1" ht="42.75" customHeight="1" x14ac:dyDescent="0.5">
      <c r="A13" s="63" t="s">
        <v>221</v>
      </c>
      <c r="B13" s="72">
        <f>'Comp YTD 2018-2017 10.18.18'!B21</f>
        <v>2622625.92</v>
      </c>
      <c r="C13" s="72">
        <f>'Comp YTD 2018-2017 10.18.18'!C21</f>
        <v>2039.82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f t="shared" si="0"/>
        <v>2624665.7399999998</v>
      </c>
      <c r="L13" s="90"/>
    </row>
    <row r="14" spans="1:12" s="88" customFormat="1" ht="42.75" customHeight="1" x14ac:dyDescent="0.5">
      <c r="A14" s="63" t="s">
        <v>222</v>
      </c>
      <c r="B14" s="72">
        <f>'Comp YTD 2018-2017 10.18.18'!B22</f>
        <v>751779.69</v>
      </c>
      <c r="C14" s="72">
        <f>'Comp YTD 2018-2017 10.18.18'!C22</f>
        <v>2611630.5</v>
      </c>
      <c r="D14" s="72">
        <f>DEP!K17</f>
        <v>2454254.9000000004</v>
      </c>
      <c r="E14" s="72">
        <v>0</v>
      </c>
      <c r="F14" s="72">
        <f>'BSC (Dome)'!K14</f>
        <v>547363.97000000009</v>
      </c>
      <c r="G14" s="72">
        <v>0</v>
      </c>
      <c r="H14" s="72">
        <v>0</v>
      </c>
      <c r="I14" s="72">
        <f t="shared" si="0"/>
        <v>6365029.0599999996</v>
      </c>
      <c r="L14" s="90"/>
    </row>
    <row r="15" spans="1:12" s="88" customFormat="1" ht="42.75" customHeight="1" x14ac:dyDescent="0.5">
      <c r="A15" s="70" t="s">
        <v>223</v>
      </c>
      <c r="B15" s="76">
        <f t="shared" ref="B15:H15" si="1">SUM(B8:B14)</f>
        <v>4117107118.1100001</v>
      </c>
      <c r="C15" s="76">
        <f t="shared" si="1"/>
        <v>63519486.560000002</v>
      </c>
      <c r="D15" s="76">
        <f t="shared" si="1"/>
        <v>2454254.9000000004</v>
      </c>
      <c r="E15" s="76">
        <f t="shared" si="1"/>
        <v>0</v>
      </c>
      <c r="F15" s="76">
        <f t="shared" si="1"/>
        <v>547363.97000000009</v>
      </c>
      <c r="G15" s="76">
        <f t="shared" si="1"/>
        <v>0</v>
      </c>
      <c r="H15" s="76">
        <f t="shared" si="1"/>
        <v>0</v>
      </c>
      <c r="I15" s="76">
        <f t="shared" si="0"/>
        <v>4183628223.54</v>
      </c>
      <c r="L15" s="90"/>
    </row>
    <row r="16" spans="1:12" s="88" customFormat="1" ht="42.75" customHeight="1" x14ac:dyDescent="0.5">
      <c r="A16" s="63"/>
      <c r="B16" s="72"/>
      <c r="C16" s="72"/>
      <c r="D16" s="72"/>
      <c r="E16" s="72"/>
      <c r="F16" s="72"/>
      <c r="G16" s="72"/>
      <c r="H16" s="72"/>
      <c r="I16" s="72"/>
      <c r="L16" s="90"/>
    </row>
    <row r="17" spans="1:12" s="88" customFormat="1" ht="42.75" customHeight="1" x14ac:dyDescent="0.5">
      <c r="A17" s="70" t="s">
        <v>208</v>
      </c>
      <c r="B17" s="72"/>
      <c r="C17" s="72"/>
      <c r="D17" s="72"/>
      <c r="E17" s="72"/>
      <c r="F17" s="72"/>
      <c r="G17" s="72"/>
      <c r="H17" s="72"/>
      <c r="I17" s="72"/>
      <c r="L17" s="90"/>
    </row>
    <row r="18" spans="1:12" s="88" customFormat="1" ht="42.75" customHeight="1" x14ac:dyDescent="0.5">
      <c r="A18" s="63" t="s">
        <v>217</v>
      </c>
      <c r="B18" s="72">
        <f>'Comp YTD 2018-2017 10.18.18'!B26</f>
        <v>1004400301.8899999</v>
      </c>
      <c r="C18" s="72">
        <f>BPM!K20+BPM!K31</f>
        <v>57705401.129999995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f t="shared" ref="I18:I25" si="2">SUM(B18:H18)</f>
        <v>1062105703.0199999</v>
      </c>
      <c r="L18" s="90"/>
    </row>
    <row r="19" spans="1:12" s="88" customFormat="1" ht="42.75" customHeight="1" x14ac:dyDescent="0.5">
      <c r="A19" s="63" t="s">
        <v>218</v>
      </c>
      <c r="B19" s="72">
        <f>'Comp YTD 2018-2017 10.18.18'!B27</f>
        <v>3091078805.7099991</v>
      </c>
      <c r="C19" s="72">
        <f>BPM!K21+BPM!K32</f>
        <v>2518888.9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f t="shared" si="2"/>
        <v>3093597694.6099992</v>
      </c>
      <c r="L19" s="90"/>
    </row>
    <row r="20" spans="1:12" s="88" customFormat="1" ht="42.75" customHeight="1" x14ac:dyDescent="0.5">
      <c r="A20" s="63" t="s">
        <v>219</v>
      </c>
      <c r="B20" s="72">
        <f>'Comp YTD 2018-2017 10.18.18'!B28</f>
        <v>12587660.74</v>
      </c>
      <c r="C20" s="72">
        <f>BPM!K22+BPM!K33</f>
        <v>256268.82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f t="shared" si="2"/>
        <v>12843929.560000001</v>
      </c>
      <c r="L20" s="90"/>
    </row>
    <row r="21" spans="1:12" s="88" customFormat="1" ht="42.75" customHeight="1" x14ac:dyDescent="0.5">
      <c r="A21" s="63" t="s">
        <v>427</v>
      </c>
      <c r="B21" s="72">
        <f>'Comp YTD 2018-2017 10.18.18'!B29</f>
        <v>12058066.880000003</v>
      </c>
      <c r="C21" s="72">
        <f>BPM!K23</f>
        <v>13142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f t="shared" si="2"/>
        <v>12071208.880000003</v>
      </c>
      <c r="L21" s="90"/>
    </row>
    <row r="22" spans="1:12" s="88" customFormat="1" ht="42.75" customHeight="1" x14ac:dyDescent="0.5">
      <c r="A22" s="63" t="s">
        <v>220</v>
      </c>
      <c r="B22" s="72">
        <f>'Comp YTD 2018-2017 10.18.18'!B30</f>
        <v>4877108.4499999993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f t="shared" si="2"/>
        <v>4877108.4499999993</v>
      </c>
      <c r="L22" s="90"/>
    </row>
    <row r="23" spans="1:12" s="88" customFormat="1" ht="42.75" customHeight="1" x14ac:dyDescent="0.5">
      <c r="A23" s="63" t="s">
        <v>221</v>
      </c>
      <c r="B23" s="72">
        <f>'Comp YTD 2018-2017 10.18.18'!B31</f>
        <v>2496097.4699999997</v>
      </c>
      <c r="C23" s="72">
        <f>BPM!K25</f>
        <v>916.55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f t="shared" si="2"/>
        <v>2497014.0199999996</v>
      </c>
      <c r="L23" s="90"/>
    </row>
    <row r="24" spans="1:12" s="88" customFormat="1" ht="42.75" customHeight="1" x14ac:dyDescent="0.5">
      <c r="A24" s="63" t="s">
        <v>222</v>
      </c>
      <c r="B24" s="72">
        <f>'Comp YTD 2018-2017 10.18.18'!B32</f>
        <v>-14954112.650000002</v>
      </c>
      <c r="C24" s="72">
        <f>BPM!K24+BPM!K26+BPM!K27+BPM!K34+BPM!K35+BPM!K29+BPM!K30+BPM!K28</f>
        <v>2200693.41</v>
      </c>
      <c r="D24" s="72">
        <f>DEP!K23</f>
        <v>278193.64</v>
      </c>
      <c r="E24" s="72">
        <v>0</v>
      </c>
      <c r="F24" s="72">
        <f>'BSC (Dome)'!K17</f>
        <v>1648.2199999999998</v>
      </c>
      <c r="G24" s="72">
        <v>0</v>
      </c>
      <c r="H24" s="72">
        <v>0</v>
      </c>
      <c r="I24" s="72">
        <f t="shared" si="2"/>
        <v>-12473577.380000001</v>
      </c>
      <c r="L24" s="90"/>
    </row>
    <row r="25" spans="1:12" s="88" customFormat="1" ht="42.75" customHeight="1" x14ac:dyDescent="0.5">
      <c r="A25" s="70" t="s">
        <v>224</v>
      </c>
      <c r="B25" s="76">
        <f t="shared" ref="B25:H25" si="3">SUM(B18:B24)</f>
        <v>4112543928.4899983</v>
      </c>
      <c r="C25" s="76">
        <f t="shared" si="3"/>
        <v>62695310.809999987</v>
      </c>
      <c r="D25" s="76">
        <f t="shared" si="3"/>
        <v>278193.64</v>
      </c>
      <c r="E25" s="76">
        <f t="shared" si="3"/>
        <v>0</v>
      </c>
      <c r="F25" s="76">
        <f t="shared" si="3"/>
        <v>1648.2199999999998</v>
      </c>
      <c r="G25" s="76">
        <f t="shared" si="3"/>
        <v>0</v>
      </c>
      <c r="H25" s="76">
        <f t="shared" si="3"/>
        <v>0</v>
      </c>
      <c r="I25" s="76">
        <f t="shared" si="2"/>
        <v>4175519081.1599979</v>
      </c>
      <c r="L25" s="90"/>
    </row>
    <row r="26" spans="1:12" s="88" customFormat="1" ht="42.75" customHeight="1" x14ac:dyDescent="0.5">
      <c r="A26" s="63"/>
      <c r="B26" s="72"/>
      <c r="C26" s="72"/>
      <c r="D26" s="72"/>
      <c r="E26" s="72"/>
      <c r="F26" s="72"/>
      <c r="G26" s="72"/>
      <c r="H26" s="72"/>
      <c r="I26" s="72"/>
      <c r="L26" s="90"/>
    </row>
    <row r="27" spans="1:12" s="88" customFormat="1" ht="42.75" customHeight="1" thickBot="1" x14ac:dyDescent="0.55000000000000004">
      <c r="A27" s="70" t="s">
        <v>211</v>
      </c>
      <c r="B27" s="82">
        <f t="shared" ref="B27:H27" si="4">B15-B25</f>
        <v>4563189.6200017929</v>
      </c>
      <c r="C27" s="82">
        <f t="shared" si="4"/>
        <v>824175.7500000149</v>
      </c>
      <c r="D27" s="82">
        <f t="shared" si="4"/>
        <v>2176061.2600000002</v>
      </c>
      <c r="E27" s="82">
        <f t="shared" si="4"/>
        <v>0</v>
      </c>
      <c r="F27" s="82">
        <f t="shared" si="4"/>
        <v>545715.75000000012</v>
      </c>
      <c r="G27" s="82">
        <f t="shared" si="4"/>
        <v>0</v>
      </c>
      <c r="H27" s="82">
        <f t="shared" si="4"/>
        <v>0</v>
      </c>
      <c r="I27" s="82">
        <f>SUM(B27:H27)</f>
        <v>8109142.3800018076</v>
      </c>
      <c r="L27" s="90"/>
    </row>
    <row r="28" spans="1:12" s="88" customFormat="1" ht="42.75" customHeight="1" x14ac:dyDescent="0.5">
      <c r="A28" s="63"/>
      <c r="B28" s="72"/>
      <c r="C28" s="72"/>
      <c r="D28" s="72"/>
      <c r="E28" s="72"/>
      <c r="F28" s="72"/>
      <c r="G28" s="72"/>
      <c r="H28" s="72"/>
      <c r="I28" s="72"/>
      <c r="L28" s="90"/>
    </row>
    <row r="29" spans="1:12" s="88" customFormat="1" ht="42.75" customHeight="1" x14ac:dyDescent="0.5">
      <c r="A29" s="70" t="s">
        <v>209</v>
      </c>
      <c r="B29" s="72"/>
      <c r="C29" s="72"/>
      <c r="D29" s="72"/>
      <c r="E29" s="72"/>
      <c r="F29" s="72"/>
      <c r="G29" s="72"/>
      <c r="H29" s="72"/>
      <c r="I29" s="72"/>
      <c r="L29" s="90"/>
    </row>
    <row r="30" spans="1:12" s="88" customFormat="1" ht="42.75" customHeight="1" x14ac:dyDescent="0.5">
      <c r="A30" s="63"/>
      <c r="B30" s="72"/>
      <c r="C30" s="72"/>
      <c r="D30" s="72"/>
      <c r="E30" s="72"/>
      <c r="F30" s="72"/>
      <c r="G30" s="72"/>
      <c r="H30" s="72"/>
      <c r="I30" s="72"/>
      <c r="L30" s="90"/>
    </row>
    <row r="31" spans="1:12" s="88" customFormat="1" ht="42.75" customHeight="1" x14ac:dyDescent="0.5">
      <c r="A31" s="70" t="s">
        <v>225</v>
      </c>
      <c r="B31" s="72"/>
      <c r="C31" s="72"/>
      <c r="D31" s="72"/>
      <c r="E31" s="72"/>
      <c r="F31" s="72"/>
      <c r="G31" s="72"/>
      <c r="H31" s="72"/>
      <c r="I31" s="72"/>
      <c r="L31" s="90"/>
    </row>
    <row r="32" spans="1:12" s="88" customFormat="1" ht="42.75" customHeight="1" x14ac:dyDescent="0.5">
      <c r="A32" s="63" t="s">
        <v>226</v>
      </c>
      <c r="B32" s="72">
        <f>'Comp YTD 2018-2017 10.18.18'!B40</f>
        <v>2797645.5</v>
      </c>
      <c r="C32" s="72">
        <v>0</v>
      </c>
      <c r="D32" s="72">
        <f>DEP!K29</f>
        <v>78047.460000000006</v>
      </c>
      <c r="E32" s="72">
        <v>0</v>
      </c>
      <c r="F32" s="72">
        <f>'BSC (Dome)'!K24+'BSC (Dome)'!K31</f>
        <v>228303.50999999998</v>
      </c>
      <c r="G32" s="72">
        <v>0</v>
      </c>
      <c r="H32" s="72">
        <v>0</v>
      </c>
      <c r="I32" s="72">
        <f t="shared" ref="I32:I41" si="5">SUM(B32:H32)</f>
        <v>3103996.4699999997</v>
      </c>
      <c r="L32" s="90"/>
    </row>
    <row r="33" spans="1:12" s="88" customFormat="1" ht="42.75" customHeight="1" x14ac:dyDescent="0.5">
      <c r="A33" s="63" t="s">
        <v>227</v>
      </c>
      <c r="B33" s="72">
        <f>'Comp YTD 2018-2017 10.18.18'!B41</f>
        <v>26017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f t="shared" si="5"/>
        <v>26017</v>
      </c>
      <c r="L33" s="90"/>
    </row>
    <row r="34" spans="1:12" s="88" customFormat="1" ht="42.75" customHeight="1" x14ac:dyDescent="0.5">
      <c r="A34" s="63" t="s">
        <v>228</v>
      </c>
      <c r="B34" s="72">
        <f>'Comp YTD 2018-2017 10.18.18'!B42</f>
        <v>234558.68999999997</v>
      </c>
      <c r="C34" s="72">
        <v>0</v>
      </c>
      <c r="D34" s="72">
        <f>DEP!K30</f>
        <v>8076.880000000001</v>
      </c>
      <c r="E34" s="72">
        <v>0</v>
      </c>
      <c r="F34" s="72">
        <f>'BSC (Dome)'!K25</f>
        <v>15186.350000000002</v>
      </c>
      <c r="G34" s="72">
        <v>0</v>
      </c>
      <c r="H34" s="72">
        <v>0</v>
      </c>
      <c r="I34" s="72">
        <f t="shared" si="5"/>
        <v>257821.91999999998</v>
      </c>
      <c r="L34" s="90"/>
    </row>
    <row r="35" spans="1:12" s="88" customFormat="1" ht="42.75" customHeight="1" x14ac:dyDescent="0.5">
      <c r="A35" s="63" t="s">
        <v>229</v>
      </c>
      <c r="B35" s="72">
        <f>'Comp YTD 2018-2017 10.18.18'!B43</f>
        <v>241692.67</v>
      </c>
      <c r="C35" s="72">
        <v>0</v>
      </c>
      <c r="D35" s="72">
        <f>DEP!K31</f>
        <v>28097.99</v>
      </c>
      <c r="E35" s="72">
        <v>0</v>
      </c>
      <c r="F35" s="72">
        <f>'BSC (Dome)'!K26</f>
        <v>44795.31</v>
      </c>
      <c r="G35" s="72">
        <v>0</v>
      </c>
      <c r="H35" s="72">
        <v>0</v>
      </c>
      <c r="I35" s="72">
        <f t="shared" si="5"/>
        <v>314585.97000000003</v>
      </c>
      <c r="L35" s="90"/>
    </row>
    <row r="36" spans="1:12" s="88" customFormat="1" ht="42.75" customHeight="1" x14ac:dyDescent="0.5">
      <c r="A36" s="63" t="s">
        <v>230</v>
      </c>
      <c r="B36" s="72">
        <f>'Comp YTD 2018-2017 10.18.18'!B44</f>
        <v>36031.53</v>
      </c>
      <c r="C36" s="72">
        <v>0</v>
      </c>
      <c r="D36" s="72">
        <f>DEP!K32</f>
        <v>1952.82</v>
      </c>
      <c r="E36" s="72">
        <v>0</v>
      </c>
      <c r="F36" s="72">
        <f>'BSC (Dome)'!K27</f>
        <v>2753.04</v>
      </c>
      <c r="G36" s="72">
        <v>0</v>
      </c>
      <c r="H36" s="72">
        <v>0</v>
      </c>
      <c r="I36" s="72">
        <f t="shared" si="5"/>
        <v>40737.39</v>
      </c>
      <c r="L36" s="90"/>
    </row>
    <row r="37" spans="1:12" s="88" customFormat="1" ht="42.75" customHeight="1" x14ac:dyDescent="0.5">
      <c r="A37" s="63" t="s">
        <v>231</v>
      </c>
      <c r="B37" s="72">
        <f>'Comp YTD 2018-2017 10.18.18'!B45</f>
        <v>80235</v>
      </c>
      <c r="C37" s="72">
        <v>0</v>
      </c>
      <c r="D37" s="72">
        <f>DEP!K33</f>
        <v>2800</v>
      </c>
      <c r="E37" s="72">
        <v>0</v>
      </c>
      <c r="F37" s="72">
        <f>'BSC (Dome)'!K29</f>
        <v>4250</v>
      </c>
      <c r="G37" s="72">
        <v>0</v>
      </c>
      <c r="H37" s="72">
        <v>0</v>
      </c>
      <c r="I37" s="72">
        <f t="shared" si="5"/>
        <v>87285</v>
      </c>
      <c r="L37" s="90"/>
    </row>
    <row r="38" spans="1:12" s="88" customFormat="1" ht="42.75" customHeight="1" x14ac:dyDescent="0.5">
      <c r="A38" s="63" t="s">
        <v>308</v>
      </c>
      <c r="B38" s="72">
        <f>'Comp YTD 2018-2017 10.18.18'!B46+'Comp YTD 2018-2017 10.18.18'!B78</f>
        <v>17077.04</v>
      </c>
      <c r="C38" s="72">
        <v>0</v>
      </c>
      <c r="D38" s="72">
        <f>DEP!K34</f>
        <v>1481.01</v>
      </c>
      <c r="E38" s="72">
        <v>0</v>
      </c>
      <c r="F38" s="72">
        <f>'BSC (Dome)'!K28+'BSC (Dome)'!K30</f>
        <v>2646.5699999999997</v>
      </c>
      <c r="G38" s="72">
        <v>0</v>
      </c>
      <c r="H38" s="72">
        <v>0</v>
      </c>
      <c r="I38" s="72">
        <f t="shared" si="5"/>
        <v>21204.62</v>
      </c>
      <c r="L38" s="90"/>
    </row>
    <row r="39" spans="1:12" s="88" customFormat="1" ht="42.75" customHeight="1" x14ac:dyDescent="0.5">
      <c r="A39" s="63" t="s">
        <v>232</v>
      </c>
      <c r="B39" s="72">
        <f>'Comp YTD 2018-2017 10.18.18'!B47</f>
        <v>6741.74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f t="shared" si="5"/>
        <v>6741.74</v>
      </c>
      <c r="L39" s="90"/>
    </row>
    <row r="40" spans="1:12" s="88" customFormat="1" ht="42.75" customHeight="1" x14ac:dyDescent="0.5">
      <c r="A40" s="63" t="s">
        <v>247</v>
      </c>
      <c r="B40" s="72">
        <f>'Comp YTD 2018-2017 10.18.18'!B48</f>
        <v>45648.72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f t="shared" si="5"/>
        <v>45648.72</v>
      </c>
      <c r="L40" s="90"/>
    </row>
    <row r="41" spans="1:12" s="88" customFormat="1" ht="42.75" customHeight="1" x14ac:dyDescent="0.5">
      <c r="A41" s="70" t="s">
        <v>233</v>
      </c>
      <c r="B41" s="76">
        <f t="shared" ref="B41:H41" si="6">SUM(B32:B40)</f>
        <v>3485647.89</v>
      </c>
      <c r="C41" s="76">
        <f t="shared" si="6"/>
        <v>0</v>
      </c>
      <c r="D41" s="76">
        <f t="shared" si="6"/>
        <v>120456.16000000002</v>
      </c>
      <c r="E41" s="76">
        <f t="shared" si="6"/>
        <v>0</v>
      </c>
      <c r="F41" s="76">
        <f t="shared" si="6"/>
        <v>297934.77999999997</v>
      </c>
      <c r="G41" s="76">
        <f t="shared" si="6"/>
        <v>0</v>
      </c>
      <c r="H41" s="76">
        <f t="shared" si="6"/>
        <v>0</v>
      </c>
      <c r="I41" s="76">
        <f t="shared" si="5"/>
        <v>3904038.83</v>
      </c>
      <c r="L41" s="90"/>
    </row>
    <row r="42" spans="1:12" s="88" customFormat="1" ht="42.75" customHeight="1" x14ac:dyDescent="0.5">
      <c r="A42" s="63"/>
      <c r="B42" s="72"/>
      <c r="C42" s="72"/>
      <c r="D42" s="72"/>
      <c r="E42" s="72"/>
      <c r="F42" s="72"/>
      <c r="G42" s="72"/>
      <c r="H42" s="72"/>
      <c r="I42" s="72"/>
      <c r="L42" s="90"/>
    </row>
    <row r="43" spans="1:12" s="88" customFormat="1" ht="42.75" customHeight="1" x14ac:dyDescent="0.5">
      <c r="A43" s="70" t="s">
        <v>234</v>
      </c>
      <c r="B43" s="72"/>
      <c r="C43" s="72"/>
      <c r="D43" s="72"/>
      <c r="E43" s="72"/>
      <c r="F43" s="72"/>
      <c r="G43" s="72"/>
      <c r="H43" s="72"/>
      <c r="I43" s="72"/>
      <c r="L43" s="90"/>
    </row>
    <row r="44" spans="1:12" s="88" customFormat="1" ht="42.75" customHeight="1" x14ac:dyDescent="0.5">
      <c r="A44" s="63" t="s">
        <v>235</v>
      </c>
      <c r="B44" s="72">
        <f>'Comp YTD 2018-2017 10.18.18'!B52</f>
        <v>387800</v>
      </c>
      <c r="C44" s="72">
        <v>0</v>
      </c>
      <c r="D44" s="72">
        <f>DEP!K38</f>
        <v>337500</v>
      </c>
      <c r="E44" s="72">
        <v>0</v>
      </c>
      <c r="F44" s="72">
        <f>'BSC (Dome)'!K35</f>
        <v>9000</v>
      </c>
      <c r="G44" s="72">
        <v>0</v>
      </c>
      <c r="H44" s="72">
        <v>0</v>
      </c>
      <c r="I44" s="72">
        <f t="shared" ref="I44:I66" si="7">SUM(B44:H44)</f>
        <v>734300</v>
      </c>
      <c r="L44" s="90"/>
    </row>
    <row r="45" spans="1:12" s="88" customFormat="1" ht="42.75" customHeight="1" x14ac:dyDescent="0.5">
      <c r="A45" s="63" t="s">
        <v>236</v>
      </c>
      <c r="B45" s="72">
        <f>'Comp YTD 2018-2017 10.18.18'!B53</f>
        <v>893.98000000000138</v>
      </c>
      <c r="C45" s="72">
        <v>0</v>
      </c>
      <c r="D45" s="72">
        <f>DEP!K39</f>
        <v>62173.06</v>
      </c>
      <c r="E45" s="72">
        <v>0</v>
      </c>
      <c r="F45" s="72">
        <f>'BSC (Dome)'!K37</f>
        <v>5384.5</v>
      </c>
      <c r="G45" s="72">
        <v>0</v>
      </c>
      <c r="H45" s="72">
        <v>0</v>
      </c>
      <c r="I45" s="72">
        <f t="shared" si="7"/>
        <v>68451.540000000008</v>
      </c>
      <c r="L45" s="90"/>
    </row>
    <row r="46" spans="1:12" s="88" customFormat="1" ht="42.75" customHeight="1" x14ac:dyDescent="0.5">
      <c r="A46" s="63" t="s">
        <v>237</v>
      </c>
      <c r="B46" s="72">
        <f>'Comp YTD 2018-2017 10.18.18'!B54</f>
        <v>8811.7099999999991</v>
      </c>
      <c r="C46" s="72">
        <v>0</v>
      </c>
      <c r="D46" s="72">
        <v>0</v>
      </c>
      <c r="E46" s="72">
        <v>0</v>
      </c>
      <c r="F46" s="72">
        <f>'BSC (Dome)'!K36</f>
        <v>60025.37</v>
      </c>
      <c r="G46" s="72">
        <v>0</v>
      </c>
      <c r="H46" s="72">
        <v>0</v>
      </c>
      <c r="I46" s="72">
        <f t="shared" si="7"/>
        <v>68837.08</v>
      </c>
      <c r="L46" s="90"/>
    </row>
    <row r="47" spans="1:12" s="88" customFormat="1" ht="42.75" customHeight="1" x14ac:dyDescent="0.5">
      <c r="A47" s="63" t="s">
        <v>338</v>
      </c>
      <c r="B47" s="72">
        <f>'Comp YTD 2018-2017 10.18.18'!B55</f>
        <v>579.03</v>
      </c>
      <c r="C47" s="72">
        <v>0</v>
      </c>
      <c r="D47" s="72">
        <v>0</v>
      </c>
      <c r="E47" s="72">
        <v>0</v>
      </c>
      <c r="F47" s="72">
        <f>'BSC (Dome)'!K38</f>
        <v>2032.02</v>
      </c>
      <c r="G47" s="72">
        <v>0</v>
      </c>
      <c r="H47" s="72">
        <v>0</v>
      </c>
      <c r="I47" s="72">
        <f t="shared" si="7"/>
        <v>2611.0500000000002</v>
      </c>
      <c r="L47" s="90"/>
    </row>
    <row r="48" spans="1:12" s="88" customFormat="1" ht="42.75" customHeight="1" x14ac:dyDescent="0.5">
      <c r="A48" s="63" t="s">
        <v>291</v>
      </c>
      <c r="B48" s="72">
        <f>'Comp YTD 2018-2017 10.18.18'!B56</f>
        <v>178.45</v>
      </c>
      <c r="C48" s="72">
        <v>0</v>
      </c>
      <c r="D48" s="72">
        <f>DEP!K40</f>
        <v>1350</v>
      </c>
      <c r="E48" s="72">
        <v>0</v>
      </c>
      <c r="F48" s="72">
        <f>'BSC (Dome)'!K39</f>
        <v>5749.14</v>
      </c>
      <c r="G48" s="72">
        <v>0</v>
      </c>
      <c r="H48" s="72">
        <v>0</v>
      </c>
      <c r="I48" s="72">
        <f t="shared" si="7"/>
        <v>7277.59</v>
      </c>
      <c r="L48" s="90"/>
    </row>
    <row r="49" spans="1:12" s="88" customFormat="1" ht="42.75" customHeight="1" x14ac:dyDescent="0.5">
      <c r="A49" s="63" t="s">
        <v>451</v>
      </c>
      <c r="B49" s="72">
        <f>'Comp YTD 2018-2017 10.18.18'!B57</f>
        <v>19715</v>
      </c>
      <c r="C49" s="72">
        <v>0</v>
      </c>
      <c r="D49" s="72">
        <f>DEP!K41</f>
        <v>19724.2</v>
      </c>
      <c r="E49" s="72">
        <v>0</v>
      </c>
      <c r="F49" s="72">
        <f>'BSC (Dome)'!K40</f>
        <v>0</v>
      </c>
      <c r="G49" s="72">
        <v>0</v>
      </c>
      <c r="H49" s="72">
        <v>0</v>
      </c>
      <c r="I49" s="72">
        <f t="shared" si="7"/>
        <v>39439.199999999997</v>
      </c>
      <c r="L49" s="90"/>
    </row>
    <row r="50" spans="1:12" s="88" customFormat="1" ht="42.75" customHeight="1" x14ac:dyDescent="0.5">
      <c r="A50" s="63" t="s">
        <v>379</v>
      </c>
      <c r="B50" s="72">
        <f>'Comp YTD 2018-2017 10.18.18'!B58</f>
        <v>102062.59999999999</v>
      </c>
      <c r="C50" s="72">
        <f>BPM!K42</f>
        <v>2719.73</v>
      </c>
      <c r="D50" s="72">
        <f>DEP!K42</f>
        <v>26534.739999999998</v>
      </c>
      <c r="E50" s="72">
        <v>0</v>
      </c>
      <c r="F50" s="72">
        <f>'BSC (Dome)'!K41</f>
        <v>2914.58</v>
      </c>
      <c r="G50" s="72">
        <v>0</v>
      </c>
      <c r="H50" s="72">
        <v>0</v>
      </c>
      <c r="I50" s="72">
        <f t="shared" si="7"/>
        <v>134231.64999999997</v>
      </c>
      <c r="L50" s="90"/>
    </row>
    <row r="51" spans="1:12" s="88" customFormat="1" ht="42.75" customHeight="1" x14ac:dyDescent="0.5">
      <c r="A51" s="63" t="s">
        <v>377</v>
      </c>
      <c r="B51" s="72">
        <f>'Comp YTD 2018-2017 10.18.18'!B59</f>
        <v>0</v>
      </c>
      <c r="C51" s="72">
        <v>0</v>
      </c>
      <c r="D51" s="72">
        <v>0</v>
      </c>
      <c r="E51" s="72">
        <v>0</v>
      </c>
      <c r="F51" s="72">
        <f>'BSC (Dome)'!K42+'BSC (Dome)'!K48</f>
        <v>11135.36</v>
      </c>
      <c r="G51" s="72">
        <v>0</v>
      </c>
      <c r="H51" s="72">
        <v>0</v>
      </c>
      <c r="I51" s="72">
        <f t="shared" si="7"/>
        <v>11135.36</v>
      </c>
      <c r="L51" s="90"/>
    </row>
    <row r="52" spans="1:12" s="88" customFormat="1" ht="42.75" customHeight="1" x14ac:dyDescent="0.5">
      <c r="A52" s="63" t="s">
        <v>240</v>
      </c>
      <c r="B52" s="72">
        <f>'Comp YTD 2018-2017 10.18.18'!B60</f>
        <v>79598.200000000012</v>
      </c>
      <c r="C52" s="72">
        <v>0</v>
      </c>
      <c r="D52" s="72">
        <f>DEP!K43</f>
        <v>47875.950000000012</v>
      </c>
      <c r="E52" s="72">
        <v>0</v>
      </c>
      <c r="F52" s="72">
        <f>'BSC (Dome)'!K44</f>
        <v>486.66999999999996</v>
      </c>
      <c r="G52" s="72">
        <v>0</v>
      </c>
      <c r="H52" s="72">
        <v>0</v>
      </c>
      <c r="I52" s="72">
        <f t="shared" si="7"/>
        <v>127960.82000000002</v>
      </c>
      <c r="L52" s="90"/>
    </row>
    <row r="53" spans="1:12" s="88" customFormat="1" ht="42.75" customHeight="1" x14ac:dyDescent="0.5">
      <c r="A53" s="63" t="s">
        <v>241</v>
      </c>
      <c r="B53" s="72">
        <f>'Comp YTD 2018-2017 10.18.18'!B61</f>
        <v>33500</v>
      </c>
      <c r="C53" s="72">
        <v>0</v>
      </c>
      <c r="D53" s="72">
        <f>DEP!K44</f>
        <v>11805.94</v>
      </c>
      <c r="E53" s="72">
        <v>0</v>
      </c>
      <c r="F53" s="72">
        <v>0</v>
      </c>
      <c r="G53" s="72">
        <v>0</v>
      </c>
      <c r="H53" s="72">
        <v>0</v>
      </c>
      <c r="I53" s="72">
        <f t="shared" si="7"/>
        <v>45305.94</v>
      </c>
      <c r="L53" s="90"/>
    </row>
    <row r="54" spans="1:12" s="88" customFormat="1" ht="42.75" customHeight="1" x14ac:dyDescent="0.5">
      <c r="A54" s="63" t="s">
        <v>239</v>
      </c>
      <c r="B54" s="72">
        <f>'Comp YTD 2018-2017 10.18.18'!B62</f>
        <v>45578.289999999994</v>
      </c>
      <c r="C54" s="72">
        <v>0</v>
      </c>
      <c r="D54" s="72">
        <f>DEP!K45</f>
        <v>149035.41</v>
      </c>
      <c r="E54" s="72">
        <v>0</v>
      </c>
      <c r="F54" s="72">
        <f>'BSC (Dome)'!K46</f>
        <v>21818</v>
      </c>
      <c r="G54" s="72">
        <v>0</v>
      </c>
      <c r="H54" s="72">
        <v>0</v>
      </c>
      <c r="I54" s="72">
        <f t="shared" si="7"/>
        <v>216431.7</v>
      </c>
      <c r="L54" s="90"/>
    </row>
    <row r="55" spans="1:12" s="88" customFormat="1" ht="42.75" customHeight="1" x14ac:dyDescent="0.5">
      <c r="A55" s="63" t="s">
        <v>358</v>
      </c>
      <c r="B55" s="72">
        <f>'Comp YTD 2018-2017 10.18.18'!B69</f>
        <v>1663</v>
      </c>
      <c r="C55" s="72">
        <f>BPM!K52</f>
        <v>349.02000000000004</v>
      </c>
      <c r="D55" s="72">
        <f>DEP!K64</f>
        <v>449</v>
      </c>
      <c r="E55" s="72">
        <v>0</v>
      </c>
      <c r="F55" s="72">
        <f>'BSC (Dome)'!K47</f>
        <v>865</v>
      </c>
      <c r="G55" s="72">
        <f>'Oliari Co.'!K10</f>
        <v>520</v>
      </c>
      <c r="H55" s="72">
        <f>'722 Bedford St'!K10</f>
        <v>520</v>
      </c>
      <c r="I55" s="72">
        <f t="shared" si="7"/>
        <v>4366.0200000000004</v>
      </c>
      <c r="L55" s="90"/>
    </row>
    <row r="56" spans="1:12" s="88" customFormat="1" ht="42.75" customHeight="1" x14ac:dyDescent="0.5">
      <c r="A56" s="63" t="s">
        <v>361</v>
      </c>
      <c r="B56" s="72">
        <f>'Comp YTD 2018-2017 10.18.18'!B63</f>
        <v>0</v>
      </c>
      <c r="C56" s="72">
        <v>0</v>
      </c>
      <c r="D56" s="72">
        <v>0</v>
      </c>
      <c r="E56" s="72">
        <v>0</v>
      </c>
      <c r="F56" s="72">
        <f>'BSC (Dome)'!K43</f>
        <v>13379.36</v>
      </c>
      <c r="G56" s="72">
        <v>0</v>
      </c>
      <c r="H56" s="72">
        <v>0</v>
      </c>
      <c r="I56" s="72">
        <f t="shared" si="7"/>
        <v>13379.36</v>
      </c>
      <c r="L56" s="90"/>
    </row>
    <row r="57" spans="1:12" s="88" customFormat="1" ht="42.75" customHeight="1" x14ac:dyDescent="0.5">
      <c r="A57" s="63" t="s">
        <v>242</v>
      </c>
      <c r="B57" s="72">
        <f>'Comp YTD 2018-2017 10.18.18'!B64</f>
        <v>16793.27</v>
      </c>
      <c r="C57" s="72">
        <v>0</v>
      </c>
      <c r="D57" s="72">
        <f>DEP!K46</f>
        <v>187.99</v>
      </c>
      <c r="E57" s="72">
        <v>0</v>
      </c>
      <c r="F57" s="72">
        <f>'BSC (Dome)'!K49</f>
        <v>1417.5100000000002</v>
      </c>
      <c r="G57" s="72">
        <v>0</v>
      </c>
      <c r="H57" s="72">
        <v>0</v>
      </c>
      <c r="I57" s="72">
        <f t="shared" si="7"/>
        <v>18398.770000000004</v>
      </c>
      <c r="L57" s="90"/>
    </row>
    <row r="58" spans="1:12" s="88" customFormat="1" ht="42.75" customHeight="1" x14ac:dyDescent="0.5">
      <c r="A58" s="63" t="s">
        <v>243</v>
      </c>
      <c r="B58" s="72">
        <f>'Comp YTD 2018-2017 10.18.18'!B65</f>
        <v>7006.41</v>
      </c>
      <c r="C58" s="72">
        <v>0</v>
      </c>
      <c r="D58" s="72">
        <f>DEP!K48</f>
        <v>3305.3999999999996</v>
      </c>
      <c r="E58" s="72">
        <v>0</v>
      </c>
      <c r="F58" s="72">
        <f>0</f>
        <v>0</v>
      </c>
      <c r="G58" s="72">
        <f>0</f>
        <v>0</v>
      </c>
      <c r="H58" s="72">
        <f>0</f>
        <v>0</v>
      </c>
      <c r="I58" s="72">
        <f t="shared" si="7"/>
        <v>10311.81</v>
      </c>
      <c r="L58" s="90"/>
    </row>
    <row r="59" spans="1:12" s="88" customFormat="1" ht="42.75" customHeight="1" x14ac:dyDescent="0.5">
      <c r="A59" s="63" t="s">
        <v>244</v>
      </c>
      <c r="B59" s="72">
        <f>'Comp YTD 2018-2017 10.18.18'!B66</f>
        <v>2999.97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  <c r="H59" s="72">
        <v>0</v>
      </c>
      <c r="I59" s="72">
        <f t="shared" si="7"/>
        <v>2999.97</v>
      </c>
      <c r="L59" s="90"/>
    </row>
    <row r="60" spans="1:12" s="88" customFormat="1" ht="42.75" customHeight="1" x14ac:dyDescent="0.5">
      <c r="A60" s="63" t="s">
        <v>245</v>
      </c>
      <c r="B60" s="72">
        <f>'Comp YTD 2018-2017 10.18.18'!B67</f>
        <v>1130261.8500000001</v>
      </c>
      <c r="C60" s="72">
        <f>BPM!K43</f>
        <v>3488.74</v>
      </c>
      <c r="D60" s="72">
        <f>DEP!K49</f>
        <v>94198.39</v>
      </c>
      <c r="E60" s="72">
        <v>0</v>
      </c>
      <c r="F60" s="72">
        <f>'BSC (Dome)'!K52</f>
        <v>84595.9</v>
      </c>
      <c r="G60" s="72">
        <f>'Oliari Co.'!K11</f>
        <v>83261.430000000022</v>
      </c>
      <c r="H60" s="72">
        <f>'722 Bedford St'!K11</f>
        <v>132232.72</v>
      </c>
      <c r="I60" s="72">
        <f t="shared" si="7"/>
        <v>1528039.0299999998</v>
      </c>
      <c r="L60" s="90"/>
    </row>
    <row r="61" spans="1:12" s="88" customFormat="1" ht="42.75" customHeight="1" x14ac:dyDescent="0.5">
      <c r="A61" s="63" t="s">
        <v>255</v>
      </c>
      <c r="B61" s="72">
        <f>'Comp YTD 2018-2017 10.18.18'!B68</f>
        <v>1268.68</v>
      </c>
      <c r="C61" s="72">
        <v>0</v>
      </c>
      <c r="D61" s="72">
        <v>0</v>
      </c>
      <c r="E61" s="72">
        <v>0</v>
      </c>
      <c r="F61" s="72">
        <v>0</v>
      </c>
      <c r="G61" s="72">
        <v>0</v>
      </c>
      <c r="H61" s="72">
        <v>0</v>
      </c>
      <c r="I61" s="72">
        <f t="shared" si="7"/>
        <v>1268.68</v>
      </c>
      <c r="L61" s="90"/>
    </row>
    <row r="62" spans="1:12" s="88" customFormat="1" ht="42.75" customHeight="1" x14ac:dyDescent="0.5">
      <c r="A62" s="63" t="s">
        <v>248</v>
      </c>
      <c r="B62" s="72">
        <f>'Comp YTD 2018-2017 10.18.18'!B70</f>
        <v>15330.22</v>
      </c>
      <c r="C62" s="72">
        <v>0</v>
      </c>
      <c r="D62" s="72">
        <f>DEP!K50</f>
        <v>15061.969999999998</v>
      </c>
      <c r="E62" s="72">
        <v>0</v>
      </c>
      <c r="F62" s="72">
        <f>'BSC (Dome)'!K53</f>
        <v>0</v>
      </c>
      <c r="G62" s="72">
        <v>0</v>
      </c>
      <c r="H62" s="72">
        <v>0</v>
      </c>
      <c r="I62" s="72">
        <f t="shared" si="7"/>
        <v>30392.189999999995</v>
      </c>
      <c r="L62" s="90"/>
    </row>
    <row r="63" spans="1:12" s="88" customFormat="1" ht="42.75" customHeight="1" x14ac:dyDescent="0.5">
      <c r="A63" s="63" t="s">
        <v>249</v>
      </c>
      <c r="B63" s="72">
        <f>'Comp YTD 2018-2017 10.18.18'!B71</f>
        <v>120379.79999999999</v>
      </c>
      <c r="C63" s="72">
        <v>0</v>
      </c>
      <c r="D63" s="72">
        <f>DEP!K47</f>
        <v>64648.75</v>
      </c>
      <c r="E63" s="72">
        <v>0</v>
      </c>
      <c r="F63" s="72">
        <f>0</f>
        <v>0</v>
      </c>
      <c r="G63" s="72">
        <v>0</v>
      </c>
      <c r="H63" s="72">
        <v>0</v>
      </c>
      <c r="I63" s="72">
        <f t="shared" si="7"/>
        <v>185028.55</v>
      </c>
      <c r="L63" s="90"/>
    </row>
    <row r="64" spans="1:12" s="88" customFormat="1" ht="42.75" customHeight="1" x14ac:dyDescent="0.5">
      <c r="A64" s="63" t="s">
        <v>371</v>
      </c>
      <c r="B64" s="72">
        <f>'Comp YTD 2018-2017 10.18.18'!B72</f>
        <v>26546.309999999998</v>
      </c>
      <c r="C64" s="72">
        <v>0</v>
      </c>
      <c r="D64" s="72">
        <f>DEP!K51</f>
        <v>7476.93</v>
      </c>
      <c r="E64" s="72">
        <v>0</v>
      </c>
      <c r="F64" s="72">
        <f>'BSC (Dome)'!K54</f>
        <v>2372.79</v>
      </c>
      <c r="G64" s="72">
        <v>0</v>
      </c>
      <c r="H64" s="72">
        <v>0</v>
      </c>
      <c r="I64" s="72">
        <f>SUM(B64:H64)</f>
        <v>36396.03</v>
      </c>
      <c r="L64" s="90"/>
    </row>
    <row r="65" spans="1:12" s="88" customFormat="1" ht="42.75" customHeight="1" x14ac:dyDescent="0.5">
      <c r="A65" s="63" t="s">
        <v>372</v>
      </c>
      <c r="B65" s="72">
        <f>'Comp YTD 2018-2017 10.18.18'!B73</f>
        <v>13105.57</v>
      </c>
      <c r="C65" s="72">
        <f>BPM!K49</f>
        <v>5419.07</v>
      </c>
      <c r="D65" s="72">
        <f>DEP!K52</f>
        <v>6949.9699999999993</v>
      </c>
      <c r="E65" s="72">
        <v>0</v>
      </c>
      <c r="F65" s="72">
        <f>'BSC (Dome)'!K55</f>
        <v>5094.4799999999996</v>
      </c>
      <c r="G65" s="72">
        <v>0</v>
      </c>
      <c r="H65" s="72">
        <v>0</v>
      </c>
      <c r="I65" s="72">
        <f t="shared" si="7"/>
        <v>30569.09</v>
      </c>
      <c r="L65" s="90"/>
    </row>
    <row r="66" spans="1:12" s="88" customFormat="1" ht="42.75" customHeight="1" x14ac:dyDescent="0.5">
      <c r="A66" s="70" t="s">
        <v>250</v>
      </c>
      <c r="B66" s="76">
        <f t="shared" ref="B66:H66" si="8">SUM(B44:B65)</f>
        <v>2014072.3400000003</v>
      </c>
      <c r="C66" s="76">
        <f t="shared" si="8"/>
        <v>11976.56</v>
      </c>
      <c r="D66" s="76">
        <f t="shared" si="8"/>
        <v>848277.70000000007</v>
      </c>
      <c r="E66" s="76">
        <f t="shared" si="8"/>
        <v>0</v>
      </c>
      <c r="F66" s="76">
        <f t="shared" si="8"/>
        <v>226270.68000000002</v>
      </c>
      <c r="G66" s="76">
        <f t="shared" si="8"/>
        <v>83781.430000000022</v>
      </c>
      <c r="H66" s="76">
        <f t="shared" si="8"/>
        <v>132752.72</v>
      </c>
      <c r="I66" s="76">
        <f t="shared" si="7"/>
        <v>3317131.4300000011</v>
      </c>
      <c r="L66" s="90"/>
    </row>
    <row r="67" spans="1:12" s="88" customFormat="1" ht="42.75" customHeight="1" x14ac:dyDescent="0.5">
      <c r="A67" s="63"/>
      <c r="B67" s="72"/>
      <c r="C67" s="72"/>
      <c r="D67" s="72"/>
      <c r="E67" s="72"/>
      <c r="F67" s="72"/>
      <c r="G67" s="72"/>
      <c r="H67" s="72"/>
      <c r="I67" s="72">
        <f>SUM(B67:F67)</f>
        <v>0</v>
      </c>
      <c r="L67" s="90"/>
    </row>
    <row r="68" spans="1:12" s="88" customFormat="1" ht="42.75" customHeight="1" x14ac:dyDescent="0.5">
      <c r="A68" s="70" t="s">
        <v>251</v>
      </c>
      <c r="B68" s="72"/>
      <c r="C68" s="72"/>
      <c r="D68" s="72"/>
      <c r="E68" s="72"/>
      <c r="F68" s="72"/>
      <c r="G68" s="72"/>
      <c r="H68" s="72"/>
      <c r="I68" s="72">
        <f>SUM(B68:F68)</f>
        <v>0</v>
      </c>
      <c r="L68" s="90"/>
    </row>
    <row r="69" spans="1:12" s="88" customFormat="1" ht="42.75" customHeight="1" x14ac:dyDescent="0.5">
      <c r="A69" s="63" t="s">
        <v>252</v>
      </c>
      <c r="B69" s="72">
        <f>'Comp YTD 2018-2017 10.18.18'!B77</f>
        <v>8050.6</v>
      </c>
      <c r="C69" s="72">
        <v>0</v>
      </c>
      <c r="D69" s="72">
        <f>DEP!K56</f>
        <v>1409.28</v>
      </c>
      <c r="E69" s="72">
        <v>0</v>
      </c>
      <c r="F69" s="72">
        <f>'BSC (Dome)'!K59</f>
        <v>2926.56</v>
      </c>
      <c r="G69" s="72">
        <v>0</v>
      </c>
      <c r="H69" s="72">
        <v>0</v>
      </c>
      <c r="I69" s="72">
        <f t="shared" ref="I69:I87" si="9">SUM(B69:H69)</f>
        <v>12386.44</v>
      </c>
      <c r="L69" s="90"/>
    </row>
    <row r="70" spans="1:12" s="88" customFormat="1" ht="42.75" customHeight="1" x14ac:dyDescent="0.5">
      <c r="A70" s="63" t="s">
        <v>253</v>
      </c>
      <c r="B70" s="72">
        <f>'Comp YTD 2018-2017 10.18.18'!B79</f>
        <v>91089.459999999992</v>
      </c>
      <c r="C70" s="72">
        <f>BPM!K47</f>
        <v>7737.42</v>
      </c>
      <c r="D70" s="72">
        <f>DEP!K57</f>
        <v>6558.06</v>
      </c>
      <c r="E70" s="72">
        <f>Lending!K9</f>
        <v>1833.2100000000003</v>
      </c>
      <c r="F70" s="72">
        <f>'BSC (Dome)'!K60</f>
        <v>2328.1199999999994</v>
      </c>
      <c r="G70" s="72">
        <v>0</v>
      </c>
      <c r="H70" s="72">
        <f>'722 Bedford St'!K16</f>
        <v>714.47000000000014</v>
      </c>
      <c r="I70" s="72">
        <f t="shared" si="9"/>
        <v>110260.73999999999</v>
      </c>
      <c r="L70" s="90"/>
    </row>
    <row r="71" spans="1:12" s="88" customFormat="1" ht="42.75" customHeight="1" x14ac:dyDescent="0.5">
      <c r="A71" s="63" t="s">
        <v>365</v>
      </c>
      <c r="B71" s="72">
        <f>'Comp YTD 2018-2017 10.18.18'!B80</f>
        <v>0</v>
      </c>
      <c r="C71" s="72">
        <v>0</v>
      </c>
      <c r="D71" s="72">
        <v>0</v>
      </c>
      <c r="E71" s="72">
        <v>0</v>
      </c>
      <c r="F71" s="72">
        <f>'BSC (Dome)'!K61</f>
        <v>3495.7000000000003</v>
      </c>
      <c r="G71" s="72">
        <v>0</v>
      </c>
      <c r="H71" s="72">
        <v>0</v>
      </c>
      <c r="I71" s="72">
        <f t="shared" si="9"/>
        <v>3495.7000000000003</v>
      </c>
      <c r="L71" s="90"/>
    </row>
    <row r="72" spans="1:12" s="88" customFormat="1" ht="42.75" customHeight="1" x14ac:dyDescent="0.5">
      <c r="A72" s="63" t="s">
        <v>254</v>
      </c>
      <c r="B72" s="72">
        <f>'Comp YTD 2018-2017 10.18.18'!B81</f>
        <v>3820.81</v>
      </c>
      <c r="C72" s="72">
        <v>0</v>
      </c>
      <c r="D72" s="72">
        <v>0</v>
      </c>
      <c r="E72" s="72">
        <f>Lending!K10</f>
        <v>109</v>
      </c>
      <c r="F72" s="72">
        <f>'BSC (Dome)'!K65</f>
        <v>1068.2</v>
      </c>
      <c r="G72" s="72">
        <v>0</v>
      </c>
      <c r="H72" s="72">
        <v>0</v>
      </c>
      <c r="I72" s="72">
        <f t="shared" si="9"/>
        <v>4998.01</v>
      </c>
      <c r="L72" s="90"/>
    </row>
    <row r="73" spans="1:12" s="88" customFormat="1" ht="42.75" customHeight="1" x14ac:dyDescent="0.5">
      <c r="A73" s="63" t="s">
        <v>362</v>
      </c>
      <c r="B73" s="72">
        <f>'Comp YTD 2018-2017 10.18.18'!B82</f>
        <v>261714.28000000003</v>
      </c>
      <c r="C73" s="72">
        <f>BPM!K50</f>
        <v>10103</v>
      </c>
      <c r="D73" s="72">
        <f>DEP!K61</f>
        <v>41000</v>
      </c>
      <c r="E73" s="72">
        <v>0</v>
      </c>
      <c r="F73" s="72">
        <f>'BSC (Dome)'!K66</f>
        <v>4250</v>
      </c>
      <c r="G73" s="72">
        <f>'Oliari Co.'!K15</f>
        <v>2650</v>
      </c>
      <c r="H73" s="72">
        <v>0</v>
      </c>
      <c r="I73" s="72">
        <f t="shared" si="9"/>
        <v>319717.28000000003</v>
      </c>
      <c r="L73" s="90"/>
    </row>
    <row r="74" spans="1:12" s="88" customFormat="1" ht="42.75" customHeight="1" x14ac:dyDescent="0.5">
      <c r="A74" s="63" t="s">
        <v>363</v>
      </c>
      <c r="B74" s="72">
        <f>'Comp YTD 2018-2017 10.18.18'!B83</f>
        <v>68000</v>
      </c>
      <c r="C74" s="72">
        <f>BPM!K51</f>
        <v>33750</v>
      </c>
      <c r="D74" s="72">
        <f>DEP!K62</f>
        <v>20250</v>
      </c>
      <c r="E74" s="72">
        <f>Lending!K11</f>
        <v>11250</v>
      </c>
      <c r="F74" s="72">
        <f>'BSC (Dome)'!K67</f>
        <v>13500</v>
      </c>
      <c r="G74" s="72">
        <v>0</v>
      </c>
      <c r="H74" s="72">
        <v>0</v>
      </c>
      <c r="I74" s="72">
        <f t="shared" si="9"/>
        <v>146750</v>
      </c>
      <c r="L74" s="90"/>
    </row>
    <row r="75" spans="1:12" s="88" customFormat="1" ht="42.75" customHeight="1" x14ac:dyDescent="0.5">
      <c r="A75" s="63" t="s">
        <v>364</v>
      </c>
      <c r="B75" s="72">
        <f>'Comp YTD 2018-2017 10.18.18'!B84</f>
        <v>53753.43</v>
      </c>
      <c r="C75" s="72">
        <v>0</v>
      </c>
      <c r="D75" s="72">
        <f>DEP!K60</f>
        <v>-5776.56</v>
      </c>
      <c r="E75" s="72">
        <f>Lending!K12</f>
        <v>1422.5100000000002</v>
      </c>
      <c r="F75" s="72">
        <v>0</v>
      </c>
      <c r="G75" s="72">
        <v>0</v>
      </c>
      <c r="H75" s="72">
        <v>0</v>
      </c>
      <c r="I75" s="72">
        <f t="shared" si="9"/>
        <v>49399.380000000005</v>
      </c>
      <c r="L75" s="90"/>
    </row>
    <row r="76" spans="1:12" s="88" customFormat="1" ht="42.75" customHeight="1" x14ac:dyDescent="0.5">
      <c r="A76" s="63" t="s">
        <v>403</v>
      </c>
      <c r="B76" s="72">
        <f>'Comp YTD 2018-2017 10.18.18'!B85</f>
        <v>39352.5</v>
      </c>
      <c r="C76" s="72">
        <v>0</v>
      </c>
      <c r="D76" s="72">
        <v>0</v>
      </c>
      <c r="E76" s="72">
        <v>0</v>
      </c>
      <c r="F76" s="72">
        <v>0</v>
      </c>
      <c r="G76" s="72">
        <v>0</v>
      </c>
      <c r="H76" s="72">
        <v>0</v>
      </c>
      <c r="I76" s="72">
        <f t="shared" si="9"/>
        <v>39352.5</v>
      </c>
      <c r="L76" s="90"/>
    </row>
    <row r="77" spans="1:12" s="88" customFormat="1" ht="42.75" customHeight="1" x14ac:dyDescent="0.5">
      <c r="A77" s="63" t="s">
        <v>392</v>
      </c>
      <c r="B77" s="72">
        <f>'Comp YTD 2018-2017 10.18.18'!B86</f>
        <v>0</v>
      </c>
      <c r="C77" s="72">
        <v>0</v>
      </c>
      <c r="D77" s="72">
        <f>DEP!K63</f>
        <v>6625.0199999999995</v>
      </c>
      <c r="E77" s="72">
        <v>0</v>
      </c>
      <c r="F77" s="72">
        <v>0</v>
      </c>
      <c r="G77" s="72">
        <v>0</v>
      </c>
      <c r="H77" s="72">
        <v>0</v>
      </c>
      <c r="I77" s="72">
        <f t="shared" si="9"/>
        <v>6625.0199999999995</v>
      </c>
      <c r="L77" s="90"/>
    </row>
    <row r="78" spans="1:12" s="88" customFormat="1" ht="42.75" customHeight="1" x14ac:dyDescent="0.5">
      <c r="A78" s="63" t="s">
        <v>256</v>
      </c>
      <c r="B78" s="72">
        <f>'Comp YTD 2018-2017 10.18.18'!B87</f>
        <v>39532.740000000005</v>
      </c>
      <c r="C78" s="72">
        <v>0</v>
      </c>
      <c r="D78" s="72">
        <f>DEP!K59</f>
        <v>5250</v>
      </c>
      <c r="E78" s="72">
        <v>0</v>
      </c>
      <c r="F78" s="72">
        <f>'BSC (Dome)'!K63</f>
        <v>1328.0999999999997</v>
      </c>
      <c r="G78" s="72">
        <v>0</v>
      </c>
      <c r="H78" s="72">
        <v>0</v>
      </c>
      <c r="I78" s="72">
        <f t="shared" si="9"/>
        <v>46110.840000000004</v>
      </c>
      <c r="L78" s="90"/>
    </row>
    <row r="79" spans="1:12" s="88" customFormat="1" ht="42.75" customHeight="1" x14ac:dyDescent="0.5">
      <c r="A79" s="63" t="s">
        <v>257</v>
      </c>
      <c r="B79" s="72">
        <f>'Comp YTD 2018-2017 10.18.18'!B88</f>
        <v>27536.76</v>
      </c>
      <c r="C79" s="72">
        <f>BPM!K48</f>
        <v>912.49</v>
      </c>
      <c r="D79" s="72">
        <f>DEP!K65</f>
        <v>2477.5</v>
      </c>
      <c r="E79" s="72">
        <v>0</v>
      </c>
      <c r="F79" s="72">
        <f>'BSC (Dome)'!K69</f>
        <v>642</v>
      </c>
      <c r="G79" s="72">
        <v>0</v>
      </c>
      <c r="H79" s="72">
        <v>0</v>
      </c>
      <c r="I79" s="72">
        <f t="shared" si="9"/>
        <v>31568.75</v>
      </c>
      <c r="L79" s="90"/>
    </row>
    <row r="80" spans="1:12" s="88" customFormat="1" ht="42.75" customHeight="1" x14ac:dyDescent="0.5">
      <c r="A80" s="63" t="s">
        <v>258</v>
      </c>
      <c r="B80" s="72">
        <f>'Comp YTD 2018-2017 10.18.18'!B89</f>
        <v>25516.5</v>
      </c>
      <c r="C80" s="72">
        <f>0</f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f t="shared" si="9"/>
        <v>25516.5</v>
      </c>
      <c r="L80" s="90"/>
    </row>
    <row r="81" spans="1:12" s="88" customFormat="1" ht="42.75" customHeight="1" x14ac:dyDescent="0.5">
      <c r="A81" s="63" t="s">
        <v>295</v>
      </c>
      <c r="B81" s="72">
        <f>'Comp YTD 2018-2017 10.18.18'!B90</f>
        <v>543.67999999999995</v>
      </c>
      <c r="C81" s="72">
        <f>0</f>
        <v>0</v>
      </c>
      <c r="D81" s="72">
        <f>DEP!K58</f>
        <v>300</v>
      </c>
      <c r="E81" s="72">
        <v>0</v>
      </c>
      <c r="F81" s="72">
        <f>'BSC (Dome)'!K62</f>
        <v>2600</v>
      </c>
      <c r="G81" s="72">
        <v>0</v>
      </c>
      <c r="H81" s="72">
        <v>0</v>
      </c>
      <c r="I81" s="72">
        <f t="shared" si="9"/>
        <v>3443.68</v>
      </c>
      <c r="L81" s="90"/>
    </row>
    <row r="82" spans="1:12" s="88" customFormat="1" ht="42.75" customHeight="1" x14ac:dyDescent="0.5">
      <c r="A82" s="63" t="s">
        <v>380</v>
      </c>
      <c r="B82" s="72">
        <f>'Comp YTD 2018-2017 10.18.18'!B91</f>
        <v>397.63</v>
      </c>
      <c r="C82" s="72">
        <v>0</v>
      </c>
      <c r="D82" s="72">
        <v>0</v>
      </c>
      <c r="E82" s="72">
        <v>0</v>
      </c>
      <c r="F82" s="72">
        <f>'BSC (Dome)'!K64</f>
        <v>10329.9</v>
      </c>
      <c r="G82" s="72">
        <v>0</v>
      </c>
      <c r="H82" s="72">
        <v>0</v>
      </c>
      <c r="I82" s="72">
        <f t="shared" si="9"/>
        <v>10727.529999999999</v>
      </c>
      <c r="L82" s="90"/>
    </row>
    <row r="83" spans="1:12" s="88" customFormat="1" ht="42.75" customHeight="1" x14ac:dyDescent="0.5">
      <c r="A83" s="63" t="s">
        <v>259</v>
      </c>
      <c r="B83" s="72">
        <f>'Comp YTD 2018-2017 10.18.18'!B92</f>
        <v>24026.59</v>
      </c>
      <c r="C83" s="72">
        <f>0</f>
        <v>0</v>
      </c>
      <c r="D83" s="72">
        <f>0</f>
        <v>0</v>
      </c>
      <c r="E83" s="72">
        <v>0</v>
      </c>
      <c r="F83" s="72">
        <v>0</v>
      </c>
      <c r="G83" s="72">
        <v>0</v>
      </c>
      <c r="H83" s="72">
        <v>0</v>
      </c>
      <c r="I83" s="72">
        <f t="shared" si="9"/>
        <v>24026.59</v>
      </c>
      <c r="L83" s="90"/>
    </row>
    <row r="84" spans="1:12" s="88" customFormat="1" ht="42.75" customHeight="1" x14ac:dyDescent="0.5">
      <c r="A84" s="63" t="s">
        <v>260</v>
      </c>
      <c r="B84" s="72">
        <f>'Comp YTD 2018-2017 10.18.18'!B93</f>
        <v>18008.54</v>
      </c>
      <c r="C84" s="72">
        <v>0</v>
      </c>
      <c r="D84" s="72">
        <v>0</v>
      </c>
      <c r="E84" s="72">
        <v>0</v>
      </c>
      <c r="F84" s="72">
        <v>0</v>
      </c>
      <c r="G84" s="72">
        <v>0</v>
      </c>
      <c r="H84" s="72">
        <v>0</v>
      </c>
      <c r="I84" s="72">
        <f t="shared" si="9"/>
        <v>18008.54</v>
      </c>
      <c r="L84" s="90"/>
    </row>
    <row r="85" spans="1:12" s="88" customFormat="1" ht="42.75" customHeight="1" x14ac:dyDescent="0.5">
      <c r="A85" s="63" t="s">
        <v>261</v>
      </c>
      <c r="B85" s="72">
        <f>'Comp YTD 2018-2017 10.18.18'!B94</f>
        <v>4592.21</v>
      </c>
      <c r="C85" s="72">
        <v>0</v>
      </c>
      <c r="D85" s="72">
        <v>0</v>
      </c>
      <c r="E85" s="72">
        <v>0</v>
      </c>
      <c r="F85" s="72">
        <v>0</v>
      </c>
      <c r="G85" s="72">
        <v>0</v>
      </c>
      <c r="H85" s="72">
        <v>0</v>
      </c>
      <c r="I85" s="72">
        <f t="shared" si="9"/>
        <v>4592.21</v>
      </c>
      <c r="L85" s="90"/>
    </row>
    <row r="86" spans="1:12" s="88" customFormat="1" ht="42.75" customHeight="1" x14ac:dyDescent="0.5">
      <c r="A86" s="63" t="s">
        <v>262</v>
      </c>
      <c r="B86" s="72">
        <f>'Comp YTD 2018-2017 10.18.18'!B95</f>
        <v>17950.280000000002</v>
      </c>
      <c r="C86" s="72">
        <v>0</v>
      </c>
      <c r="D86" s="72">
        <v>0</v>
      </c>
      <c r="E86" s="72">
        <v>0</v>
      </c>
      <c r="F86" s="72">
        <v>0</v>
      </c>
      <c r="G86" s="72">
        <v>0</v>
      </c>
      <c r="H86" s="72">
        <v>0</v>
      </c>
      <c r="I86" s="72">
        <f t="shared" si="9"/>
        <v>17950.280000000002</v>
      </c>
      <c r="L86" s="90"/>
    </row>
    <row r="87" spans="1:12" s="88" customFormat="1" ht="42.75" customHeight="1" x14ac:dyDescent="0.5">
      <c r="A87" s="70" t="s">
        <v>264</v>
      </c>
      <c r="B87" s="76">
        <f t="shared" ref="B87:H87" si="10">SUM(B69:B86)</f>
        <v>683886.01000000013</v>
      </c>
      <c r="C87" s="76">
        <f t="shared" si="10"/>
        <v>52502.909999999996</v>
      </c>
      <c r="D87" s="76">
        <f t="shared" si="10"/>
        <v>78093.3</v>
      </c>
      <c r="E87" s="76">
        <f t="shared" si="10"/>
        <v>14614.720000000001</v>
      </c>
      <c r="F87" s="76">
        <f t="shared" si="10"/>
        <v>42468.58</v>
      </c>
      <c r="G87" s="76">
        <f t="shared" si="10"/>
        <v>2650</v>
      </c>
      <c r="H87" s="76">
        <f t="shared" si="10"/>
        <v>714.47000000000014</v>
      </c>
      <c r="I87" s="76">
        <f t="shared" si="9"/>
        <v>874929.99000000011</v>
      </c>
      <c r="L87" s="90"/>
    </row>
    <row r="88" spans="1:12" s="88" customFormat="1" ht="42.75" customHeight="1" x14ac:dyDescent="0.5">
      <c r="A88" s="63"/>
      <c r="B88" s="72"/>
      <c r="C88" s="72"/>
      <c r="D88" s="72"/>
      <c r="E88" s="72"/>
      <c r="F88" s="72"/>
      <c r="G88" s="72"/>
      <c r="H88" s="72"/>
      <c r="I88" s="72">
        <f>SUM(B88:F88)</f>
        <v>0</v>
      </c>
      <c r="L88" s="90"/>
    </row>
    <row r="89" spans="1:12" s="88" customFormat="1" ht="42.75" customHeight="1" thickBot="1" x14ac:dyDescent="0.55000000000000004">
      <c r="A89" s="70" t="s">
        <v>265</v>
      </c>
      <c r="B89" s="82">
        <f t="shared" ref="B89:H89" si="11">B41+B66+B87</f>
        <v>6183606.2400000002</v>
      </c>
      <c r="C89" s="82">
        <f t="shared" si="11"/>
        <v>64479.469999999994</v>
      </c>
      <c r="D89" s="82">
        <f t="shared" si="11"/>
        <v>1046827.1600000001</v>
      </c>
      <c r="E89" s="82">
        <f t="shared" si="11"/>
        <v>14614.720000000001</v>
      </c>
      <c r="F89" s="82">
        <f t="shared" si="11"/>
        <v>566674.03999999992</v>
      </c>
      <c r="G89" s="82">
        <f t="shared" si="11"/>
        <v>86431.430000000022</v>
      </c>
      <c r="H89" s="82">
        <f t="shared" si="11"/>
        <v>133467.19</v>
      </c>
      <c r="I89" s="82">
        <f>SUM(B89:H89)</f>
        <v>8096100.25</v>
      </c>
      <c r="L89" s="90"/>
    </row>
    <row r="90" spans="1:12" s="88" customFormat="1" ht="42.75" customHeight="1" x14ac:dyDescent="0.5">
      <c r="A90" s="63"/>
      <c r="B90" s="72"/>
      <c r="C90" s="72"/>
      <c r="D90" s="72"/>
      <c r="E90" s="72"/>
      <c r="F90" s="72"/>
      <c r="G90" s="72"/>
      <c r="H90" s="72"/>
      <c r="I90" s="72"/>
      <c r="L90" s="90"/>
    </row>
    <row r="91" spans="1:12" s="88" customFormat="1" ht="42.75" customHeight="1" x14ac:dyDescent="0.5">
      <c r="A91" s="70" t="s">
        <v>468</v>
      </c>
      <c r="B91" s="72"/>
      <c r="C91" s="72"/>
      <c r="D91" s="72"/>
      <c r="E91" s="72"/>
      <c r="F91" s="72"/>
      <c r="G91" s="72"/>
      <c r="H91" s="72"/>
      <c r="I91" s="72"/>
      <c r="L91" s="90"/>
    </row>
    <row r="92" spans="1:12" s="88" customFormat="1" ht="42.75" customHeight="1" x14ac:dyDescent="0.5">
      <c r="A92" s="63" t="s">
        <v>268</v>
      </c>
      <c r="B92" s="72">
        <f>'Comp YTD 2018-2017 10.18.18'!B101</f>
        <v>112500</v>
      </c>
      <c r="C92" s="72">
        <v>0</v>
      </c>
      <c r="D92" s="72">
        <f>DEP!K71</f>
        <v>112500</v>
      </c>
      <c r="E92" s="72">
        <v>0</v>
      </c>
      <c r="F92" s="72">
        <f>'BSC (Dome)'!K75+'BSC (Dome)'!K76</f>
        <v>49000</v>
      </c>
      <c r="G92" s="72">
        <f>'Oliari Co.'!K21+'Oliari Co.'!K22</f>
        <v>159300</v>
      </c>
      <c r="H92" s="72">
        <f>'722 Bedford St'!K22+'722 Bedford St'!K23</f>
        <v>142500</v>
      </c>
      <c r="I92" s="72">
        <f t="shared" ref="I92:I104" si="12">SUM(B92:H92)</f>
        <v>575800</v>
      </c>
      <c r="L92" s="90"/>
    </row>
    <row r="93" spans="1:12" s="88" customFormat="1" ht="42.75" customHeight="1" x14ac:dyDescent="0.5">
      <c r="A93" s="63" t="s">
        <v>269</v>
      </c>
      <c r="B93" s="72">
        <f>'Comp YTD 2018-2017 10.18.18'!B102</f>
        <v>311113.75</v>
      </c>
      <c r="C93" s="72">
        <v>0</v>
      </c>
      <c r="D93" s="72">
        <v>0</v>
      </c>
      <c r="E93" s="72">
        <v>0</v>
      </c>
      <c r="F93" s="72">
        <v>0</v>
      </c>
      <c r="G93" s="72">
        <v>0</v>
      </c>
      <c r="H93" s="72">
        <v>0</v>
      </c>
      <c r="I93" s="72">
        <f t="shared" si="12"/>
        <v>311113.75</v>
      </c>
      <c r="L93" s="90"/>
    </row>
    <row r="94" spans="1:12" s="88" customFormat="1" ht="42.75" customHeight="1" x14ac:dyDescent="0.5">
      <c r="A94" s="63" t="s">
        <v>327</v>
      </c>
      <c r="B94" s="72">
        <f>'Comp YTD 2018-2017 10.18.18'!B103</f>
        <v>0</v>
      </c>
      <c r="C94" s="72">
        <f>-BPM!K56</f>
        <v>-311113.75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f t="shared" si="12"/>
        <v>-311113.75</v>
      </c>
      <c r="L94" s="90"/>
    </row>
    <row r="95" spans="1:12" s="88" customFormat="1" ht="42.75" customHeight="1" x14ac:dyDescent="0.5">
      <c r="A95" s="63" t="s">
        <v>389</v>
      </c>
      <c r="B95" s="72">
        <f>'Comp YTD 2018-2017 10.18.18'!B104</f>
        <v>49196.87</v>
      </c>
      <c r="C95" s="72">
        <f>-BPM!K57</f>
        <v>-49196.87</v>
      </c>
      <c r="D95" s="72">
        <v>0</v>
      </c>
      <c r="E95" s="72">
        <v>0</v>
      </c>
      <c r="F95" s="72">
        <v>0</v>
      </c>
      <c r="G95" s="72">
        <v>0</v>
      </c>
      <c r="H95" s="72">
        <v>0</v>
      </c>
      <c r="I95" s="72">
        <f t="shared" si="12"/>
        <v>0</v>
      </c>
      <c r="L95" s="90"/>
    </row>
    <row r="96" spans="1:12" s="88" customFormat="1" ht="42.75" customHeight="1" x14ac:dyDescent="0.5">
      <c r="A96" s="63" t="s">
        <v>270</v>
      </c>
      <c r="B96" s="72">
        <f>'Comp YTD 2018-2017 10.18.18'!B105</f>
        <v>154224.38999999998</v>
      </c>
      <c r="C96" s="72">
        <v>0</v>
      </c>
      <c r="D96" s="72">
        <v>0</v>
      </c>
      <c r="E96" s="72">
        <v>0</v>
      </c>
      <c r="F96" s="72">
        <v>0</v>
      </c>
      <c r="G96" s="72">
        <v>0</v>
      </c>
      <c r="H96" s="72">
        <v>0</v>
      </c>
      <c r="I96" s="72">
        <f t="shared" si="12"/>
        <v>154224.38999999998</v>
      </c>
      <c r="L96" s="90"/>
    </row>
    <row r="97" spans="1:12" s="88" customFormat="1" ht="42.75" customHeight="1" x14ac:dyDescent="0.5">
      <c r="A97" s="63" t="s">
        <v>271</v>
      </c>
      <c r="B97" s="72">
        <f>'Comp YTD 2018-2017 10.18.18'!B106</f>
        <v>183407.18</v>
      </c>
      <c r="C97" s="72">
        <f>-BPM!K58</f>
        <v>9639.16</v>
      </c>
      <c r="D97" s="72">
        <f>DEP!K72</f>
        <v>24546.61</v>
      </c>
      <c r="E97" s="72">
        <f>Lending!K16</f>
        <v>39725.869999999995</v>
      </c>
      <c r="F97" s="72">
        <v>0</v>
      </c>
      <c r="G97" s="72">
        <f>'Oliari Co.'!K24</f>
        <v>32578.850000000002</v>
      </c>
      <c r="H97" s="72">
        <v>0</v>
      </c>
      <c r="I97" s="72">
        <f t="shared" si="12"/>
        <v>289897.67</v>
      </c>
      <c r="L97" s="90"/>
    </row>
    <row r="98" spans="1:12" s="88" customFormat="1" ht="42.75" customHeight="1" x14ac:dyDescent="0.5">
      <c r="A98" s="63" t="s">
        <v>272</v>
      </c>
      <c r="B98" s="72">
        <f>'Comp YTD 2018-2017 10.18.18'!B107</f>
        <v>-137770.54999999999</v>
      </c>
      <c r="C98" s="72">
        <v>0</v>
      </c>
      <c r="D98" s="72">
        <v>0</v>
      </c>
      <c r="E98" s="72">
        <f>Lending!K17</f>
        <v>-4702.0200000000004</v>
      </c>
      <c r="F98" s="72">
        <f>'BSC (Dome)'!K78+'BSC (Dome)'!K79</f>
        <v>-87107.24</v>
      </c>
      <c r="G98" s="72">
        <f>'Oliari Co.'!K25</f>
        <v>-7748.3700000000008</v>
      </c>
      <c r="H98" s="72">
        <v>0</v>
      </c>
      <c r="I98" s="72">
        <f t="shared" si="12"/>
        <v>-237328.18</v>
      </c>
      <c r="L98" s="90"/>
    </row>
    <row r="99" spans="1:12" s="88" customFormat="1" ht="42.75" customHeight="1" x14ac:dyDescent="0.5">
      <c r="A99" s="63" t="s">
        <v>273</v>
      </c>
      <c r="B99" s="72">
        <f>'Comp YTD 2018-2017 10.18.18'!B108</f>
        <v>49.6</v>
      </c>
      <c r="C99" s="72">
        <v>0</v>
      </c>
      <c r="D99" s="72">
        <v>0</v>
      </c>
      <c r="E99" s="72"/>
      <c r="F99" s="72">
        <f>'BSC (Dome)'!K77</f>
        <v>1912.98</v>
      </c>
      <c r="G99" s="72">
        <f>'Oliari Co.'!K23</f>
        <v>1.01</v>
      </c>
      <c r="H99" s="72">
        <v>0</v>
      </c>
      <c r="I99" s="72">
        <f t="shared" si="12"/>
        <v>1963.59</v>
      </c>
      <c r="L99" s="90"/>
    </row>
    <row r="100" spans="1:12" s="88" customFormat="1" ht="42.75" customHeight="1" x14ac:dyDescent="0.5">
      <c r="A100" s="63" t="s">
        <v>404</v>
      </c>
      <c r="B100" s="72">
        <f>'Comp YTD 2018-2017 10.18.18'!B109</f>
        <v>25869.809999999998</v>
      </c>
      <c r="C100" s="72">
        <v>0</v>
      </c>
      <c r="D100" s="72">
        <v>0</v>
      </c>
      <c r="E100" s="72">
        <v>0</v>
      </c>
      <c r="F100" s="72">
        <v>0</v>
      </c>
      <c r="G100" s="72">
        <v>0</v>
      </c>
      <c r="H100" s="72">
        <v>0</v>
      </c>
      <c r="I100" s="72">
        <f t="shared" si="12"/>
        <v>25869.809999999998</v>
      </c>
      <c r="L100" s="90"/>
    </row>
    <row r="101" spans="1:12" s="88" customFormat="1" ht="42.75" customHeight="1" x14ac:dyDescent="0.5">
      <c r="A101" s="63" t="s">
        <v>444</v>
      </c>
      <c r="B101" s="72">
        <f>'Comp YTD 2018-2017 10.18.18'!B110</f>
        <v>5035.16</v>
      </c>
      <c r="C101" s="72">
        <v>0</v>
      </c>
      <c r="D101" s="72">
        <v>0</v>
      </c>
      <c r="E101" s="72">
        <v>0</v>
      </c>
      <c r="F101" s="72">
        <v>0</v>
      </c>
      <c r="G101" s="72">
        <v>0</v>
      </c>
      <c r="H101" s="72">
        <v>0</v>
      </c>
      <c r="I101" s="72">
        <f t="shared" si="12"/>
        <v>5035.16</v>
      </c>
      <c r="L101" s="90"/>
    </row>
    <row r="102" spans="1:12" s="88" customFormat="1" ht="42.75" customHeight="1" x14ac:dyDescent="0.5">
      <c r="A102" s="63" t="s">
        <v>445</v>
      </c>
      <c r="B102" s="72">
        <f>'Comp YTD 2018-2017 10.18.18'!B111</f>
        <v>25430.999999999996</v>
      </c>
      <c r="C102" s="72">
        <v>0</v>
      </c>
      <c r="D102" s="72">
        <v>0</v>
      </c>
      <c r="E102" s="72">
        <v>0</v>
      </c>
      <c r="F102" s="72">
        <v>0</v>
      </c>
      <c r="G102" s="72">
        <v>0</v>
      </c>
      <c r="H102" s="72">
        <v>0</v>
      </c>
      <c r="I102" s="72">
        <f t="shared" si="12"/>
        <v>25430.999999999996</v>
      </c>
      <c r="L102" s="90"/>
    </row>
    <row r="103" spans="1:12" s="88" customFormat="1" ht="42.75" customHeight="1" x14ac:dyDescent="0.5">
      <c r="A103" s="63" t="s">
        <v>405</v>
      </c>
      <c r="B103" s="72">
        <f>'Comp YTD 2018-2017 10.18.18'!B112</f>
        <v>22084.030000000002</v>
      </c>
      <c r="C103" s="72">
        <v>0</v>
      </c>
      <c r="D103" s="72">
        <v>0</v>
      </c>
      <c r="E103" s="72">
        <v>0</v>
      </c>
      <c r="F103" s="72">
        <v>0</v>
      </c>
      <c r="G103" s="72">
        <v>0</v>
      </c>
      <c r="H103" s="72">
        <v>0</v>
      </c>
      <c r="I103" s="72">
        <f t="shared" si="12"/>
        <v>22084.030000000002</v>
      </c>
      <c r="L103" s="90"/>
    </row>
    <row r="104" spans="1:12" s="88" customFormat="1" ht="42.75" customHeight="1" x14ac:dyDescent="0.5">
      <c r="A104" s="63" t="s">
        <v>455</v>
      </c>
      <c r="B104" s="72">
        <f>'Comp YTD 2018-2017 10.18.18'!B113</f>
        <v>3098.28</v>
      </c>
      <c r="C104" s="72">
        <v>0</v>
      </c>
      <c r="D104" s="72">
        <v>0</v>
      </c>
      <c r="E104" s="72">
        <v>0</v>
      </c>
      <c r="F104" s="72">
        <v>0</v>
      </c>
      <c r="G104" s="72">
        <v>0</v>
      </c>
      <c r="H104" s="72">
        <v>0</v>
      </c>
      <c r="I104" s="72">
        <f t="shared" si="12"/>
        <v>3098.28</v>
      </c>
      <c r="L104" s="90"/>
    </row>
    <row r="105" spans="1:12" s="88" customFormat="1" ht="42.75" customHeight="1" x14ac:dyDescent="0.5">
      <c r="A105" s="70" t="s">
        <v>469</v>
      </c>
      <c r="B105" s="76">
        <f t="shared" ref="B105:I105" si="13">SUM(B92:B104)</f>
        <v>754239.5199999999</v>
      </c>
      <c r="C105" s="76">
        <f t="shared" si="13"/>
        <v>-350671.46</v>
      </c>
      <c r="D105" s="76">
        <f t="shared" si="13"/>
        <v>137046.60999999999</v>
      </c>
      <c r="E105" s="76">
        <f t="shared" si="13"/>
        <v>35023.849999999991</v>
      </c>
      <c r="F105" s="76">
        <f t="shared" si="13"/>
        <v>-36194.26</v>
      </c>
      <c r="G105" s="76">
        <f t="shared" si="13"/>
        <v>184131.49000000002</v>
      </c>
      <c r="H105" s="76">
        <f t="shared" si="13"/>
        <v>142500</v>
      </c>
      <c r="I105" s="76">
        <f t="shared" si="13"/>
        <v>866075.75000000012</v>
      </c>
      <c r="L105" s="90"/>
    </row>
    <row r="106" spans="1:12" s="88" customFormat="1" ht="42.75" customHeight="1" x14ac:dyDescent="0.5">
      <c r="A106" s="70"/>
      <c r="B106" s="72"/>
      <c r="C106" s="72"/>
      <c r="D106" s="72"/>
      <c r="E106" s="72"/>
      <c r="F106" s="72"/>
      <c r="G106" s="72"/>
      <c r="H106" s="72"/>
      <c r="I106" s="72">
        <f>SUM(B106:F106)</f>
        <v>0</v>
      </c>
      <c r="L106" s="90"/>
    </row>
    <row r="107" spans="1:12" s="88" customFormat="1" ht="42.75" customHeight="1" thickBot="1" x14ac:dyDescent="0.55000000000000004">
      <c r="A107" s="70" t="s">
        <v>267</v>
      </c>
      <c r="B107" s="86">
        <f t="shared" ref="B107:H107" si="14">B27-B89+B105</f>
        <v>-866177.09999820741</v>
      </c>
      <c r="C107" s="86">
        <f t="shared" si="14"/>
        <v>409024.82000001491</v>
      </c>
      <c r="D107" s="86">
        <f t="shared" si="14"/>
        <v>1266280.71</v>
      </c>
      <c r="E107" s="86">
        <f t="shared" si="14"/>
        <v>20409.12999999999</v>
      </c>
      <c r="F107" s="86">
        <f t="shared" si="14"/>
        <v>-57152.549999999806</v>
      </c>
      <c r="G107" s="86">
        <f t="shared" si="14"/>
        <v>97700.06</v>
      </c>
      <c r="H107" s="86">
        <f t="shared" si="14"/>
        <v>9032.8099999999977</v>
      </c>
      <c r="I107" s="86">
        <f>SUM(B107:H107)</f>
        <v>879117.88000180759</v>
      </c>
      <c r="L107" s="90"/>
    </row>
    <row r="108" spans="1:12" ht="15.75" thickTop="1" x14ac:dyDescent="0.25">
      <c r="B108" s="59"/>
      <c r="C108" s="59"/>
      <c r="D108" s="59"/>
      <c r="E108" s="59"/>
      <c r="F108" s="59"/>
      <c r="G108" s="59"/>
      <c r="H108" s="59"/>
      <c r="I108" s="59"/>
    </row>
    <row r="110" spans="1:12" ht="31.5" x14ac:dyDescent="0.5">
      <c r="A110" t="s">
        <v>332</v>
      </c>
      <c r="B110" s="72">
        <v>-866177.10000047239</v>
      </c>
      <c r="C110" s="109">
        <v>409024.82</v>
      </c>
      <c r="D110" s="109">
        <v>1266280.71</v>
      </c>
      <c r="E110" s="109">
        <v>20409.13</v>
      </c>
      <c r="F110" s="109">
        <v>-57152.55</v>
      </c>
      <c r="G110" s="109">
        <v>97700.06</v>
      </c>
      <c r="H110" s="109">
        <v>9032.81</v>
      </c>
      <c r="I110" s="57">
        <f>SUM(B110:H110)</f>
        <v>879117.87999952747</v>
      </c>
    </row>
    <row r="111" spans="1:12" x14ac:dyDescent="0.25">
      <c r="B111" s="57">
        <f t="shared" ref="B111:I111" si="15">B107-B110</f>
        <v>2.2649765014648438E-6</v>
      </c>
      <c r="C111" s="110">
        <f t="shared" si="15"/>
        <v>1.4901161193847656E-8</v>
      </c>
      <c r="D111" s="110">
        <f t="shared" si="15"/>
        <v>0</v>
      </c>
      <c r="E111" s="110">
        <f t="shared" si="15"/>
        <v>0</v>
      </c>
      <c r="F111" s="110">
        <f t="shared" si="15"/>
        <v>1.964508555829525E-10</v>
      </c>
      <c r="G111" s="110">
        <f t="shared" si="15"/>
        <v>0</v>
      </c>
      <c r="H111" s="110">
        <f t="shared" si="15"/>
        <v>0</v>
      </c>
      <c r="I111" s="57">
        <f t="shared" si="15"/>
        <v>2.2801104933023453E-6</v>
      </c>
    </row>
    <row r="112" spans="1:12" x14ac:dyDescent="0.25">
      <c r="B112" s="57"/>
      <c r="C112" s="57"/>
      <c r="D112" s="57"/>
      <c r="E112" s="57"/>
      <c r="I112" s="59"/>
    </row>
    <row r="113" spans="2:5" x14ac:dyDescent="0.25">
      <c r="B113" s="57"/>
      <c r="C113" s="57"/>
      <c r="D113" s="57"/>
      <c r="E113" s="57"/>
    </row>
    <row r="114" spans="2:5" x14ac:dyDescent="0.25">
      <c r="B114" s="57"/>
      <c r="C114" s="57"/>
      <c r="D114" s="57"/>
      <c r="E114" s="57"/>
    </row>
    <row r="115" spans="2:5" x14ac:dyDescent="0.25">
      <c r="B115" s="57"/>
      <c r="C115" s="57"/>
      <c r="D115" s="57"/>
      <c r="E115" s="57"/>
    </row>
    <row r="116" spans="2:5" x14ac:dyDescent="0.25">
      <c r="B116" s="57"/>
      <c r="C116" s="57"/>
      <c r="D116" s="57"/>
      <c r="E116" s="57"/>
    </row>
    <row r="117" spans="2:5" x14ac:dyDescent="0.25">
      <c r="B117" s="57"/>
      <c r="C117" s="57"/>
      <c r="D117" s="57"/>
      <c r="E117" s="57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8" orientation="portrait" r:id="rId1"/>
  <headerFooter>
    <oddFooter>&amp;C&amp;24Page &amp;P of &amp;N</oddFooter>
  </headerFooter>
  <rowBreaks count="2" manualBreakCount="2">
    <brk id="28" max="6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31" activePane="bottomLeft" state="frozen"/>
      <selection activeCell="B82" sqref="B82"/>
      <selection pane="bottomLeft" activeCell="B40" sqref="B40"/>
    </sheetView>
  </sheetViews>
  <sheetFormatPr defaultRowHeight="15" x14ac:dyDescent="0.25"/>
  <cols>
    <col min="1" max="1" width="82.42578125" bestFit="1" customWidth="1"/>
    <col min="2" max="2" width="39.42578125" style="55" bestFit="1" customWidth="1"/>
    <col min="3" max="3" width="33.28515625" style="55" bestFit="1" customWidth="1"/>
    <col min="4" max="4" width="29.5703125" style="55" bestFit="1" customWidth="1"/>
    <col min="5" max="5" width="24.42578125" style="55" bestFit="1" customWidth="1"/>
    <col min="6" max="6" width="27.5703125" style="55" bestFit="1" customWidth="1"/>
    <col min="7" max="8" width="26.140625" style="55" bestFit="1" customWidth="1"/>
    <col min="9" max="9" width="38.140625" style="55" bestFit="1" customWidth="1"/>
    <col min="10" max="10" width="11.42578125" style="55" customWidth="1"/>
    <col min="11" max="11" width="82.42578125" style="55" bestFit="1" customWidth="1"/>
    <col min="12" max="12" width="38.140625" style="55" bestFit="1" customWidth="1"/>
    <col min="13" max="13" width="33.28515625" style="55" bestFit="1" customWidth="1"/>
    <col min="14" max="14" width="29.5703125" style="55" bestFit="1" customWidth="1"/>
    <col min="15" max="15" width="24.7109375" style="55" customWidth="1"/>
    <col min="16" max="18" width="27" style="55" bestFit="1" customWidth="1"/>
    <col min="19" max="19" width="38.140625" style="55" bestFit="1" customWidth="1"/>
    <col min="20" max="20" width="11.28515625" style="55" customWidth="1"/>
    <col min="21" max="21" width="68" style="55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48" bestFit="1" customWidth="1"/>
    <col min="28" max="28" width="4.28515625" style="48" customWidth="1"/>
    <col min="29" max="29" width="21.140625" style="49" bestFit="1" customWidth="1"/>
    <col min="30" max="30" width="4.28515625" style="48" customWidth="1"/>
    <col min="31" max="31" width="23" style="49" bestFit="1" customWidth="1"/>
  </cols>
  <sheetData>
    <row r="1" spans="1:31" ht="24.95" customHeight="1" x14ac:dyDescent="0.25">
      <c r="A1" s="200" t="s">
        <v>414</v>
      </c>
      <c r="B1" s="200"/>
      <c r="C1" s="200"/>
      <c r="D1" s="200"/>
      <c r="E1" s="200"/>
      <c r="F1" s="200"/>
      <c r="G1" s="200"/>
      <c r="H1" s="200"/>
      <c r="I1" s="200"/>
    </row>
    <row r="2" spans="1:31" ht="24.95" customHeight="1" x14ac:dyDescent="0.25">
      <c r="A2" s="200"/>
      <c r="B2" s="200"/>
      <c r="C2" s="200"/>
      <c r="D2" s="200"/>
      <c r="E2" s="200"/>
      <c r="F2" s="200"/>
      <c r="G2" s="200"/>
      <c r="H2" s="200"/>
      <c r="I2" s="200"/>
    </row>
    <row r="3" spans="1:31" ht="24.95" customHeight="1" x14ac:dyDescent="0.25">
      <c r="A3" s="200"/>
      <c r="B3" s="200"/>
      <c r="C3" s="200"/>
      <c r="D3" s="200"/>
      <c r="E3" s="200"/>
      <c r="F3" s="200"/>
      <c r="G3" s="200"/>
      <c r="H3" s="200"/>
      <c r="I3" s="200"/>
    </row>
    <row r="4" spans="1:31" ht="24.95" customHeight="1" x14ac:dyDescent="0.25">
      <c r="A4" s="200"/>
      <c r="B4" s="200"/>
      <c r="C4" s="200"/>
      <c r="D4" s="200"/>
      <c r="E4" s="200"/>
      <c r="F4" s="200"/>
      <c r="G4" s="200"/>
      <c r="H4" s="200"/>
      <c r="I4" s="200"/>
    </row>
    <row r="5" spans="1:31" x14ac:dyDescent="0.25">
      <c r="A5" s="200"/>
      <c r="B5" s="200"/>
      <c r="C5" s="200"/>
      <c r="D5" s="200"/>
      <c r="E5" s="200"/>
      <c r="F5" s="200"/>
      <c r="G5" s="200"/>
      <c r="H5" s="200"/>
      <c r="I5" s="200"/>
    </row>
    <row r="6" spans="1:31" ht="40.5" customHeight="1" x14ac:dyDescent="0.7">
      <c r="A6" s="201" t="s">
        <v>348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</row>
    <row r="7" spans="1:31" ht="40.5" customHeight="1" x14ac:dyDescent="0.7">
      <c r="A7" s="201" t="s">
        <v>470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</row>
    <row r="8" spans="1:31" ht="14.25" customHeight="1" thickBot="1" x14ac:dyDescent="0.3"/>
    <row r="9" spans="1:31" s="54" customFormat="1" ht="55.5" customHeight="1" x14ac:dyDescent="0.7">
      <c r="A9" s="202">
        <v>2018</v>
      </c>
      <c r="B9" s="203"/>
      <c r="C9" s="203"/>
      <c r="D9" s="203"/>
      <c r="E9" s="203"/>
      <c r="F9" s="203"/>
      <c r="G9" s="203"/>
      <c r="H9" s="203"/>
      <c r="I9" s="204"/>
      <c r="J9" s="56"/>
      <c r="K9" s="202">
        <v>2017</v>
      </c>
      <c r="L9" s="203"/>
      <c r="M9" s="203"/>
      <c r="N9" s="203"/>
      <c r="O9" s="203"/>
      <c r="P9" s="203"/>
      <c r="Q9" s="203"/>
      <c r="R9" s="203"/>
      <c r="S9" s="204"/>
      <c r="T9" s="98"/>
      <c r="U9" s="205" t="s">
        <v>407</v>
      </c>
      <c r="V9" s="206"/>
      <c r="W9" s="206"/>
      <c r="X9" s="206"/>
      <c r="Y9" s="206"/>
      <c r="Z9" s="206"/>
      <c r="AA9" s="206"/>
      <c r="AB9" s="206"/>
      <c r="AC9" s="206"/>
      <c r="AD9" s="206"/>
      <c r="AE9" s="207"/>
    </row>
    <row r="10" spans="1:31" s="54" customFormat="1" ht="30" customHeight="1" x14ac:dyDescent="0.5">
      <c r="A10" s="194" t="s">
        <v>408</v>
      </c>
      <c r="B10" s="195"/>
      <c r="C10" s="195"/>
      <c r="D10" s="195"/>
      <c r="E10" s="195"/>
      <c r="F10" s="195"/>
      <c r="G10" s="195"/>
      <c r="H10" s="195"/>
      <c r="I10" s="196"/>
      <c r="J10" s="56"/>
      <c r="K10" s="194" t="s">
        <v>408</v>
      </c>
      <c r="L10" s="195"/>
      <c r="M10" s="195"/>
      <c r="N10" s="195"/>
      <c r="O10" s="195"/>
      <c r="P10" s="195"/>
      <c r="Q10" s="195"/>
      <c r="R10" s="195"/>
      <c r="S10" s="196"/>
      <c r="T10" s="97"/>
      <c r="U10" s="208"/>
      <c r="V10" s="209"/>
      <c r="W10" s="209"/>
      <c r="X10" s="209"/>
      <c r="Y10" s="209"/>
      <c r="Z10" s="209"/>
      <c r="AA10" s="209"/>
      <c r="AB10" s="209"/>
      <c r="AC10" s="209"/>
      <c r="AD10" s="209"/>
      <c r="AE10" s="210"/>
    </row>
    <row r="11" spans="1:31" s="54" customFormat="1" ht="30" customHeight="1" x14ac:dyDescent="0.5">
      <c r="A11" s="194" t="s">
        <v>347</v>
      </c>
      <c r="B11" s="195"/>
      <c r="C11" s="195"/>
      <c r="D11" s="195"/>
      <c r="E11" s="195"/>
      <c r="F11" s="195"/>
      <c r="G11" s="195"/>
      <c r="H11" s="195"/>
      <c r="I11" s="196"/>
      <c r="J11" s="56"/>
      <c r="K11" s="194" t="s">
        <v>347</v>
      </c>
      <c r="L11" s="195"/>
      <c r="M11" s="195"/>
      <c r="N11" s="195"/>
      <c r="O11" s="195"/>
      <c r="P11" s="195"/>
      <c r="Q11" s="195"/>
      <c r="R11" s="195"/>
      <c r="S11" s="196"/>
      <c r="T11" s="97"/>
      <c r="U11" s="208"/>
      <c r="V11" s="209"/>
      <c r="W11" s="209"/>
      <c r="X11" s="209"/>
      <c r="Y11" s="209"/>
      <c r="Z11" s="209"/>
      <c r="AA11" s="209"/>
      <c r="AB11" s="209"/>
      <c r="AC11" s="209"/>
      <c r="AD11" s="209"/>
      <c r="AE11" s="210"/>
    </row>
    <row r="12" spans="1:31" s="54" customFormat="1" ht="30" customHeight="1" thickBot="1" x14ac:dyDescent="0.55000000000000004">
      <c r="A12" s="197">
        <v>43373</v>
      </c>
      <c r="B12" s="198"/>
      <c r="C12" s="198"/>
      <c r="D12" s="198"/>
      <c r="E12" s="198"/>
      <c r="F12" s="198"/>
      <c r="G12" s="198"/>
      <c r="H12" s="198"/>
      <c r="I12" s="199"/>
      <c r="J12" s="56"/>
      <c r="K12" s="197">
        <v>43373</v>
      </c>
      <c r="L12" s="198"/>
      <c r="M12" s="198"/>
      <c r="N12" s="198"/>
      <c r="O12" s="198"/>
      <c r="P12" s="198"/>
      <c r="Q12" s="198"/>
      <c r="R12" s="198"/>
      <c r="S12" s="199"/>
      <c r="T12" s="97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3"/>
    </row>
    <row r="13" spans="1:31" s="63" customFormat="1" ht="24.75" customHeight="1" x14ac:dyDescent="0.5">
      <c r="A13" s="60"/>
      <c r="B13" s="61"/>
      <c r="C13" s="61"/>
      <c r="D13" s="61"/>
      <c r="E13" s="61"/>
      <c r="F13" s="61"/>
      <c r="G13" s="61"/>
      <c r="H13" s="61"/>
      <c r="I13" s="61"/>
      <c r="J13" s="62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W13" s="64"/>
      <c r="Y13" s="64"/>
      <c r="AA13" s="64"/>
      <c r="AB13" s="64"/>
      <c r="AC13" s="64"/>
      <c r="AD13" s="64"/>
      <c r="AE13" s="64"/>
    </row>
    <row r="14" spans="1:31" s="63" customFormat="1" ht="24.75" customHeight="1" x14ac:dyDescent="0.5">
      <c r="B14" s="62"/>
      <c r="C14" s="62"/>
      <c r="D14" s="62"/>
      <c r="E14" s="62"/>
      <c r="F14" s="62"/>
      <c r="G14" s="62"/>
      <c r="H14" s="62"/>
      <c r="I14" s="62"/>
      <c r="J14" s="61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0"/>
      <c r="W14" s="66"/>
      <c r="X14" s="60"/>
      <c r="Y14" s="66"/>
      <c r="Z14" s="60"/>
      <c r="AA14" s="66"/>
      <c r="AB14" s="66"/>
      <c r="AC14" s="67"/>
      <c r="AD14" s="66"/>
      <c r="AE14" s="67"/>
    </row>
    <row r="15" spans="1:31" s="63" customFormat="1" ht="24.75" customHeight="1" x14ac:dyDescent="0.5">
      <c r="B15" s="62"/>
      <c r="C15" s="62"/>
      <c r="D15" s="62"/>
      <c r="E15" s="62"/>
      <c r="F15" s="62"/>
      <c r="G15" s="62"/>
      <c r="H15" s="62"/>
      <c r="I15" s="62"/>
      <c r="J15" s="61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0"/>
      <c r="W15" s="66"/>
      <c r="X15" s="60"/>
      <c r="Y15" s="66"/>
      <c r="Z15" s="60"/>
      <c r="AA15" s="66"/>
      <c r="AB15" s="66"/>
      <c r="AC15" s="60" t="s">
        <v>341</v>
      </c>
      <c r="AD15" s="66"/>
      <c r="AE15" s="67"/>
    </row>
    <row r="16" spans="1:31" s="63" customFormat="1" ht="24.75" customHeight="1" x14ac:dyDescent="0.5">
      <c r="B16" s="62"/>
      <c r="C16" s="62"/>
      <c r="D16" s="62"/>
      <c r="E16" s="62"/>
      <c r="F16" s="62"/>
      <c r="G16" s="62"/>
      <c r="H16" s="62"/>
      <c r="I16" s="62"/>
      <c r="J16" s="61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0"/>
      <c r="W16" s="60"/>
      <c r="X16" s="60"/>
      <c r="Y16" s="60"/>
      <c r="Z16" s="60"/>
      <c r="AA16" s="60" t="s">
        <v>341</v>
      </c>
      <c r="AB16" s="97"/>
      <c r="AC16" s="67" t="s">
        <v>344</v>
      </c>
      <c r="AD16" s="60"/>
      <c r="AE16" s="60" t="s">
        <v>343</v>
      </c>
    </row>
    <row r="17" spans="1:31" s="63" customFormat="1" ht="24.75" customHeight="1" x14ac:dyDescent="0.5">
      <c r="B17" s="62"/>
      <c r="C17" s="62"/>
      <c r="D17" s="62"/>
      <c r="E17" s="62"/>
      <c r="F17" s="62"/>
      <c r="G17" s="62"/>
      <c r="H17" s="62"/>
      <c r="I17" s="61" t="s">
        <v>207</v>
      </c>
      <c r="J17" s="61"/>
      <c r="K17" s="62"/>
      <c r="L17" s="62"/>
      <c r="M17" s="62"/>
      <c r="N17" s="62"/>
      <c r="O17" s="62"/>
      <c r="P17" s="62"/>
      <c r="Q17" s="62"/>
      <c r="R17" s="62"/>
      <c r="S17" s="61" t="s">
        <v>207</v>
      </c>
      <c r="T17" s="61"/>
      <c r="U17" s="62"/>
      <c r="V17" s="60"/>
      <c r="W17" s="60">
        <v>2018</v>
      </c>
      <c r="X17" s="60"/>
      <c r="Y17" s="60">
        <v>2017</v>
      </c>
      <c r="Z17" s="60"/>
      <c r="AA17" s="60" t="s">
        <v>342</v>
      </c>
      <c r="AB17" s="97"/>
      <c r="AC17" s="60" t="s">
        <v>342</v>
      </c>
      <c r="AD17" s="60"/>
      <c r="AE17" s="60" t="s">
        <v>345</v>
      </c>
    </row>
    <row r="18" spans="1:31" s="63" customFormat="1" ht="24.75" customHeight="1" x14ac:dyDescent="0.5">
      <c r="B18" s="68" t="s">
        <v>212</v>
      </c>
      <c r="C18" s="68" t="s">
        <v>214</v>
      </c>
      <c r="D18" s="68" t="s">
        <v>213</v>
      </c>
      <c r="E18" s="68" t="s">
        <v>215</v>
      </c>
      <c r="F18" s="68" t="s">
        <v>216</v>
      </c>
      <c r="G18" s="68" t="s">
        <v>409</v>
      </c>
      <c r="H18" s="68" t="s">
        <v>421</v>
      </c>
      <c r="I18" s="68">
        <v>2018</v>
      </c>
      <c r="J18" s="69"/>
      <c r="K18" s="62"/>
      <c r="L18" s="68" t="s">
        <v>212</v>
      </c>
      <c r="M18" s="68" t="s">
        <v>214</v>
      </c>
      <c r="N18" s="68" t="s">
        <v>213</v>
      </c>
      <c r="O18" s="68" t="s">
        <v>215</v>
      </c>
      <c r="P18" s="68" t="s">
        <v>216</v>
      </c>
      <c r="Q18" s="68" t="s">
        <v>409</v>
      </c>
      <c r="R18" s="68" t="s">
        <v>421</v>
      </c>
      <c r="S18" s="68">
        <v>2017</v>
      </c>
      <c r="T18" s="69"/>
      <c r="U18" s="62"/>
      <c r="V18" s="69"/>
      <c r="W18" s="96"/>
      <c r="X18" s="69"/>
      <c r="Y18" s="96"/>
      <c r="Z18" s="69"/>
      <c r="AA18" s="96" t="s">
        <v>339</v>
      </c>
      <c r="AB18" s="97"/>
      <c r="AC18" s="96" t="s">
        <v>340</v>
      </c>
      <c r="AD18" s="96"/>
      <c r="AE18" s="96" t="s">
        <v>340</v>
      </c>
    </row>
    <row r="19" spans="1:31" s="63" customFormat="1" ht="30" customHeight="1" x14ac:dyDescent="0.5">
      <c r="A19" s="70" t="s">
        <v>62</v>
      </c>
      <c r="B19" s="62"/>
      <c r="C19" s="62"/>
      <c r="D19" s="62"/>
      <c r="E19" s="62"/>
      <c r="F19" s="62"/>
      <c r="G19" s="62"/>
      <c r="H19" s="62"/>
      <c r="I19" s="62"/>
      <c r="J19" s="62"/>
      <c r="K19" s="71" t="s">
        <v>62</v>
      </c>
      <c r="L19" s="62"/>
      <c r="M19" s="62"/>
      <c r="N19" s="62"/>
      <c r="O19" s="62"/>
      <c r="P19" s="62"/>
      <c r="Q19" s="62"/>
      <c r="R19" s="62"/>
      <c r="S19" s="62"/>
      <c r="T19" s="62"/>
      <c r="U19" s="71" t="s">
        <v>62</v>
      </c>
      <c r="AB19" s="101"/>
      <c r="AC19" s="67"/>
      <c r="AE19" s="67"/>
    </row>
    <row r="20" spans="1:31" s="63" customFormat="1" ht="30" customHeight="1" x14ac:dyDescent="0.5">
      <c r="A20" s="63" t="s">
        <v>412</v>
      </c>
      <c r="B20" s="72">
        <f>'Comp YTD 2018-2017 10.18.18'!B23</f>
        <v>4117107118.1100001</v>
      </c>
      <c r="C20" s="72">
        <f>'Comp YTD 2018-2017 10.18.18'!C23</f>
        <v>63519486.560000002</v>
      </c>
      <c r="D20" s="72">
        <f>'Comp YTD 2018-2017 10.18.18'!D23</f>
        <v>2454254.9000000004</v>
      </c>
      <c r="E20" s="72">
        <f>'Comp YTD 2018-2017 10.18.18'!E23</f>
        <v>0</v>
      </c>
      <c r="F20" s="72">
        <f>'Comp YTD 2018-2017 10.18.18'!F23</f>
        <v>547363.97000000009</v>
      </c>
      <c r="G20" s="72">
        <f>'Comp YTD 2018-2017 10.18.18'!G23</f>
        <v>0</v>
      </c>
      <c r="H20" s="72">
        <f>'Comp YTD 2018-2017 10.18.18'!H23</f>
        <v>0</v>
      </c>
      <c r="I20" s="72">
        <f>SUM(B20:H20)</f>
        <v>4183628223.54</v>
      </c>
      <c r="J20" s="73"/>
      <c r="K20" s="63" t="s">
        <v>412</v>
      </c>
      <c r="L20" s="72">
        <f>'Comp YTD 2018-2017 10.18.18'!M23</f>
        <v>2754038036.9099998</v>
      </c>
      <c r="M20" s="72">
        <f>'Comp YTD 2018-2017 10.18.18'!N23</f>
        <v>38297449.099999987</v>
      </c>
      <c r="N20" s="72">
        <f>'Comp YTD 2018-2017 10.18.18'!O23</f>
        <v>1680196.53</v>
      </c>
      <c r="O20" s="72">
        <f>'Comp YTD 2018-2017 10.18.18'!P23</f>
        <v>0</v>
      </c>
      <c r="P20" s="72">
        <f>'Comp YTD 2018-2017 10.18.18'!Q23</f>
        <v>552239.02</v>
      </c>
      <c r="Q20" s="72">
        <f>'Comp YTD 2018-2017 10.18.18'!R23</f>
        <v>0</v>
      </c>
      <c r="R20" s="72">
        <f>'Comp YTD 2018-2017 10.18.18'!S23</f>
        <v>0</v>
      </c>
      <c r="S20" s="72">
        <f t="shared" ref="S20:S27" si="0">SUM(L20:R20)</f>
        <v>2794567921.5599999</v>
      </c>
      <c r="T20" s="72"/>
      <c r="U20" s="63" t="s">
        <v>412</v>
      </c>
      <c r="V20" s="74"/>
      <c r="W20" s="75">
        <f>I20</f>
        <v>4183628223.54</v>
      </c>
      <c r="X20" s="74"/>
      <c r="Y20" s="75">
        <f t="shared" ref="Y20:Y27" si="1">S20</f>
        <v>2794567921.5599999</v>
      </c>
      <c r="Z20" s="74"/>
      <c r="AA20" s="75">
        <f>I20-S20</f>
        <v>1389060301.98</v>
      </c>
      <c r="AB20" s="102"/>
      <c r="AC20" s="74">
        <f>I20/S20</f>
        <v>1.4970572700214031</v>
      </c>
      <c r="AD20" s="75"/>
      <c r="AE20" s="74">
        <f>AC20-1</f>
        <v>0.4970572700214031</v>
      </c>
    </row>
    <row r="21" spans="1:31" s="63" customFormat="1" ht="30" customHeight="1" x14ac:dyDescent="0.5">
      <c r="A21" s="70" t="s">
        <v>223</v>
      </c>
      <c r="B21" s="76">
        <f t="shared" ref="B21:H21" si="2">SUM(B20:B20)</f>
        <v>4117107118.1100001</v>
      </c>
      <c r="C21" s="76">
        <f t="shared" si="2"/>
        <v>63519486.560000002</v>
      </c>
      <c r="D21" s="76">
        <f t="shared" si="2"/>
        <v>2454254.9000000004</v>
      </c>
      <c r="E21" s="76">
        <f t="shared" si="2"/>
        <v>0</v>
      </c>
      <c r="F21" s="76">
        <f t="shared" si="2"/>
        <v>547363.97000000009</v>
      </c>
      <c r="G21" s="76">
        <f t="shared" si="2"/>
        <v>0</v>
      </c>
      <c r="H21" s="76">
        <f t="shared" si="2"/>
        <v>0</v>
      </c>
      <c r="I21" s="76">
        <f>SUM(B21:H21)</f>
        <v>4183628223.54</v>
      </c>
      <c r="J21" s="77"/>
      <c r="K21" s="71" t="s">
        <v>223</v>
      </c>
      <c r="L21" s="76">
        <f>SUM(L20:L20)</f>
        <v>2754038036.9099998</v>
      </c>
      <c r="M21" s="76">
        <f t="shared" ref="M21:R21" si="3">SUM(M20:M20)</f>
        <v>38297449.099999987</v>
      </c>
      <c r="N21" s="76">
        <f t="shared" si="3"/>
        <v>1680196.53</v>
      </c>
      <c r="O21" s="76">
        <f t="shared" si="3"/>
        <v>0</v>
      </c>
      <c r="P21" s="76">
        <f t="shared" si="3"/>
        <v>552239.02</v>
      </c>
      <c r="Q21" s="76">
        <f>SUM(Q20:Q20)</f>
        <v>0</v>
      </c>
      <c r="R21" s="76">
        <f t="shared" si="3"/>
        <v>0</v>
      </c>
      <c r="S21" s="76">
        <f t="shared" si="0"/>
        <v>2794567921.5599999</v>
      </c>
      <c r="T21" s="99"/>
      <c r="U21" s="71" t="s">
        <v>223</v>
      </c>
      <c r="V21" s="79"/>
      <c r="W21" s="80">
        <f>I21</f>
        <v>4183628223.54</v>
      </c>
      <c r="X21" s="79"/>
      <c r="Y21" s="80">
        <f t="shared" si="1"/>
        <v>2794567921.5599999</v>
      </c>
      <c r="Z21" s="79"/>
      <c r="AA21" s="80">
        <f>I21-S21</f>
        <v>1389060301.98</v>
      </c>
      <c r="AB21" s="102"/>
      <c r="AC21" s="78">
        <f>I21/S21</f>
        <v>1.4970572700214031</v>
      </c>
      <c r="AD21" s="80"/>
      <c r="AE21" s="78">
        <f t="shared" ref="AE21:AE27" si="4">AC21-1</f>
        <v>0.4970572700214031</v>
      </c>
    </row>
    <row r="22" spans="1:31" s="63" customFormat="1" ht="30" customHeight="1" x14ac:dyDescent="0.5">
      <c r="B22" s="72"/>
      <c r="C22" s="72"/>
      <c r="D22" s="72"/>
      <c r="E22" s="72"/>
      <c r="F22" s="72"/>
      <c r="G22" s="72"/>
      <c r="H22" s="72"/>
      <c r="I22" s="72">
        <f>SUM(B22:H22)</f>
        <v>0</v>
      </c>
      <c r="J22" s="62"/>
      <c r="K22" s="62"/>
      <c r="L22" s="72"/>
      <c r="M22" s="72"/>
      <c r="N22" s="72"/>
      <c r="O22" s="72"/>
      <c r="P22" s="72"/>
      <c r="Q22" s="72"/>
      <c r="R22" s="72"/>
      <c r="S22" s="72">
        <f t="shared" si="0"/>
        <v>0</v>
      </c>
      <c r="T22" s="72"/>
      <c r="U22" s="62"/>
      <c r="W22" s="75"/>
      <c r="Y22" s="75">
        <f t="shared" si="1"/>
        <v>0</v>
      </c>
      <c r="AA22" s="75"/>
      <c r="AB22" s="102"/>
      <c r="AC22" s="81"/>
      <c r="AD22" s="75"/>
      <c r="AE22" s="81"/>
    </row>
    <row r="23" spans="1:31" s="63" customFormat="1" ht="30" customHeight="1" x14ac:dyDescent="0.5">
      <c r="A23" s="70" t="s">
        <v>208</v>
      </c>
      <c r="B23" s="72"/>
      <c r="C23" s="72"/>
      <c r="D23" s="72"/>
      <c r="E23" s="72"/>
      <c r="F23" s="72"/>
      <c r="G23" s="72"/>
      <c r="H23" s="72"/>
      <c r="I23" s="72">
        <f>SUM(B23:H23)</f>
        <v>0</v>
      </c>
      <c r="J23" s="62"/>
      <c r="K23" s="71" t="s">
        <v>208</v>
      </c>
      <c r="L23" s="72"/>
      <c r="M23" s="72"/>
      <c r="N23" s="72"/>
      <c r="O23" s="72"/>
      <c r="P23" s="72"/>
      <c r="Q23" s="72"/>
      <c r="R23" s="72"/>
      <c r="S23" s="72">
        <f t="shared" si="0"/>
        <v>0</v>
      </c>
      <c r="T23" s="72"/>
      <c r="U23" s="71" t="s">
        <v>208</v>
      </c>
      <c r="W23" s="75"/>
      <c r="Y23" s="75">
        <f t="shared" si="1"/>
        <v>0</v>
      </c>
      <c r="AA23" s="75"/>
      <c r="AB23" s="102"/>
      <c r="AC23" s="81"/>
      <c r="AD23" s="75"/>
      <c r="AE23" s="81"/>
    </row>
    <row r="24" spans="1:31" s="63" customFormat="1" ht="30" customHeight="1" x14ac:dyDescent="0.5">
      <c r="A24" s="63" t="s">
        <v>413</v>
      </c>
      <c r="B24" s="72">
        <f>'Comp YTD 2018-2017 10.18.18'!B33</f>
        <v>4112543928.4899983</v>
      </c>
      <c r="C24" s="72">
        <f>'Comp YTD 2018-2017 10.18.18'!C33</f>
        <v>62695310.809999987</v>
      </c>
      <c r="D24" s="72">
        <f>'Comp YTD 2018-2017 10.18.18'!D33</f>
        <v>278193.64</v>
      </c>
      <c r="E24" s="72">
        <f>'Comp YTD 2018-2017 10.18.18'!E33</f>
        <v>0</v>
      </c>
      <c r="F24" s="72">
        <f>'Comp YTD 2018-2017 10.18.18'!F33</f>
        <v>1648.2199999999998</v>
      </c>
      <c r="G24" s="72">
        <f>'Comp YTD 2018-2017 10.18.18'!G33</f>
        <v>0</v>
      </c>
      <c r="H24" s="72">
        <f>'Comp YTD 2018-2017 10.18.18'!H33</f>
        <v>0</v>
      </c>
      <c r="I24" s="72">
        <f>'Comp YTD 2018-2017 10.18.18'!I33</f>
        <v>4175519081.1599979</v>
      </c>
      <c r="J24" s="73"/>
      <c r="K24" s="63" t="s">
        <v>413</v>
      </c>
      <c r="L24" s="72">
        <f>'Comp YTD 2018-2017 10.18.18'!M33</f>
        <v>2749616175.1799979</v>
      </c>
      <c r="M24" s="72">
        <f>'Comp YTD 2018-2017 10.18.18'!N33</f>
        <v>37721351.61999999</v>
      </c>
      <c r="N24" s="72">
        <f>'Comp YTD 2018-2017 10.18.18'!O33</f>
        <v>206226.66</v>
      </c>
      <c r="O24" s="72">
        <f>'Comp YTD 2018-2017 10.18.18'!P33</f>
        <v>0</v>
      </c>
      <c r="P24" s="72">
        <f>'Comp YTD 2018-2017 10.18.18'!Q33</f>
        <v>918.27</v>
      </c>
      <c r="Q24" s="72">
        <f>'Comp YTD 2018-2017 10.18.18'!R33</f>
        <v>0</v>
      </c>
      <c r="R24" s="72">
        <f>'Comp YTD 2018-2017 10.18.18'!S33</f>
        <v>0</v>
      </c>
      <c r="S24" s="72">
        <f t="shared" si="0"/>
        <v>2787544671.7299976</v>
      </c>
      <c r="T24" s="72"/>
      <c r="U24" s="63" t="s">
        <v>413</v>
      </c>
      <c r="V24" s="74"/>
      <c r="W24" s="75">
        <f>I24</f>
        <v>4175519081.1599979</v>
      </c>
      <c r="X24" s="74"/>
      <c r="Y24" s="75">
        <f t="shared" si="1"/>
        <v>2787544671.7299976</v>
      </c>
      <c r="Z24" s="74"/>
      <c r="AA24" s="75">
        <f>I24-S24</f>
        <v>1387974409.4300003</v>
      </c>
      <c r="AB24" s="102"/>
      <c r="AC24" s="74">
        <f>I24/S24</f>
        <v>1.4979200597235989</v>
      </c>
      <c r="AD24" s="75"/>
      <c r="AE24" s="74">
        <f t="shared" si="4"/>
        <v>0.49792005972359887</v>
      </c>
    </row>
    <row r="25" spans="1:31" s="63" customFormat="1" ht="30" customHeight="1" x14ac:dyDescent="0.5">
      <c r="A25" s="70" t="s">
        <v>224</v>
      </c>
      <c r="B25" s="76">
        <f t="shared" ref="B25:H25" si="5">SUM(B24:B24)</f>
        <v>4112543928.4899983</v>
      </c>
      <c r="C25" s="76">
        <f t="shared" si="5"/>
        <v>62695310.809999987</v>
      </c>
      <c r="D25" s="76">
        <f t="shared" si="5"/>
        <v>278193.64</v>
      </c>
      <c r="E25" s="76">
        <f t="shared" si="5"/>
        <v>0</v>
      </c>
      <c r="F25" s="76">
        <f t="shared" si="5"/>
        <v>1648.2199999999998</v>
      </c>
      <c r="G25" s="76">
        <f t="shared" si="5"/>
        <v>0</v>
      </c>
      <c r="H25" s="76">
        <f t="shared" si="5"/>
        <v>0</v>
      </c>
      <c r="I25" s="76">
        <f t="shared" ref="I25:I31" si="6">SUM(B25:H25)</f>
        <v>4175519081.1599979</v>
      </c>
      <c r="J25" s="77"/>
      <c r="K25" s="71" t="s">
        <v>224</v>
      </c>
      <c r="L25" s="76">
        <f t="shared" ref="L25:R25" si="7">SUM(L24:L24)</f>
        <v>2749616175.1799979</v>
      </c>
      <c r="M25" s="76">
        <f t="shared" si="7"/>
        <v>37721351.61999999</v>
      </c>
      <c r="N25" s="76">
        <f t="shared" si="7"/>
        <v>206226.66</v>
      </c>
      <c r="O25" s="76">
        <f t="shared" si="7"/>
        <v>0</v>
      </c>
      <c r="P25" s="76">
        <f t="shared" si="7"/>
        <v>918.27</v>
      </c>
      <c r="Q25" s="76">
        <f t="shared" si="7"/>
        <v>0</v>
      </c>
      <c r="R25" s="76">
        <f t="shared" si="7"/>
        <v>0</v>
      </c>
      <c r="S25" s="76">
        <f t="shared" si="0"/>
        <v>2787544671.7299976</v>
      </c>
      <c r="T25" s="99"/>
      <c r="U25" s="71" t="s">
        <v>224</v>
      </c>
      <c r="V25" s="79"/>
      <c r="W25" s="80">
        <f>I25</f>
        <v>4175519081.1599979</v>
      </c>
      <c r="X25" s="79"/>
      <c r="Y25" s="80">
        <f t="shared" si="1"/>
        <v>2787544671.7299976</v>
      </c>
      <c r="Z25" s="79"/>
      <c r="AA25" s="80">
        <f>SUM(AA24:AA24)</f>
        <v>1387974409.4300003</v>
      </c>
      <c r="AB25" s="102"/>
      <c r="AC25" s="78">
        <f>I25/S25</f>
        <v>1.4979200597235989</v>
      </c>
      <c r="AD25" s="80"/>
      <c r="AE25" s="78">
        <f t="shared" si="4"/>
        <v>0.49792005972359887</v>
      </c>
    </row>
    <row r="26" spans="1:31" s="63" customFormat="1" ht="30" customHeight="1" x14ac:dyDescent="0.5">
      <c r="B26" s="72"/>
      <c r="C26" s="72"/>
      <c r="D26" s="72"/>
      <c r="E26" s="72"/>
      <c r="F26" s="72"/>
      <c r="G26" s="72"/>
      <c r="H26" s="72"/>
      <c r="I26" s="72">
        <f t="shared" si="6"/>
        <v>0</v>
      </c>
      <c r="J26" s="62"/>
      <c r="K26" s="62"/>
      <c r="L26" s="72"/>
      <c r="M26" s="72"/>
      <c r="N26" s="72"/>
      <c r="O26" s="72"/>
      <c r="P26" s="72"/>
      <c r="Q26" s="72"/>
      <c r="R26" s="72"/>
      <c r="S26" s="72">
        <f t="shared" si="0"/>
        <v>0</v>
      </c>
      <c r="T26" s="72"/>
      <c r="U26" s="62"/>
      <c r="W26" s="75">
        <f>I26</f>
        <v>0</v>
      </c>
      <c r="Y26" s="75">
        <f t="shared" si="1"/>
        <v>0</v>
      </c>
      <c r="AA26" s="75"/>
      <c r="AB26" s="102"/>
      <c r="AC26" s="74"/>
      <c r="AD26" s="75"/>
      <c r="AE26" s="74"/>
    </row>
    <row r="27" spans="1:31" s="63" customFormat="1" ht="30" customHeight="1" thickBot="1" x14ac:dyDescent="0.55000000000000004">
      <c r="A27" s="70" t="s">
        <v>211</v>
      </c>
      <c r="B27" s="82">
        <f t="shared" ref="B27:H27" si="8">B21-B25</f>
        <v>4563189.6200017929</v>
      </c>
      <c r="C27" s="82">
        <f t="shared" si="8"/>
        <v>824175.7500000149</v>
      </c>
      <c r="D27" s="82">
        <f t="shared" si="8"/>
        <v>2176061.2600000002</v>
      </c>
      <c r="E27" s="82">
        <f t="shared" si="8"/>
        <v>0</v>
      </c>
      <c r="F27" s="82">
        <f t="shared" si="8"/>
        <v>545715.75000000012</v>
      </c>
      <c r="G27" s="82">
        <f>G21-G25</f>
        <v>0</v>
      </c>
      <c r="H27" s="82">
        <f t="shared" si="8"/>
        <v>0</v>
      </c>
      <c r="I27" s="82">
        <f t="shared" si="6"/>
        <v>8109142.3800018076</v>
      </c>
      <c r="J27" s="62"/>
      <c r="K27" s="71" t="s">
        <v>211</v>
      </c>
      <c r="L27" s="82">
        <f t="shared" ref="L27:R27" si="9">L21-L25</f>
        <v>4421861.7300019264</v>
      </c>
      <c r="M27" s="82">
        <f t="shared" si="9"/>
        <v>576097.47999999672</v>
      </c>
      <c r="N27" s="82">
        <f t="shared" si="9"/>
        <v>1473969.87</v>
      </c>
      <c r="O27" s="82">
        <f t="shared" si="9"/>
        <v>0</v>
      </c>
      <c r="P27" s="82">
        <f t="shared" si="9"/>
        <v>551320.75</v>
      </c>
      <c r="Q27" s="82">
        <f>Q21-Q25</f>
        <v>0</v>
      </c>
      <c r="R27" s="82">
        <f t="shared" si="9"/>
        <v>0</v>
      </c>
      <c r="S27" s="82">
        <f t="shared" si="0"/>
        <v>7023249.8300019233</v>
      </c>
      <c r="T27" s="99"/>
      <c r="U27" s="71" t="s">
        <v>211</v>
      </c>
      <c r="W27" s="83">
        <f>I27</f>
        <v>8109142.3800018076</v>
      </c>
      <c r="Y27" s="83">
        <f t="shared" si="1"/>
        <v>7023249.8300019233</v>
      </c>
      <c r="AA27" s="83">
        <f>I27-S27</f>
        <v>1085892.5499998843</v>
      </c>
      <c r="AB27" s="102"/>
      <c r="AC27" s="84">
        <f>I27/S27</f>
        <v>1.154613971634779</v>
      </c>
      <c r="AD27" s="83"/>
      <c r="AE27" s="84">
        <f t="shared" si="4"/>
        <v>0.15461397163477897</v>
      </c>
    </row>
    <row r="28" spans="1:31" s="63" customFormat="1" ht="30" customHeight="1" x14ac:dyDescent="0.5">
      <c r="B28" s="72"/>
      <c r="C28" s="72"/>
      <c r="D28" s="72"/>
      <c r="E28" s="72"/>
      <c r="F28" s="72"/>
      <c r="G28" s="72"/>
      <c r="H28" s="72"/>
      <c r="I28" s="72">
        <f t="shared" si="6"/>
        <v>0</v>
      </c>
      <c r="J28" s="62"/>
      <c r="K28" s="62"/>
      <c r="L28" s="72"/>
      <c r="M28" s="72"/>
      <c r="N28" s="72"/>
      <c r="O28" s="72"/>
      <c r="P28" s="72"/>
      <c r="Q28" s="72"/>
      <c r="R28" s="72"/>
      <c r="S28" s="72"/>
      <c r="T28" s="72"/>
      <c r="U28" s="62"/>
      <c r="W28" s="75"/>
      <c r="Y28" s="75"/>
      <c r="AA28" s="75"/>
      <c r="AB28" s="102"/>
      <c r="AC28" s="81"/>
      <c r="AD28" s="75"/>
      <c r="AE28" s="81"/>
    </row>
    <row r="29" spans="1:31" s="63" customFormat="1" ht="30" customHeight="1" x14ac:dyDescent="0.5">
      <c r="A29" s="70" t="s">
        <v>209</v>
      </c>
      <c r="B29" s="72"/>
      <c r="C29" s="72"/>
      <c r="D29" s="72"/>
      <c r="E29" s="72"/>
      <c r="F29" s="72"/>
      <c r="G29" s="72"/>
      <c r="H29" s="72"/>
      <c r="I29" s="72">
        <f t="shared" si="6"/>
        <v>0</v>
      </c>
      <c r="J29" s="62"/>
      <c r="K29" s="71" t="s">
        <v>209</v>
      </c>
      <c r="L29" s="72"/>
      <c r="M29" s="72"/>
      <c r="N29" s="72"/>
      <c r="O29" s="72"/>
      <c r="P29" s="72"/>
      <c r="Q29" s="72"/>
      <c r="R29" s="72"/>
      <c r="S29" s="72"/>
      <c r="T29" s="72"/>
      <c r="U29" s="71" t="s">
        <v>209</v>
      </c>
      <c r="W29" s="75"/>
      <c r="Y29" s="75"/>
      <c r="AA29" s="75"/>
      <c r="AB29" s="102"/>
      <c r="AC29" s="81"/>
      <c r="AD29" s="75"/>
      <c r="AE29" s="81"/>
    </row>
    <row r="30" spans="1:31" s="63" customFormat="1" ht="30" customHeight="1" x14ac:dyDescent="0.5">
      <c r="A30" s="70" t="s">
        <v>225</v>
      </c>
      <c r="B30" s="72">
        <f>'Comp YTD 2018-2017 10.18.18'!B49</f>
        <v>3481147.89</v>
      </c>
      <c r="C30" s="72">
        <f>'Comp YTD 2018-2017 10.18.18'!C49</f>
        <v>0</v>
      </c>
      <c r="D30" s="72">
        <f>'Comp YTD 2018-2017 10.18.18'!D49</f>
        <v>120456.16000000002</v>
      </c>
      <c r="E30" s="72">
        <f>'Comp YTD 2018-2017 10.18.18'!E49</f>
        <v>0</v>
      </c>
      <c r="F30" s="72">
        <f>'Comp YTD 2018-2017 10.18.18'!F49</f>
        <v>297934.77999999997</v>
      </c>
      <c r="G30" s="72">
        <f>'Comp YTD 2018-2017 10.18.18'!G49</f>
        <v>0</v>
      </c>
      <c r="H30" s="72">
        <f>'Comp YTD 2018-2017 10.18.18'!H49</f>
        <v>0</v>
      </c>
      <c r="I30" s="72">
        <f t="shared" si="6"/>
        <v>3899538.83</v>
      </c>
      <c r="J30" s="62"/>
      <c r="K30" s="71" t="s">
        <v>225</v>
      </c>
      <c r="L30" s="72">
        <f>'Comp YTD 2018-2017 10.18.18'!M49</f>
        <v>3715583.1700000004</v>
      </c>
      <c r="M30" s="72">
        <f>'Comp YTD 2018-2017 10.18.18'!N49</f>
        <v>0</v>
      </c>
      <c r="N30" s="72">
        <f>'Comp YTD 2018-2017 10.18.18'!O49</f>
        <v>168801.16</v>
      </c>
      <c r="O30" s="72">
        <f>'Comp YTD 2018-2017 10.18.18'!P49</f>
        <v>0</v>
      </c>
      <c r="P30" s="72">
        <f>'Comp YTD 2018-2017 10.18.18'!Q49</f>
        <v>307869.81</v>
      </c>
      <c r="Q30" s="72">
        <f>'Comp YTD 2018-2017 10.18.18'!R49</f>
        <v>0</v>
      </c>
      <c r="R30" s="72">
        <f>'Comp YTD 2018-2017 10.18.18'!S49</f>
        <v>0</v>
      </c>
      <c r="S30" s="72">
        <f>SUM(L30:R30)</f>
        <v>4192254.1400000006</v>
      </c>
      <c r="T30" s="72"/>
      <c r="U30" s="71" t="s">
        <v>225</v>
      </c>
      <c r="W30" s="75">
        <f>I30</f>
        <v>3899538.83</v>
      </c>
      <c r="Y30" s="75">
        <f t="shared" ref="Y30:Y37" si="10">S30</f>
        <v>4192254.1400000006</v>
      </c>
      <c r="AA30" s="75">
        <f>I30-S30</f>
        <v>-292715.31000000052</v>
      </c>
      <c r="AB30" s="102"/>
      <c r="AC30" s="81">
        <f>I30/S30</f>
        <v>0.93017710753575633</v>
      </c>
      <c r="AD30" s="75"/>
      <c r="AE30" s="81">
        <f>AC30-1</f>
        <v>-6.9822892464243669E-2</v>
      </c>
    </row>
    <row r="31" spans="1:31" s="63" customFormat="1" ht="30" customHeight="1" x14ac:dyDescent="0.5">
      <c r="A31" s="70" t="s">
        <v>234</v>
      </c>
      <c r="B31" s="72">
        <f>'Comp YTD 2018-2017 10.18.18'!B74</f>
        <v>2014072.3400000003</v>
      </c>
      <c r="C31" s="72">
        <f>'Comp YTD 2018-2017 10.18.18'!C74</f>
        <v>11976.56</v>
      </c>
      <c r="D31" s="72">
        <f>'Comp YTD 2018-2017 10.18.18'!D74</f>
        <v>848277.70000000007</v>
      </c>
      <c r="E31" s="72">
        <f>'Comp YTD 2018-2017 10.18.18'!E74</f>
        <v>109</v>
      </c>
      <c r="F31" s="72">
        <f>'Comp YTD 2018-2017 10.18.18'!F74</f>
        <v>226270.68000000002</v>
      </c>
      <c r="G31" s="72">
        <f>'Comp YTD 2018-2017 10.18.18'!G74</f>
        <v>83781.430000000022</v>
      </c>
      <c r="H31" s="72">
        <f>'Comp YTD 2018-2017 10.18.18'!H74</f>
        <v>132752.72</v>
      </c>
      <c r="I31" s="72">
        <f t="shared" si="6"/>
        <v>3317240.4300000011</v>
      </c>
      <c r="J31" s="62"/>
      <c r="K31" s="71" t="s">
        <v>234</v>
      </c>
      <c r="L31" s="72">
        <f>'Comp YTD 2018-2017 10.18.18'!M74</f>
        <v>1246675.57</v>
      </c>
      <c r="M31" s="72">
        <f>'Comp YTD 2018-2017 10.18.18'!N74</f>
        <v>13550.41</v>
      </c>
      <c r="N31" s="72">
        <f>'Comp YTD 2018-2017 10.18.18'!O74</f>
        <v>513957.07000000007</v>
      </c>
      <c r="O31" s="72">
        <f>'Comp YTD 2018-2017 10.18.18'!P74</f>
        <v>0</v>
      </c>
      <c r="P31" s="72">
        <f>'Comp YTD 2018-2017 10.18.18'!Q74</f>
        <v>247530.41000000003</v>
      </c>
      <c r="Q31" s="72">
        <f>'Comp YTD 2018-2017 10.18.18'!R74</f>
        <v>34050.04</v>
      </c>
      <c r="R31" s="72">
        <f>'Comp YTD 2018-2017 10.18.18'!S74</f>
        <v>1825</v>
      </c>
      <c r="S31" s="72">
        <f>SUM(L31:R31)</f>
        <v>2057588.5</v>
      </c>
      <c r="T31" s="72"/>
      <c r="U31" s="71" t="s">
        <v>234</v>
      </c>
      <c r="W31" s="75">
        <f>I31</f>
        <v>3317240.4300000011</v>
      </c>
      <c r="Y31" s="75">
        <f t="shared" si="10"/>
        <v>2057588.5</v>
      </c>
      <c r="AA31" s="75">
        <f>I31-S31</f>
        <v>1259651.9300000011</v>
      </c>
      <c r="AB31" s="102"/>
      <c r="AC31" s="81">
        <f>I31/S31</f>
        <v>1.612198177623952</v>
      </c>
      <c r="AD31" s="75"/>
      <c r="AE31" s="81">
        <f>AC31-1</f>
        <v>0.61219817762395201</v>
      </c>
    </row>
    <row r="32" spans="1:31" s="63" customFormat="1" ht="30" customHeight="1" x14ac:dyDescent="0.5">
      <c r="A32" s="70" t="s">
        <v>251</v>
      </c>
      <c r="B32" s="72">
        <f>'Comp YTD 2018-2017 10.18.18'!B96</f>
        <v>688386.01000000013</v>
      </c>
      <c r="C32" s="72">
        <f>'Comp YTD 2018-2017 10.18.18'!C96</f>
        <v>52502.909999999996</v>
      </c>
      <c r="D32" s="72">
        <f>'Comp YTD 2018-2017 10.18.18'!D96</f>
        <v>78093.3</v>
      </c>
      <c r="E32" s="72">
        <f>'Comp YTD 2018-2017 10.18.18'!E96</f>
        <v>14505.720000000001</v>
      </c>
      <c r="F32" s="72">
        <f>'Comp YTD 2018-2017 10.18.18'!F96</f>
        <v>42468.58</v>
      </c>
      <c r="G32" s="72">
        <f>'Comp YTD 2018-2017 10.18.18'!G96</f>
        <v>2650</v>
      </c>
      <c r="H32" s="72">
        <f>'Comp YTD 2018-2017 10.18.18'!H96</f>
        <v>714.47000000000014</v>
      </c>
      <c r="I32" s="72">
        <f>'Comp YTD 2018-2017 10.18.18'!I96</f>
        <v>879320.99000000011</v>
      </c>
      <c r="J32" s="62"/>
      <c r="K32" s="71" t="s">
        <v>251</v>
      </c>
      <c r="L32" s="72">
        <f>'Comp YTD 2018-2017 10.18.18'!M96</f>
        <v>601804.01</v>
      </c>
      <c r="M32" s="72">
        <f>'Comp YTD 2018-2017 10.18.18'!N96</f>
        <v>61627.67</v>
      </c>
      <c r="N32" s="72">
        <f>'Comp YTD 2018-2017 10.18.18'!O96</f>
        <v>78141.48</v>
      </c>
      <c r="O32" s="72">
        <f>'Comp YTD 2018-2017 10.18.18'!P96</f>
        <v>4487.51</v>
      </c>
      <c r="P32" s="72">
        <f>'Comp YTD 2018-2017 10.18.18'!Q96</f>
        <v>47973.23</v>
      </c>
      <c r="Q32" s="72">
        <f>'Comp YTD 2018-2017 10.18.18'!R96</f>
        <v>13874</v>
      </c>
      <c r="R32" s="72">
        <f>'Comp YTD 2018-2017 10.18.18'!S96</f>
        <v>1223.58</v>
      </c>
      <c r="S32" s="72">
        <f>SUM(L32:R32)</f>
        <v>809131.48</v>
      </c>
      <c r="T32" s="72"/>
      <c r="U32" s="71" t="s">
        <v>251</v>
      </c>
      <c r="W32" s="75">
        <f>I32</f>
        <v>879320.99000000011</v>
      </c>
      <c r="Y32" s="75">
        <f t="shared" si="10"/>
        <v>809131.48</v>
      </c>
      <c r="AA32" s="75">
        <f>I32-S32</f>
        <v>70189.510000000126</v>
      </c>
      <c r="AB32" s="102"/>
      <c r="AC32" s="81">
        <f>I32/S32</f>
        <v>1.0867467299628488</v>
      </c>
      <c r="AD32" s="75"/>
      <c r="AE32" s="81">
        <f>AC32-1</f>
        <v>8.6746729962848823E-2</v>
      </c>
    </row>
    <row r="33" spans="1:32" s="63" customFormat="1" ht="30" customHeight="1" thickBot="1" x14ac:dyDescent="0.55000000000000004">
      <c r="A33" s="70" t="s">
        <v>265</v>
      </c>
      <c r="B33" s="82">
        <f>SUM(B30:B32)</f>
        <v>6183606.2400000002</v>
      </c>
      <c r="C33" s="82">
        <f t="shared" ref="C33:I33" si="11">SUM(C30:C32)</f>
        <v>64479.469999999994</v>
      </c>
      <c r="D33" s="82">
        <f t="shared" si="11"/>
        <v>1046827.1600000001</v>
      </c>
      <c r="E33" s="82">
        <f t="shared" si="11"/>
        <v>14614.720000000001</v>
      </c>
      <c r="F33" s="82">
        <f t="shared" si="11"/>
        <v>566674.03999999992</v>
      </c>
      <c r="G33" s="82">
        <f>SUM(G30:G32)</f>
        <v>86431.430000000022</v>
      </c>
      <c r="H33" s="82">
        <f t="shared" si="11"/>
        <v>133467.19</v>
      </c>
      <c r="I33" s="82">
        <f t="shared" si="11"/>
        <v>8096100.2500000019</v>
      </c>
      <c r="J33" s="62"/>
      <c r="K33" s="71" t="s">
        <v>265</v>
      </c>
      <c r="L33" s="82">
        <f>SUM(L30:L32)</f>
        <v>5564062.75</v>
      </c>
      <c r="M33" s="82">
        <f t="shared" ref="M33:R33" si="12">SUM(M30:M32)</f>
        <v>75178.080000000002</v>
      </c>
      <c r="N33" s="82">
        <f t="shared" si="12"/>
        <v>760899.71000000008</v>
      </c>
      <c r="O33" s="82">
        <f t="shared" si="12"/>
        <v>4487.51</v>
      </c>
      <c r="P33" s="82">
        <f t="shared" si="12"/>
        <v>603373.44999999995</v>
      </c>
      <c r="Q33" s="82">
        <f>SUM(Q30:Q32)</f>
        <v>47924.04</v>
      </c>
      <c r="R33" s="82">
        <f t="shared" si="12"/>
        <v>3048.58</v>
      </c>
      <c r="S33" s="82">
        <f>SUM(S30:S32)</f>
        <v>7058974.120000001</v>
      </c>
      <c r="T33" s="99"/>
      <c r="U33" s="71" t="s">
        <v>265</v>
      </c>
      <c r="W33" s="83">
        <f>I33</f>
        <v>8096100.2500000019</v>
      </c>
      <c r="Y33" s="83">
        <f t="shared" si="10"/>
        <v>7058974.120000001</v>
      </c>
      <c r="AA33" s="83">
        <f>I33-S33</f>
        <v>1037126.1300000008</v>
      </c>
      <c r="AB33" s="102"/>
      <c r="AC33" s="85">
        <f>I33/S33</f>
        <v>1.1469230673422557</v>
      </c>
      <c r="AD33" s="83"/>
      <c r="AE33" s="85">
        <f>AC33-1</f>
        <v>0.14692306734225569</v>
      </c>
    </row>
    <row r="34" spans="1:32" s="63" customFormat="1" ht="30" customHeight="1" x14ac:dyDescent="0.5">
      <c r="B34" s="72"/>
      <c r="C34" s="72"/>
      <c r="D34" s="72"/>
      <c r="E34" s="72"/>
      <c r="F34" s="72"/>
      <c r="G34" s="72"/>
      <c r="H34" s="72"/>
      <c r="I34" s="72"/>
      <c r="J34" s="62"/>
      <c r="K34" s="62"/>
      <c r="L34" s="72"/>
      <c r="M34" s="72"/>
      <c r="N34" s="72"/>
      <c r="O34" s="72"/>
      <c r="P34" s="72"/>
      <c r="Q34" s="72"/>
      <c r="R34" s="72"/>
      <c r="S34" s="72"/>
      <c r="T34" s="72"/>
      <c r="U34" s="62"/>
      <c r="W34" s="66"/>
      <c r="Y34" s="66">
        <f t="shared" si="10"/>
        <v>0</v>
      </c>
      <c r="AA34" s="66"/>
      <c r="AB34" s="103"/>
      <c r="AC34" s="81"/>
      <c r="AD34" s="66"/>
      <c r="AE34" s="81"/>
    </row>
    <row r="35" spans="1:32" s="63" customFormat="1" ht="30" customHeight="1" x14ac:dyDescent="0.5">
      <c r="A35" s="70" t="s">
        <v>468</v>
      </c>
      <c r="B35" s="72">
        <f>'Comp YTD 2018-2017 10.18.18'!B114</f>
        <v>754239.5199999999</v>
      </c>
      <c r="C35" s="72">
        <f>'Comp YTD 2018-2017 10.18.18'!C114</f>
        <v>-350671.46</v>
      </c>
      <c r="D35" s="72">
        <f>'Comp YTD 2018-2017 10.18.18'!D114</f>
        <v>137046.60999999999</v>
      </c>
      <c r="E35" s="72">
        <f>'Comp YTD 2018-2017 10.18.18'!E114</f>
        <v>35023.849999999991</v>
      </c>
      <c r="F35" s="72">
        <f>'Comp YTD 2018-2017 10.18.18'!F114</f>
        <v>-36194.26</v>
      </c>
      <c r="G35" s="72">
        <f>'Comp YTD 2018-2017 10.18.18'!G114</f>
        <v>184131.49000000002</v>
      </c>
      <c r="H35" s="72">
        <f>'Comp YTD 2018-2017 10.18.18'!H114</f>
        <v>142500</v>
      </c>
      <c r="I35" s="72">
        <f>SUM(B35:H35)</f>
        <v>866075.74999999988</v>
      </c>
      <c r="J35" s="62"/>
      <c r="K35" s="70" t="s">
        <v>468</v>
      </c>
      <c r="L35" s="72">
        <f>'Comp YTD 2018-2017 10.18.18'!M114</f>
        <v>325097.06</v>
      </c>
      <c r="M35" s="72">
        <f>'Comp YTD 2018-2017 10.18.18'!N114</f>
        <v>-309547.5</v>
      </c>
      <c r="N35" s="72">
        <f>'Comp YTD 2018-2017 10.18.18'!O114</f>
        <v>-10000</v>
      </c>
      <c r="O35" s="72">
        <f>'Comp YTD 2018-2017 10.18.18'!P114</f>
        <v>75031.069999999992</v>
      </c>
      <c r="P35" s="72">
        <f>'Comp YTD 2018-2017 10.18.18'!Q114</f>
        <v>-46377.36</v>
      </c>
      <c r="Q35" s="72">
        <f>'Comp YTD 2018-2017 10.18.18'!R114</f>
        <v>343567.18</v>
      </c>
      <c r="R35" s="72">
        <f>'Comp YTD 2018-2017 10.18.18'!S114</f>
        <v>100000</v>
      </c>
      <c r="S35" s="72">
        <f>SUM(L35:R35)</f>
        <v>477770.44999999995</v>
      </c>
      <c r="T35" s="72"/>
      <c r="U35" s="70" t="s">
        <v>468</v>
      </c>
      <c r="W35" s="66">
        <f>I35</f>
        <v>866075.74999999988</v>
      </c>
      <c r="Y35" s="66">
        <f t="shared" si="10"/>
        <v>477770.44999999995</v>
      </c>
      <c r="AA35" s="66">
        <f>I35-S35</f>
        <v>388305.29999999993</v>
      </c>
      <c r="AB35" s="103"/>
      <c r="AC35" s="81">
        <f>I35/S35</f>
        <v>1.8127444884881432</v>
      </c>
      <c r="AD35" s="67"/>
      <c r="AE35" s="81">
        <f>AC35-1</f>
        <v>0.81274448848814318</v>
      </c>
      <c r="AF35" s="67"/>
    </row>
    <row r="36" spans="1:32" s="63" customFormat="1" ht="30" customHeight="1" x14ac:dyDescent="0.5">
      <c r="A36" s="70"/>
      <c r="B36" s="72"/>
      <c r="C36" s="72"/>
      <c r="D36" s="72"/>
      <c r="E36" s="72"/>
      <c r="F36" s="72"/>
      <c r="G36" s="72"/>
      <c r="H36" s="72"/>
      <c r="I36" s="72">
        <f>SUM(B36:H36)</f>
        <v>0</v>
      </c>
      <c r="J36" s="73"/>
      <c r="K36" s="71"/>
      <c r="L36" s="72"/>
      <c r="M36" s="72"/>
      <c r="N36" s="72"/>
      <c r="O36" s="72"/>
      <c r="P36" s="72"/>
      <c r="Q36" s="72"/>
      <c r="R36" s="72"/>
      <c r="S36" s="72">
        <f>SUM(L36:R36)</f>
        <v>0</v>
      </c>
      <c r="T36" s="72"/>
      <c r="U36" s="71"/>
      <c r="V36" s="74"/>
      <c r="W36" s="75"/>
      <c r="X36" s="74"/>
      <c r="Y36" s="75">
        <f t="shared" si="10"/>
        <v>0</v>
      </c>
      <c r="Z36" s="74"/>
      <c r="AA36" s="75"/>
      <c r="AB36" s="102"/>
      <c r="AC36" s="67"/>
      <c r="AD36" s="67"/>
      <c r="AE36" s="67"/>
      <c r="AF36" s="67"/>
    </row>
    <row r="37" spans="1:32" s="63" customFormat="1" ht="30" customHeight="1" thickBot="1" x14ac:dyDescent="0.55000000000000004">
      <c r="A37" s="70" t="s">
        <v>267</v>
      </c>
      <c r="B37" s="86">
        <f t="shared" ref="B37:I37" si="13">B27-B33+B35</f>
        <v>-866177.09999820741</v>
      </c>
      <c r="C37" s="86">
        <f t="shared" si="13"/>
        <v>409024.82000001491</v>
      </c>
      <c r="D37" s="86">
        <f t="shared" si="13"/>
        <v>1266280.71</v>
      </c>
      <c r="E37" s="86">
        <f t="shared" si="13"/>
        <v>20409.12999999999</v>
      </c>
      <c r="F37" s="86">
        <f t="shared" si="13"/>
        <v>-57152.549999999806</v>
      </c>
      <c r="G37" s="86">
        <f>G27-G33+G35</f>
        <v>97700.06</v>
      </c>
      <c r="H37" s="86">
        <f t="shared" si="13"/>
        <v>9032.8099999999977</v>
      </c>
      <c r="I37" s="86">
        <f t="shared" si="13"/>
        <v>879117.88000180561</v>
      </c>
      <c r="J37" s="62"/>
      <c r="K37" s="71" t="s">
        <v>267</v>
      </c>
      <c r="L37" s="86">
        <f t="shared" ref="L37:R37" si="14">L27-L33+L35</f>
        <v>-817103.95999807352</v>
      </c>
      <c r="M37" s="86">
        <f t="shared" si="14"/>
        <v>191371.89999999671</v>
      </c>
      <c r="N37" s="86">
        <f t="shared" si="14"/>
        <v>703070.16</v>
      </c>
      <c r="O37" s="86">
        <f t="shared" si="14"/>
        <v>70543.56</v>
      </c>
      <c r="P37" s="86">
        <f t="shared" si="14"/>
        <v>-98430.059999999954</v>
      </c>
      <c r="Q37" s="86">
        <f>Q27-Q33+Q35</f>
        <v>295643.14</v>
      </c>
      <c r="R37" s="86">
        <f t="shared" si="14"/>
        <v>96951.42</v>
      </c>
      <c r="S37" s="86">
        <f>SUM(L37:R37)</f>
        <v>442046.16000192321</v>
      </c>
      <c r="T37" s="100"/>
      <c r="U37" s="71" t="s">
        <v>267</v>
      </c>
      <c r="W37" s="87">
        <f>W27-W33+W35</f>
        <v>879117.88000180561</v>
      </c>
      <c r="Y37" s="87">
        <f t="shared" si="10"/>
        <v>442046.16000192321</v>
      </c>
      <c r="AA37" s="87">
        <f>I37-S37</f>
        <v>437071.71999988239</v>
      </c>
      <c r="AB37" s="104"/>
      <c r="AC37" s="84">
        <f>I37/S37</f>
        <v>1.988746786077682</v>
      </c>
      <c r="AD37" s="83"/>
      <c r="AE37" s="84">
        <f>AC37-1</f>
        <v>0.98874678607768196</v>
      </c>
      <c r="AF37" s="67"/>
    </row>
    <row r="38" spans="1:32" ht="30" customHeight="1" thickTop="1" x14ac:dyDescent="0.25">
      <c r="B38" s="59"/>
      <c r="C38" s="59"/>
      <c r="D38" s="59"/>
      <c r="E38" s="59"/>
      <c r="F38" s="59"/>
      <c r="G38" s="59"/>
      <c r="H38" s="59"/>
      <c r="I38" s="59"/>
      <c r="AB38" s="105"/>
      <c r="AD38" s="49"/>
      <c r="AF38" s="49"/>
    </row>
    <row r="39" spans="1:32" ht="30" customHeight="1" x14ac:dyDescent="0.25">
      <c r="AB39" s="105"/>
      <c r="AD39" s="49"/>
      <c r="AF39" s="49"/>
    </row>
    <row r="40" spans="1:32" s="63" customFormat="1" ht="30" customHeight="1" x14ac:dyDescent="0.5">
      <c r="A40" s="63" t="s">
        <v>332</v>
      </c>
      <c r="B40" s="72">
        <v>-866177.10000047239</v>
      </c>
      <c r="C40" s="109">
        <v>409024.82</v>
      </c>
      <c r="D40" s="109">
        <v>1266280.71</v>
      </c>
      <c r="E40" s="109">
        <v>20409.13</v>
      </c>
      <c r="F40" s="109">
        <v>-57152.555</v>
      </c>
      <c r="G40" s="109">
        <v>97700.06</v>
      </c>
      <c r="H40" s="109">
        <v>9032.81</v>
      </c>
      <c r="I40" s="72">
        <f>SUM(B40:H40)</f>
        <v>879117.87499952759</v>
      </c>
      <c r="J40" s="73"/>
      <c r="K40" s="62"/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f>SUM(L40:R40)</f>
        <v>0</v>
      </c>
      <c r="T40" s="72"/>
      <c r="U40" s="62"/>
      <c r="V40" s="74"/>
      <c r="W40" s="75"/>
      <c r="X40" s="74"/>
      <c r="Y40" s="75"/>
      <c r="Z40" s="74"/>
      <c r="AA40" s="75"/>
      <c r="AB40" s="75"/>
      <c r="AC40" s="67"/>
      <c r="AD40" s="67"/>
      <c r="AE40" s="67"/>
      <c r="AF40" s="67"/>
    </row>
    <row r="41" spans="1:32" s="63" customFormat="1" ht="30" customHeight="1" x14ac:dyDescent="0.5">
      <c r="B41" s="72">
        <f t="shared" ref="B41:I41" si="15">B37-B40</f>
        <v>2.2649765014648438E-6</v>
      </c>
      <c r="C41" s="109">
        <f t="shared" si="15"/>
        <v>1.4901161193847656E-8</v>
      </c>
      <c r="D41" s="109">
        <f t="shared" si="15"/>
        <v>0</v>
      </c>
      <c r="E41" s="109">
        <f t="shared" si="15"/>
        <v>0</v>
      </c>
      <c r="F41" s="109">
        <f t="shared" si="15"/>
        <v>5.0000001938315108E-3</v>
      </c>
      <c r="G41" s="109">
        <f t="shared" si="15"/>
        <v>0</v>
      </c>
      <c r="H41" s="109">
        <f t="shared" si="15"/>
        <v>0</v>
      </c>
      <c r="I41" s="72">
        <f t="shared" si="15"/>
        <v>5.0022780196741223E-3</v>
      </c>
      <c r="J41" s="73"/>
      <c r="K41" s="62"/>
      <c r="L41" s="72">
        <f>L37-L40</f>
        <v>-817103.95999807352</v>
      </c>
      <c r="M41" s="72">
        <f t="shared" ref="M41:R41" si="16">M37-M40</f>
        <v>191371.89999999671</v>
      </c>
      <c r="N41" s="72">
        <f t="shared" si="16"/>
        <v>703070.16</v>
      </c>
      <c r="O41" s="72">
        <f t="shared" si="16"/>
        <v>70543.56</v>
      </c>
      <c r="P41" s="72">
        <f t="shared" si="16"/>
        <v>-98430.059999999954</v>
      </c>
      <c r="Q41" s="72">
        <f>Q37-Q40</f>
        <v>295643.14</v>
      </c>
      <c r="R41" s="72">
        <f t="shared" si="16"/>
        <v>96951.42</v>
      </c>
      <c r="S41" s="72">
        <f>S37-S40</f>
        <v>442046.16000192321</v>
      </c>
      <c r="T41" s="72"/>
      <c r="U41" s="62"/>
      <c r="V41" s="74"/>
      <c r="W41" s="75">
        <f>I37-W37</f>
        <v>0</v>
      </c>
      <c r="X41" s="74"/>
      <c r="Y41" s="75">
        <f>Y37-S37</f>
        <v>0</v>
      </c>
      <c r="Z41" s="74"/>
      <c r="AA41" s="75">
        <f>AA21-AA25-AA33+AA35-AA37</f>
        <v>-1.6938429325819016E-7</v>
      </c>
      <c r="AB41" s="75"/>
      <c r="AC41" s="67"/>
      <c r="AD41" s="67"/>
      <c r="AE41" s="67"/>
      <c r="AF41" s="67"/>
    </row>
    <row r="42" spans="1:32" s="63" customFormat="1" ht="30" customHeight="1" x14ac:dyDescent="0.5">
      <c r="B42" s="72"/>
      <c r="C42" s="72"/>
      <c r="D42" s="72"/>
      <c r="E42" s="72"/>
      <c r="F42" s="72"/>
      <c r="G42" s="72"/>
      <c r="H42" s="72"/>
      <c r="I42" s="72"/>
      <c r="J42" s="73"/>
      <c r="K42" s="62"/>
      <c r="L42" s="72"/>
      <c r="M42" s="72"/>
      <c r="N42" s="72"/>
      <c r="O42" s="72"/>
      <c r="P42" s="72"/>
      <c r="Q42" s="72"/>
      <c r="R42" s="72"/>
      <c r="S42" s="72"/>
      <c r="T42" s="72"/>
      <c r="U42" s="62"/>
      <c r="V42" s="74"/>
      <c r="W42" s="75"/>
      <c r="X42" s="74"/>
      <c r="Y42" s="75"/>
      <c r="Z42" s="74"/>
      <c r="AA42" s="75"/>
      <c r="AB42" s="75"/>
      <c r="AC42" s="67"/>
      <c r="AD42" s="67"/>
      <c r="AE42" s="67"/>
      <c r="AF42" s="67"/>
    </row>
    <row r="43" spans="1:32" x14ac:dyDescent="0.25">
      <c r="B43" s="57"/>
      <c r="C43" s="57"/>
      <c r="D43" s="57"/>
      <c r="E43" s="57"/>
    </row>
    <row r="44" spans="1:32" x14ac:dyDescent="0.25">
      <c r="B44" s="57"/>
      <c r="C44" s="57"/>
      <c r="D44" s="57"/>
      <c r="E44" s="57"/>
    </row>
    <row r="45" spans="1:32" x14ac:dyDescent="0.25">
      <c r="B45" s="57"/>
      <c r="C45" s="57"/>
      <c r="D45" s="57"/>
      <c r="E45" s="57"/>
    </row>
    <row r="46" spans="1:32" x14ac:dyDescent="0.25">
      <c r="B46" s="57"/>
      <c r="C46" s="57"/>
      <c r="D46" s="57"/>
      <c r="E46" s="57"/>
    </row>
    <row r="47" spans="1:32" x14ac:dyDescent="0.25">
      <c r="B47" s="57"/>
      <c r="C47" s="57"/>
      <c r="D47" s="57"/>
      <c r="E47" s="57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G150"/>
  <sheetViews>
    <sheetView zoomScale="25" zoomScaleNormal="25" zoomScaleSheetLayoutView="30" workbookViewId="0">
      <pane ySplit="14" topLeftCell="A117" activePane="bottomLeft" state="frozen"/>
      <selection activeCell="B82" sqref="B82"/>
      <selection pane="bottomLeft" activeCell="C123" sqref="C123:D138"/>
    </sheetView>
  </sheetViews>
  <sheetFormatPr defaultRowHeight="57.75" x14ac:dyDescent="0.85"/>
  <cols>
    <col min="1" max="1" width="179.85546875" style="126" customWidth="1"/>
    <col min="2" max="2" width="72.5703125" style="127" customWidth="1"/>
    <col min="3" max="8" width="65.7109375" style="127" customWidth="1"/>
    <col min="9" max="9" width="72.5703125" style="127" customWidth="1"/>
    <col min="10" max="10" width="40.7109375" style="127" customWidth="1"/>
    <col min="11" max="11" width="11.42578125" style="127" customWidth="1"/>
    <col min="12" max="12" width="155.42578125" style="127" bestFit="1" customWidth="1"/>
    <col min="13" max="13" width="78.7109375" style="127" customWidth="1"/>
    <col min="14" max="14" width="73.28515625" style="127" bestFit="1" customWidth="1"/>
    <col min="15" max="15" width="57.7109375" style="127" customWidth="1"/>
    <col min="16" max="16" width="69.7109375" style="127" customWidth="1"/>
    <col min="17" max="17" width="54" style="127" customWidth="1"/>
    <col min="18" max="18" width="68.28515625" style="127" customWidth="1"/>
    <col min="19" max="19" width="72.140625" style="127" customWidth="1"/>
    <col min="20" max="20" width="80.7109375" style="127" customWidth="1"/>
    <col min="21" max="21" width="50.140625" style="126" customWidth="1"/>
    <col min="22" max="22" width="155.42578125" style="127" bestFit="1" customWidth="1"/>
    <col min="23" max="23" width="11.42578125" style="126" customWidth="1"/>
    <col min="24" max="24" width="80.7109375" style="126" customWidth="1"/>
    <col min="25" max="25" width="11.42578125" style="126" customWidth="1"/>
    <col min="26" max="26" width="80.7109375" style="126" customWidth="1"/>
    <col min="27" max="27" width="11.42578125" style="126" customWidth="1"/>
    <col min="28" max="28" width="80.7109375" style="128" customWidth="1"/>
    <col min="29" max="29" width="4.28515625" style="128" customWidth="1"/>
    <col min="30" max="30" width="80.7109375" style="129" customWidth="1"/>
    <col min="31" max="31" width="4.28515625" style="128" customWidth="1"/>
    <col min="32" max="32" width="50.7109375" style="129" customWidth="1"/>
  </cols>
  <sheetData>
    <row r="2" spans="1:32" ht="40.5" customHeight="1" x14ac:dyDescent="0.85">
      <c r="A2" s="226" t="s">
        <v>348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</row>
    <row r="3" spans="1:32" ht="40.5" customHeight="1" x14ac:dyDescent="0.85">
      <c r="A3" s="226" t="s">
        <v>471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</row>
    <row r="4" spans="1:32" ht="14.25" customHeight="1" thickBot="1" x14ac:dyDescent="0.9"/>
    <row r="5" spans="1:32" s="54" customFormat="1" ht="54.95" customHeight="1" x14ac:dyDescent="0.85">
      <c r="A5" s="227">
        <v>2018</v>
      </c>
      <c r="B5" s="228"/>
      <c r="C5" s="228"/>
      <c r="D5" s="228"/>
      <c r="E5" s="228"/>
      <c r="F5" s="228"/>
      <c r="G5" s="228"/>
      <c r="H5" s="228"/>
      <c r="I5" s="228"/>
      <c r="J5" s="229"/>
      <c r="K5" s="127"/>
      <c r="L5" s="227">
        <v>2017</v>
      </c>
      <c r="M5" s="228"/>
      <c r="N5" s="228"/>
      <c r="O5" s="228"/>
      <c r="P5" s="228"/>
      <c r="Q5" s="228"/>
      <c r="R5" s="228"/>
      <c r="S5" s="228"/>
      <c r="T5" s="228"/>
      <c r="U5" s="229"/>
      <c r="V5" s="214" t="s">
        <v>407</v>
      </c>
      <c r="W5" s="215"/>
      <c r="X5" s="215"/>
      <c r="Y5" s="215"/>
      <c r="Z5" s="215"/>
      <c r="AA5" s="215"/>
      <c r="AB5" s="215"/>
      <c r="AC5" s="215"/>
      <c r="AD5" s="215"/>
      <c r="AE5" s="215"/>
      <c r="AF5" s="216"/>
    </row>
    <row r="6" spans="1:32" s="54" customFormat="1" ht="54.95" customHeight="1" x14ac:dyDescent="0.85">
      <c r="A6" s="230" t="s">
        <v>408</v>
      </c>
      <c r="B6" s="231"/>
      <c r="C6" s="231"/>
      <c r="D6" s="231"/>
      <c r="E6" s="231"/>
      <c r="F6" s="231"/>
      <c r="G6" s="231"/>
      <c r="H6" s="231"/>
      <c r="I6" s="231"/>
      <c r="J6" s="232"/>
      <c r="K6" s="127"/>
      <c r="L6" s="230" t="s">
        <v>408</v>
      </c>
      <c r="M6" s="231"/>
      <c r="N6" s="231"/>
      <c r="O6" s="231"/>
      <c r="P6" s="231"/>
      <c r="Q6" s="231"/>
      <c r="R6" s="231"/>
      <c r="S6" s="231"/>
      <c r="T6" s="231"/>
      <c r="U6" s="232"/>
      <c r="V6" s="217"/>
      <c r="W6" s="218"/>
      <c r="X6" s="218"/>
      <c r="Y6" s="218"/>
      <c r="Z6" s="218"/>
      <c r="AA6" s="218"/>
      <c r="AB6" s="218"/>
      <c r="AC6" s="218"/>
      <c r="AD6" s="218"/>
      <c r="AE6" s="218"/>
      <c r="AF6" s="219"/>
    </row>
    <row r="7" spans="1:32" s="54" customFormat="1" ht="54.95" customHeight="1" x14ac:dyDescent="0.85">
      <c r="A7" s="230" t="s">
        <v>347</v>
      </c>
      <c r="B7" s="231"/>
      <c r="C7" s="231"/>
      <c r="D7" s="231"/>
      <c r="E7" s="231"/>
      <c r="F7" s="231"/>
      <c r="G7" s="231"/>
      <c r="H7" s="231"/>
      <c r="I7" s="231"/>
      <c r="J7" s="232"/>
      <c r="K7" s="127"/>
      <c r="L7" s="230" t="s">
        <v>347</v>
      </c>
      <c r="M7" s="231"/>
      <c r="N7" s="231"/>
      <c r="O7" s="231"/>
      <c r="P7" s="231"/>
      <c r="Q7" s="231"/>
      <c r="R7" s="231"/>
      <c r="S7" s="231"/>
      <c r="T7" s="231"/>
      <c r="U7" s="232"/>
      <c r="V7" s="217"/>
      <c r="W7" s="218"/>
      <c r="X7" s="218"/>
      <c r="Y7" s="218"/>
      <c r="Z7" s="218"/>
      <c r="AA7" s="218"/>
      <c r="AB7" s="218"/>
      <c r="AC7" s="218"/>
      <c r="AD7" s="218"/>
      <c r="AE7" s="218"/>
      <c r="AF7" s="219"/>
    </row>
    <row r="8" spans="1:32" s="54" customFormat="1" ht="54.95" customHeight="1" thickBot="1" x14ac:dyDescent="0.9">
      <c r="A8" s="223">
        <v>43373</v>
      </c>
      <c r="B8" s="224"/>
      <c r="C8" s="224"/>
      <c r="D8" s="224"/>
      <c r="E8" s="224"/>
      <c r="F8" s="224"/>
      <c r="G8" s="224"/>
      <c r="H8" s="224"/>
      <c r="I8" s="224"/>
      <c r="J8" s="225"/>
      <c r="K8" s="127"/>
      <c r="L8" s="223">
        <v>43008</v>
      </c>
      <c r="M8" s="224"/>
      <c r="N8" s="224"/>
      <c r="O8" s="224"/>
      <c r="P8" s="224"/>
      <c r="Q8" s="224"/>
      <c r="R8" s="224"/>
      <c r="S8" s="224"/>
      <c r="T8" s="224"/>
      <c r="U8" s="225"/>
      <c r="V8" s="220"/>
      <c r="W8" s="221"/>
      <c r="X8" s="221"/>
      <c r="Y8" s="221"/>
      <c r="Z8" s="221"/>
      <c r="AA8" s="221"/>
      <c r="AB8" s="221"/>
      <c r="AC8" s="221"/>
      <c r="AD8" s="221"/>
      <c r="AE8" s="221"/>
      <c r="AF8" s="222"/>
    </row>
    <row r="9" spans="1:32" s="63" customFormat="1" ht="54.95" customHeight="1" x14ac:dyDescent="0.85">
      <c r="A9" s="130"/>
      <c r="B9" s="131"/>
      <c r="C9" s="131"/>
      <c r="D9" s="131"/>
      <c r="E9" s="131"/>
      <c r="F9" s="131"/>
      <c r="G9" s="131"/>
      <c r="H9" s="131"/>
      <c r="I9" s="131"/>
      <c r="J9" s="131"/>
      <c r="K9" s="127"/>
      <c r="L9" s="131"/>
      <c r="M9" s="131"/>
      <c r="N9" s="131"/>
      <c r="O9" s="131"/>
      <c r="P9" s="131"/>
      <c r="Q9" s="131"/>
      <c r="R9" s="131"/>
      <c r="S9" s="131"/>
      <c r="T9" s="131"/>
      <c r="U9" s="130"/>
      <c r="V9" s="131"/>
      <c r="W9" s="126"/>
      <c r="X9" s="132"/>
      <c r="Y9" s="126"/>
      <c r="Z9" s="132"/>
      <c r="AA9" s="126"/>
      <c r="AB9" s="132"/>
      <c r="AC9" s="132"/>
      <c r="AD9" s="132"/>
      <c r="AE9" s="132"/>
      <c r="AF9" s="132"/>
    </row>
    <row r="10" spans="1:32" s="63" customFormat="1" ht="54.95" customHeight="1" x14ac:dyDescent="0.85">
      <c r="A10" s="126"/>
      <c r="B10" s="127"/>
      <c r="C10" s="127"/>
      <c r="D10" s="127"/>
      <c r="E10" s="127"/>
      <c r="F10" s="127"/>
      <c r="G10" s="127"/>
      <c r="H10" s="127"/>
      <c r="I10" s="127"/>
      <c r="J10" s="131">
        <v>2018</v>
      </c>
      <c r="K10" s="131"/>
      <c r="L10" s="133"/>
      <c r="M10" s="133"/>
      <c r="N10" s="133"/>
      <c r="O10" s="133"/>
      <c r="P10" s="133"/>
      <c r="Q10" s="133"/>
      <c r="R10" s="133"/>
      <c r="S10" s="133"/>
      <c r="T10" s="133"/>
      <c r="U10" s="130">
        <v>2017</v>
      </c>
      <c r="V10" s="133"/>
      <c r="W10" s="130"/>
      <c r="X10" s="128"/>
      <c r="Y10" s="130"/>
      <c r="Z10" s="128"/>
      <c r="AA10" s="130"/>
      <c r="AB10" s="128"/>
      <c r="AC10" s="128"/>
      <c r="AD10" s="129"/>
      <c r="AE10" s="128"/>
      <c r="AF10" s="129"/>
    </row>
    <row r="11" spans="1:32" s="63" customFormat="1" ht="54.95" customHeight="1" x14ac:dyDescent="0.85">
      <c r="A11" s="126"/>
      <c r="B11" s="127"/>
      <c r="C11" s="127"/>
      <c r="D11" s="127"/>
      <c r="E11" s="127"/>
      <c r="F11" s="127"/>
      <c r="G11" s="127"/>
      <c r="H11" s="127"/>
      <c r="I11" s="127"/>
      <c r="J11" s="131" t="s">
        <v>346</v>
      </c>
      <c r="K11" s="131"/>
      <c r="L11" s="133"/>
      <c r="M11" s="133"/>
      <c r="N11" s="133"/>
      <c r="O11" s="133"/>
      <c r="P11" s="133"/>
      <c r="Q11" s="133"/>
      <c r="R11" s="133"/>
      <c r="S11" s="133"/>
      <c r="T11" s="133"/>
      <c r="U11" s="130" t="s">
        <v>346</v>
      </c>
      <c r="V11" s="133"/>
      <c r="W11" s="130"/>
      <c r="X11" s="128"/>
      <c r="Y11" s="130"/>
      <c r="Z11" s="128"/>
      <c r="AA11" s="130"/>
      <c r="AB11" s="128"/>
      <c r="AC11" s="128"/>
      <c r="AD11" s="130" t="s">
        <v>341</v>
      </c>
      <c r="AE11" s="128"/>
      <c r="AF11" s="129"/>
    </row>
    <row r="12" spans="1:32" s="63" customFormat="1" ht="54.95" customHeight="1" x14ac:dyDescent="0.85">
      <c r="A12" s="126"/>
      <c r="B12" s="127"/>
      <c r="C12" s="127"/>
      <c r="D12" s="127"/>
      <c r="E12" s="127"/>
      <c r="F12" s="127"/>
      <c r="G12" s="127"/>
      <c r="H12" s="127"/>
      <c r="I12" s="127"/>
      <c r="J12" s="131" t="s">
        <v>344</v>
      </c>
      <c r="K12" s="131"/>
      <c r="L12" s="127"/>
      <c r="M12" s="127"/>
      <c r="N12" s="127"/>
      <c r="O12" s="127"/>
      <c r="P12" s="127"/>
      <c r="Q12" s="127"/>
      <c r="R12" s="127"/>
      <c r="S12" s="127"/>
      <c r="T12" s="127"/>
      <c r="U12" s="130" t="s">
        <v>344</v>
      </c>
      <c r="V12" s="127"/>
      <c r="W12" s="130"/>
      <c r="X12" s="130"/>
      <c r="Y12" s="130"/>
      <c r="Z12" s="130"/>
      <c r="AA12" s="130"/>
      <c r="AB12" s="130" t="s">
        <v>341</v>
      </c>
      <c r="AC12" s="130"/>
      <c r="AD12" s="129" t="s">
        <v>344</v>
      </c>
      <c r="AE12" s="130"/>
      <c r="AF12" s="130" t="s">
        <v>343</v>
      </c>
    </row>
    <row r="13" spans="1:32" s="63" customFormat="1" ht="54.95" customHeight="1" x14ac:dyDescent="0.85">
      <c r="A13" s="126"/>
      <c r="B13" s="127"/>
      <c r="C13" s="127"/>
      <c r="D13" s="127"/>
      <c r="E13" s="127"/>
      <c r="F13" s="127"/>
      <c r="G13" s="127"/>
      <c r="H13" s="127"/>
      <c r="I13" s="131" t="s">
        <v>207</v>
      </c>
      <c r="J13" s="131" t="s">
        <v>207</v>
      </c>
      <c r="K13" s="131"/>
      <c r="L13" s="127"/>
      <c r="M13" s="127"/>
      <c r="N13" s="127"/>
      <c r="O13" s="127"/>
      <c r="P13" s="127"/>
      <c r="Q13" s="127"/>
      <c r="R13" s="127"/>
      <c r="S13" s="127"/>
      <c r="T13" s="131" t="s">
        <v>207</v>
      </c>
      <c r="U13" s="130" t="s">
        <v>207</v>
      </c>
      <c r="V13" s="127"/>
      <c r="W13" s="130"/>
      <c r="X13" s="130">
        <v>2018</v>
      </c>
      <c r="Y13" s="130"/>
      <c r="Z13" s="130">
        <v>2017</v>
      </c>
      <c r="AA13" s="130"/>
      <c r="AB13" s="130" t="s">
        <v>342</v>
      </c>
      <c r="AC13" s="130"/>
      <c r="AD13" s="130" t="s">
        <v>342</v>
      </c>
      <c r="AE13" s="130"/>
      <c r="AF13" s="130" t="s">
        <v>345</v>
      </c>
    </row>
    <row r="14" spans="1:32" s="63" customFormat="1" ht="54.95" customHeight="1" x14ac:dyDescent="0.85">
      <c r="A14" s="126"/>
      <c r="B14" s="134" t="s">
        <v>212</v>
      </c>
      <c r="C14" s="134" t="s">
        <v>214</v>
      </c>
      <c r="D14" s="134" t="s">
        <v>213</v>
      </c>
      <c r="E14" s="134" t="s">
        <v>215</v>
      </c>
      <c r="F14" s="134" t="s">
        <v>216</v>
      </c>
      <c r="G14" s="134" t="s">
        <v>409</v>
      </c>
      <c r="H14" s="134" t="s">
        <v>421</v>
      </c>
      <c r="I14" s="134">
        <v>2018</v>
      </c>
      <c r="J14" s="135" t="s">
        <v>340</v>
      </c>
      <c r="K14" s="135"/>
      <c r="L14" s="127"/>
      <c r="M14" s="134" t="s">
        <v>212</v>
      </c>
      <c r="N14" s="134" t="s">
        <v>214</v>
      </c>
      <c r="O14" s="134" t="s">
        <v>213</v>
      </c>
      <c r="P14" s="134" t="s">
        <v>215</v>
      </c>
      <c r="Q14" s="134" t="s">
        <v>216</v>
      </c>
      <c r="R14" s="134" t="s">
        <v>409</v>
      </c>
      <c r="S14" s="134" t="s">
        <v>421</v>
      </c>
      <c r="T14" s="134">
        <v>2017</v>
      </c>
      <c r="U14" s="135" t="s">
        <v>340</v>
      </c>
      <c r="V14" s="127"/>
      <c r="W14" s="135"/>
      <c r="X14" s="136"/>
      <c r="Y14" s="135"/>
      <c r="Z14" s="136"/>
      <c r="AA14" s="135"/>
      <c r="AB14" s="136" t="s">
        <v>339</v>
      </c>
      <c r="AC14" s="136"/>
      <c r="AD14" s="136" t="s">
        <v>340</v>
      </c>
      <c r="AE14" s="136"/>
      <c r="AF14" s="136" t="s">
        <v>340</v>
      </c>
    </row>
    <row r="15" spans="1:32" s="63" customFormat="1" ht="54.95" customHeight="1" x14ac:dyDescent="0.85">
      <c r="A15" s="137" t="s">
        <v>62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38" t="s">
        <v>62</v>
      </c>
      <c r="M15" s="127"/>
      <c r="N15" s="127"/>
      <c r="O15" s="127"/>
      <c r="P15" s="127"/>
      <c r="Q15" s="127"/>
      <c r="R15" s="127"/>
      <c r="S15" s="127"/>
      <c r="T15" s="127"/>
      <c r="U15" s="126"/>
      <c r="V15" s="138" t="s">
        <v>62</v>
      </c>
      <c r="W15" s="126"/>
      <c r="X15" s="126"/>
      <c r="Y15" s="126"/>
      <c r="Z15" s="126"/>
      <c r="AA15" s="126"/>
      <c r="AB15" s="126"/>
      <c r="AC15" s="126"/>
      <c r="AD15" s="129"/>
      <c r="AE15" s="126"/>
      <c r="AF15" s="129"/>
    </row>
    <row r="16" spans="1:32" s="63" customFormat="1" ht="54.95" customHeight="1" x14ac:dyDescent="0.85">
      <c r="A16" s="127" t="s">
        <v>217</v>
      </c>
      <c r="B16" s="139">
        <f>CNT!N105+CNT!N116</f>
        <v>987640134.21000004</v>
      </c>
      <c r="C16" s="139">
        <f>BPM!K8+BPM!K15</f>
        <v>57867472.350000001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f t="shared" ref="I16:I49" si="0">SUM(B16:H16)</f>
        <v>1045507606.5600001</v>
      </c>
      <c r="J16" s="140">
        <f>I16/$I$23</f>
        <v>0.24990452083606465</v>
      </c>
      <c r="K16" s="140"/>
      <c r="L16" s="127" t="s">
        <v>217</v>
      </c>
      <c r="M16" s="139">
        <f>1401448405.97+-33730913.42</f>
        <v>1367717492.55</v>
      </c>
      <c r="N16" s="139">
        <f>28903208.77-79187.92</f>
        <v>28824020.849999998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f>SUM(M16:S16)</f>
        <v>1396541513.3999999</v>
      </c>
      <c r="U16" s="141">
        <f>T16/$T$23</f>
        <v>0.49973432480410579</v>
      </c>
      <c r="V16" s="127" t="s">
        <v>217</v>
      </c>
      <c r="W16" s="141"/>
      <c r="X16" s="142">
        <f>I16</f>
        <v>1045507606.5600001</v>
      </c>
      <c r="Y16" s="141"/>
      <c r="Z16" s="142">
        <f>T16</f>
        <v>1396541513.3999999</v>
      </c>
      <c r="AA16" s="141"/>
      <c r="AB16" s="142">
        <f>I16-T16</f>
        <v>-351033906.83999979</v>
      </c>
      <c r="AC16" s="142"/>
      <c r="AD16" s="141">
        <f>I16/T16</f>
        <v>0.74864054990719342</v>
      </c>
      <c r="AE16" s="142"/>
      <c r="AF16" s="141">
        <f>AD16-1</f>
        <v>-0.25135945009280658</v>
      </c>
    </row>
    <row r="17" spans="1:32" s="63" customFormat="1" ht="54.95" customHeight="1" x14ac:dyDescent="0.85">
      <c r="A17" s="126" t="s">
        <v>218</v>
      </c>
      <c r="B17" s="139">
        <f>CNT!N106+CNT!N117</f>
        <v>3095980605.7100005</v>
      </c>
      <c r="C17" s="139">
        <f>BPM!K9+BPM!K16</f>
        <v>2741915.1799999997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f t="shared" si="0"/>
        <v>3098722520.8900003</v>
      </c>
      <c r="J17" s="140">
        <f t="shared" ref="J17:J22" si="1">I17/$I$23</f>
        <v>0.74067827142345821</v>
      </c>
      <c r="K17" s="140"/>
      <c r="L17" s="127" t="s">
        <v>218</v>
      </c>
      <c r="M17" s="139">
        <f>1378948171.55+-46277983.36</f>
        <v>1332670188.1900001</v>
      </c>
      <c r="N17" s="139">
        <f>6232136.35-1431.24</f>
        <v>6230705.1099999994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f t="shared" ref="T17:T93" si="2">SUM(M17:S17)</f>
        <v>1338900893.3</v>
      </c>
      <c r="U17" s="141">
        <f t="shared" ref="U17:U22" si="3">T17/$T$23</f>
        <v>0.47910837413198065</v>
      </c>
      <c r="V17" s="127" t="s">
        <v>218</v>
      </c>
      <c r="W17" s="141"/>
      <c r="X17" s="142">
        <f t="shared" ref="X17:X80" si="4">I17</f>
        <v>3098722520.8900003</v>
      </c>
      <c r="Y17" s="141"/>
      <c r="Z17" s="142">
        <f t="shared" ref="Z17:Z80" si="5">T17</f>
        <v>1338900893.3</v>
      </c>
      <c r="AA17" s="141"/>
      <c r="AB17" s="142">
        <f t="shared" ref="AB17:AB23" si="6">I17-T17</f>
        <v>1759821627.5900004</v>
      </c>
      <c r="AC17" s="142"/>
      <c r="AD17" s="141">
        <f t="shared" ref="AD17:AD22" si="7">I17/T17</f>
        <v>2.3143778127241021</v>
      </c>
      <c r="AE17" s="142"/>
      <c r="AF17" s="141">
        <f t="shared" ref="AF17:AF89" si="8">AD17-1</f>
        <v>1.3143778127241021</v>
      </c>
    </row>
    <row r="18" spans="1:32" s="63" customFormat="1" ht="54.95" customHeight="1" x14ac:dyDescent="0.85">
      <c r="A18" s="126" t="s">
        <v>219</v>
      </c>
      <c r="B18" s="139">
        <f>CNT!N107+CNT!N118</f>
        <v>13281836.700000001</v>
      </c>
      <c r="C18" s="139">
        <f>BPM!K10</f>
        <v>275361.21000000002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f t="shared" si="0"/>
        <v>13557197.910000002</v>
      </c>
      <c r="J18" s="140">
        <f t="shared" si="1"/>
        <v>3.2405360098007236E-3</v>
      </c>
      <c r="K18" s="140"/>
      <c r="L18" s="127" t="s">
        <v>219</v>
      </c>
      <c r="M18" s="139">
        <f>18438504.08+-15873.1</f>
        <v>18422630.979999997</v>
      </c>
      <c r="N18" s="139">
        <v>1823263.51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f t="shared" si="2"/>
        <v>20245894.489999998</v>
      </c>
      <c r="U18" s="141">
        <f t="shared" si="3"/>
        <v>7.244731585803868E-3</v>
      </c>
      <c r="V18" s="127" t="s">
        <v>219</v>
      </c>
      <c r="W18" s="141"/>
      <c r="X18" s="142">
        <f t="shared" si="4"/>
        <v>13557197.910000002</v>
      </c>
      <c r="Y18" s="141"/>
      <c r="Z18" s="142">
        <f t="shared" si="5"/>
        <v>20245894.489999998</v>
      </c>
      <c r="AA18" s="141"/>
      <c r="AB18" s="142">
        <f t="shared" si="6"/>
        <v>-6688696.5799999963</v>
      </c>
      <c r="AC18" s="142"/>
      <c r="AD18" s="141">
        <f t="shared" si="7"/>
        <v>0.6696270158227029</v>
      </c>
      <c r="AE18" s="142"/>
      <c r="AF18" s="141">
        <f t="shared" si="8"/>
        <v>-0.3303729841772971</v>
      </c>
    </row>
    <row r="19" spans="1:32" s="63" customFormat="1" ht="54.95" customHeight="1" x14ac:dyDescent="0.85">
      <c r="A19" s="127" t="s">
        <v>427</v>
      </c>
      <c r="B19" s="139">
        <f>CNT!N108+CNT!N119</f>
        <v>11807404.91</v>
      </c>
      <c r="C19" s="139">
        <f>BPM!K11</f>
        <v>21067.5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f t="shared" si="0"/>
        <v>11828472.41</v>
      </c>
      <c r="J19" s="140">
        <f t="shared" si="1"/>
        <v>2.8273239824334281E-3</v>
      </c>
      <c r="K19" s="140"/>
      <c r="L19" s="127" t="s">
        <v>427</v>
      </c>
      <c r="M19" s="139">
        <f>31789098.68+-68810</f>
        <v>31720288.68</v>
      </c>
      <c r="N19" s="139">
        <v>11928.98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f t="shared" si="2"/>
        <v>31732217.66</v>
      </c>
      <c r="U19" s="141">
        <f t="shared" si="3"/>
        <v>1.1354963826496032E-2</v>
      </c>
      <c r="V19" s="127" t="s">
        <v>427</v>
      </c>
      <c r="W19" s="141"/>
      <c r="X19" s="142">
        <f t="shared" si="4"/>
        <v>11828472.41</v>
      </c>
      <c r="Y19" s="141"/>
      <c r="Z19" s="142">
        <f t="shared" si="5"/>
        <v>31732217.66</v>
      </c>
      <c r="AA19" s="141"/>
      <c r="AB19" s="142">
        <f t="shared" si="6"/>
        <v>-19903745.25</v>
      </c>
      <c r="AC19" s="142"/>
      <c r="AD19" s="141">
        <f t="shared" si="7"/>
        <v>0.37275908468604652</v>
      </c>
      <c r="AE19" s="142"/>
      <c r="AF19" s="141">
        <f t="shared" si="8"/>
        <v>-0.62724091531395354</v>
      </c>
    </row>
    <row r="20" spans="1:32" s="63" customFormat="1" ht="54.95" customHeight="1" x14ac:dyDescent="0.85">
      <c r="A20" s="126" t="s">
        <v>220</v>
      </c>
      <c r="B20" s="139">
        <f>CNT!N112+CNT!N122</f>
        <v>5022730.9700000007</v>
      </c>
      <c r="C20" s="139">
        <f>0</f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f t="shared" si="0"/>
        <v>5022730.9700000007</v>
      </c>
      <c r="J20" s="140">
        <f t="shared" si="1"/>
        <v>1.2005681914417313E-3</v>
      </c>
      <c r="K20" s="140"/>
      <c r="L20" s="127" t="s">
        <v>220</v>
      </c>
      <c r="M20" s="139">
        <f>1572053+-4425</f>
        <v>1567628</v>
      </c>
      <c r="N20" s="139">
        <f>32977-2300</f>
        <v>30677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f t="shared" si="2"/>
        <v>1598305</v>
      </c>
      <c r="U20" s="141">
        <f t="shared" si="3"/>
        <v>5.7193277990101057E-4</v>
      </c>
      <c r="V20" s="127" t="s">
        <v>220</v>
      </c>
      <c r="W20" s="141"/>
      <c r="X20" s="142">
        <f t="shared" si="4"/>
        <v>5022730.9700000007</v>
      </c>
      <c r="Y20" s="141"/>
      <c r="Z20" s="142">
        <f t="shared" si="5"/>
        <v>1598305</v>
      </c>
      <c r="AA20" s="141"/>
      <c r="AB20" s="142">
        <f t="shared" si="6"/>
        <v>3424425.9700000007</v>
      </c>
      <c r="AC20" s="142"/>
      <c r="AD20" s="141">
        <f t="shared" si="7"/>
        <v>3.1425359803041353</v>
      </c>
      <c r="AE20" s="142"/>
      <c r="AF20" s="141">
        <f t="shared" si="8"/>
        <v>2.1425359803041353</v>
      </c>
    </row>
    <row r="21" spans="1:32" s="63" customFormat="1" ht="54.95" customHeight="1" x14ac:dyDescent="0.85">
      <c r="A21" s="126" t="s">
        <v>221</v>
      </c>
      <c r="B21" s="139">
        <f>CNT!N123+CNT!N125+CNT!N124+CNT!N126</f>
        <v>2622625.92</v>
      </c>
      <c r="C21" s="139">
        <f>BPM!K12</f>
        <v>2039.82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f t="shared" si="0"/>
        <v>2624665.7399999998</v>
      </c>
      <c r="J21" s="140">
        <f t="shared" si="1"/>
        <v>6.2736591297281297E-4</v>
      </c>
      <c r="K21" s="140"/>
      <c r="L21" s="127" t="s">
        <v>221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f t="shared" si="2"/>
        <v>0</v>
      </c>
      <c r="U21" s="141">
        <f t="shared" si="3"/>
        <v>0</v>
      </c>
      <c r="V21" s="127" t="s">
        <v>221</v>
      </c>
      <c r="W21" s="141"/>
      <c r="X21" s="142">
        <f t="shared" si="4"/>
        <v>2624665.7399999998</v>
      </c>
      <c r="Y21" s="141"/>
      <c r="Z21" s="142">
        <f t="shared" si="5"/>
        <v>0</v>
      </c>
      <c r="AA21" s="141"/>
      <c r="AB21" s="142">
        <f t="shared" si="6"/>
        <v>2624665.7399999998</v>
      </c>
      <c r="AC21" s="142"/>
      <c r="AD21" s="143">
        <v>0</v>
      </c>
      <c r="AE21" s="142"/>
      <c r="AF21" s="143">
        <v>0</v>
      </c>
    </row>
    <row r="22" spans="1:32" s="63" customFormat="1" ht="54.95" customHeight="1" x14ac:dyDescent="0.85">
      <c r="A22" s="126" t="s">
        <v>222</v>
      </c>
      <c r="B22" s="139">
        <f>CNT!N110+CNT!N111+CNT!N113+CNT!N114+CNT!N115+CNT!N109+CNT!N121</f>
        <v>751779.69</v>
      </c>
      <c r="C22" s="139">
        <f>BPM!K14+BPM!K13</f>
        <v>2611630.5</v>
      </c>
      <c r="D22" s="139">
        <f>DEP!K17</f>
        <v>2454254.9000000004</v>
      </c>
      <c r="E22" s="139">
        <v>0</v>
      </c>
      <c r="F22" s="139">
        <f>'BSC (Dome)'!K14</f>
        <v>547363.97000000009</v>
      </c>
      <c r="G22" s="139">
        <v>0</v>
      </c>
      <c r="H22" s="139">
        <v>0</v>
      </c>
      <c r="I22" s="139">
        <f t="shared" si="0"/>
        <v>6365029.0599999996</v>
      </c>
      <c r="J22" s="140">
        <f t="shared" si="1"/>
        <v>1.5214136438285607E-3</v>
      </c>
      <c r="K22" s="140"/>
      <c r="L22" s="127" t="s">
        <v>222</v>
      </c>
      <c r="M22" s="139">
        <f>415+1294974.51+20000+386524.32+51735.58+187966.6+-1807.5</f>
        <v>1939808.5100000002</v>
      </c>
      <c r="N22" s="139">
        <f>192+57651.07+1319010.58</f>
        <v>1376853.6500000001</v>
      </c>
      <c r="O22" s="139">
        <v>1680196.53</v>
      </c>
      <c r="P22" s="139">
        <v>0</v>
      </c>
      <c r="Q22" s="139">
        <v>552239.02</v>
      </c>
      <c r="R22" s="139">
        <v>0</v>
      </c>
      <c r="S22" s="139">
        <v>0</v>
      </c>
      <c r="T22" s="139">
        <f>SUM(M22:S22)</f>
        <v>5549097.7100000009</v>
      </c>
      <c r="U22" s="141">
        <f t="shared" si="3"/>
        <v>1.9856728717126157E-3</v>
      </c>
      <c r="V22" s="127" t="s">
        <v>222</v>
      </c>
      <c r="W22" s="141"/>
      <c r="X22" s="142">
        <f t="shared" si="4"/>
        <v>6365029.0599999996</v>
      </c>
      <c r="Y22" s="141"/>
      <c r="Z22" s="142">
        <f t="shared" si="5"/>
        <v>5549097.7100000009</v>
      </c>
      <c r="AA22" s="141"/>
      <c r="AB22" s="142">
        <f t="shared" si="6"/>
        <v>815931.3499999987</v>
      </c>
      <c r="AC22" s="142"/>
      <c r="AD22" s="141">
        <f t="shared" si="7"/>
        <v>1.1470385624188257</v>
      </c>
      <c r="AE22" s="142"/>
      <c r="AF22" s="141">
        <f t="shared" si="8"/>
        <v>0.14703856241882574</v>
      </c>
    </row>
    <row r="23" spans="1:32" s="63" customFormat="1" ht="54.95" customHeight="1" x14ac:dyDescent="0.85">
      <c r="A23" s="137" t="s">
        <v>223</v>
      </c>
      <c r="B23" s="144">
        <f>SUM(B16:B22)</f>
        <v>4117107118.1100001</v>
      </c>
      <c r="C23" s="144">
        <f>SUM(C16:C22)</f>
        <v>63519486.560000002</v>
      </c>
      <c r="D23" s="144">
        <f t="shared" ref="D23:H23" si="9">SUM(D16:D22)</f>
        <v>2454254.9000000004</v>
      </c>
      <c r="E23" s="144">
        <f t="shared" si="9"/>
        <v>0</v>
      </c>
      <c r="F23" s="144">
        <f>SUM(F16:F22)</f>
        <v>547363.97000000009</v>
      </c>
      <c r="G23" s="144">
        <f>SUM(G16:G22)</f>
        <v>0</v>
      </c>
      <c r="H23" s="144">
        <f t="shared" si="9"/>
        <v>0</v>
      </c>
      <c r="I23" s="144">
        <f t="shared" si="0"/>
        <v>4183628223.54</v>
      </c>
      <c r="J23" s="145">
        <f>SUM(J16:J22)</f>
        <v>1.0000000000000002</v>
      </c>
      <c r="K23" s="146"/>
      <c r="L23" s="138" t="s">
        <v>223</v>
      </c>
      <c r="M23" s="144">
        <f>SUM(M16:M22)</f>
        <v>2754038036.9099998</v>
      </c>
      <c r="N23" s="144">
        <f t="shared" ref="N23:S23" si="10">SUM(N16:N22)</f>
        <v>38297449.099999987</v>
      </c>
      <c r="O23" s="144">
        <f t="shared" si="10"/>
        <v>1680196.53</v>
      </c>
      <c r="P23" s="144">
        <f t="shared" si="10"/>
        <v>0</v>
      </c>
      <c r="Q23" s="144">
        <f>SUM(Q16:Q22)</f>
        <v>552239.02</v>
      </c>
      <c r="R23" s="144">
        <f>SUM(R16:R22)</f>
        <v>0</v>
      </c>
      <c r="S23" s="144">
        <f t="shared" si="10"/>
        <v>0</v>
      </c>
      <c r="T23" s="144">
        <f t="shared" si="2"/>
        <v>2794567921.5599999</v>
      </c>
      <c r="U23" s="147">
        <f>SUM(U16:U22)</f>
        <v>0.99999999999999989</v>
      </c>
      <c r="V23" s="138" t="s">
        <v>223</v>
      </c>
      <c r="W23" s="148"/>
      <c r="X23" s="149">
        <f t="shared" si="4"/>
        <v>4183628223.54</v>
      </c>
      <c r="Y23" s="148"/>
      <c r="Z23" s="149">
        <f t="shared" si="5"/>
        <v>2794567921.5599999</v>
      </c>
      <c r="AA23" s="148"/>
      <c r="AB23" s="149">
        <f t="shared" si="6"/>
        <v>1389060301.98</v>
      </c>
      <c r="AC23" s="149"/>
      <c r="AD23" s="147">
        <f>I23/T23</f>
        <v>1.4970572700214031</v>
      </c>
      <c r="AE23" s="149"/>
      <c r="AF23" s="147">
        <f t="shared" si="8"/>
        <v>0.4970572700214031</v>
      </c>
    </row>
    <row r="24" spans="1:32" s="63" customFormat="1" ht="54.95" customHeight="1" x14ac:dyDescent="0.85">
      <c r="A24" s="126"/>
      <c r="B24" s="139"/>
      <c r="C24" s="139"/>
      <c r="D24" s="139"/>
      <c r="E24" s="139"/>
      <c r="F24" s="139"/>
      <c r="G24" s="139"/>
      <c r="H24" s="139"/>
      <c r="I24" s="139">
        <f t="shared" si="0"/>
        <v>0</v>
      </c>
      <c r="J24" s="127"/>
      <c r="K24" s="127"/>
      <c r="L24" s="127"/>
      <c r="M24" s="139"/>
      <c r="N24" s="139"/>
      <c r="O24" s="139"/>
      <c r="P24" s="139"/>
      <c r="Q24" s="139"/>
      <c r="R24" s="139"/>
      <c r="S24" s="139"/>
      <c r="T24" s="139">
        <f t="shared" si="2"/>
        <v>0</v>
      </c>
      <c r="U24" s="126"/>
      <c r="V24" s="127"/>
      <c r="W24" s="126"/>
      <c r="X24" s="142"/>
      <c r="Y24" s="126"/>
      <c r="Z24" s="142">
        <f t="shared" si="5"/>
        <v>0</v>
      </c>
      <c r="AA24" s="126"/>
      <c r="AB24" s="142"/>
      <c r="AC24" s="142"/>
      <c r="AD24" s="150"/>
      <c r="AE24" s="142"/>
      <c r="AF24" s="150"/>
    </row>
    <row r="25" spans="1:32" s="63" customFormat="1" ht="54.95" customHeight="1" x14ac:dyDescent="0.85">
      <c r="A25" s="137" t="s">
        <v>208</v>
      </c>
      <c r="B25" s="139"/>
      <c r="C25" s="139"/>
      <c r="D25" s="139"/>
      <c r="E25" s="139"/>
      <c r="F25" s="139"/>
      <c r="G25" s="139"/>
      <c r="H25" s="139"/>
      <c r="I25" s="139">
        <f t="shared" si="0"/>
        <v>0</v>
      </c>
      <c r="J25" s="127"/>
      <c r="K25" s="127"/>
      <c r="L25" s="138" t="s">
        <v>208</v>
      </c>
      <c r="M25" s="139"/>
      <c r="N25" s="139"/>
      <c r="O25" s="139"/>
      <c r="P25" s="139"/>
      <c r="Q25" s="139"/>
      <c r="R25" s="139"/>
      <c r="S25" s="139"/>
      <c r="T25" s="139">
        <f t="shared" si="2"/>
        <v>0</v>
      </c>
      <c r="U25" s="126"/>
      <c r="V25" s="138" t="s">
        <v>208</v>
      </c>
      <c r="W25" s="126"/>
      <c r="X25" s="142"/>
      <c r="Y25" s="126"/>
      <c r="Z25" s="142">
        <f t="shared" si="5"/>
        <v>0</v>
      </c>
      <c r="AA25" s="126"/>
      <c r="AB25" s="142"/>
      <c r="AC25" s="142"/>
      <c r="AD25" s="150"/>
      <c r="AE25" s="142"/>
      <c r="AF25" s="150"/>
    </row>
    <row r="26" spans="1:32" s="63" customFormat="1" ht="54.95" customHeight="1" x14ac:dyDescent="0.85">
      <c r="A26" s="126" t="s">
        <v>217</v>
      </c>
      <c r="B26" s="139">
        <f>CNT!N131+CNT!N136+CNT!N148+CNT!N152+CNT!N153+CNT!N157+CNT!N161+CNT!N168</f>
        <v>1004400301.8899999</v>
      </c>
      <c r="C26" s="139">
        <f>BPM!K20+BPM!K31</f>
        <v>57705401.129999995</v>
      </c>
      <c r="D26" s="139">
        <v>0</v>
      </c>
      <c r="E26" s="139">
        <v>0</v>
      </c>
      <c r="F26" s="139">
        <v>0</v>
      </c>
      <c r="G26" s="139">
        <v>0</v>
      </c>
      <c r="H26" s="139">
        <v>0</v>
      </c>
      <c r="I26" s="139">
        <f t="shared" si="0"/>
        <v>1062105703.0199999</v>
      </c>
      <c r="J26" s="140">
        <f>I26/$I$33</f>
        <v>0.25436495017164118</v>
      </c>
      <c r="K26" s="140"/>
      <c r="L26" s="127" t="s">
        <v>217</v>
      </c>
      <c r="M26" s="139">
        <f>1362886644.91+294837140.99+-2594673018.01+-295913828.8+2586538353.1+-851593.54+2442343.61</f>
        <v>1355266042.2599998</v>
      </c>
      <c r="N26" s="139">
        <f>28518484.54+606.81+14337.65</f>
        <v>28533428.999999996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f t="shared" si="2"/>
        <v>1383799471.2599998</v>
      </c>
      <c r="U26" s="141">
        <f>T26/$T$33</f>
        <v>0.49642234805915786</v>
      </c>
      <c r="V26" s="127" t="s">
        <v>217</v>
      </c>
      <c r="W26" s="141"/>
      <c r="X26" s="142">
        <f t="shared" si="4"/>
        <v>1062105703.0199999</v>
      </c>
      <c r="Y26" s="141"/>
      <c r="Z26" s="142">
        <f t="shared" si="5"/>
        <v>1383799471.2599998</v>
      </c>
      <c r="AA26" s="141"/>
      <c r="AB26" s="142">
        <f>I26-T26</f>
        <v>-321693768.23999989</v>
      </c>
      <c r="AC26" s="142"/>
      <c r="AD26" s="141">
        <f>I26/T26</f>
        <v>0.76752862324258153</v>
      </c>
      <c r="AE26" s="142"/>
      <c r="AF26" s="141">
        <f t="shared" si="8"/>
        <v>-0.23247137675741847</v>
      </c>
    </row>
    <row r="27" spans="1:32" s="63" customFormat="1" ht="54.95" customHeight="1" x14ac:dyDescent="0.85">
      <c r="A27" s="126" t="s">
        <v>218</v>
      </c>
      <c r="B27" s="139">
        <f>CNT!N132+CNT!N137+CNT!N149+CNT!N154+CNT!N158+CNT!N162+CNT!N165+CNT!N169</f>
        <v>3091078805.7099991</v>
      </c>
      <c r="C27" s="139">
        <f>BPM!K21+BPM!K32</f>
        <v>2518888.9</v>
      </c>
      <c r="D27" s="139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f t="shared" si="0"/>
        <v>3093597694.6099992</v>
      </c>
      <c r="J27" s="140">
        <f t="shared" ref="J27:J32" si="11">I27/$I$33</f>
        <v>0.74088936835862074</v>
      </c>
      <c r="K27" s="140"/>
      <c r="L27" s="127" t="s">
        <v>218</v>
      </c>
      <c r="M27" s="139">
        <f>1331870709.1+717950801.68+-715682100.11+6772900937.69+584217.48+-6770619534.22+-2691428.5</f>
        <v>1334313603.119998</v>
      </c>
      <c r="N27" s="139">
        <f>6147408.13+156.76+-92990.65</f>
        <v>6054574.2399999993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f t="shared" si="2"/>
        <v>1340368177.359998</v>
      </c>
      <c r="U27" s="141">
        <f t="shared" ref="U27:U32" si="12">T27/$T$33</f>
        <v>0.48084186451015426</v>
      </c>
      <c r="V27" s="127" t="s">
        <v>218</v>
      </c>
      <c r="W27" s="141"/>
      <c r="X27" s="142">
        <f t="shared" si="4"/>
        <v>3093597694.6099992</v>
      </c>
      <c r="Y27" s="141"/>
      <c r="Z27" s="142">
        <f t="shared" si="5"/>
        <v>1340368177.359998</v>
      </c>
      <c r="AA27" s="141"/>
      <c r="AB27" s="142">
        <f t="shared" ref="AB27:AB32" si="13">I27-T27</f>
        <v>1753229517.2500012</v>
      </c>
      <c r="AC27" s="142"/>
      <c r="AD27" s="141">
        <f t="shared" ref="AD27:AD32" si="14">I27/T27</f>
        <v>2.3080208459612783</v>
      </c>
      <c r="AE27" s="142"/>
      <c r="AF27" s="141">
        <f t="shared" si="8"/>
        <v>1.3080208459612783</v>
      </c>
    </row>
    <row r="28" spans="1:32" s="63" customFormat="1" ht="54.95" customHeight="1" x14ac:dyDescent="0.85">
      <c r="A28" s="126" t="s">
        <v>219</v>
      </c>
      <c r="B28" s="139">
        <f>CNT!N133+CNT!N138+CNT!N150+CNT!N155+CNT!N159+CNT!N163+CNT!N167+CNT!N170</f>
        <v>12587660.74</v>
      </c>
      <c r="C28" s="139">
        <f>BPM!K22+BPM!K33</f>
        <v>256268.82</v>
      </c>
      <c r="D28" s="139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f t="shared" si="0"/>
        <v>12843929.560000001</v>
      </c>
      <c r="J28" s="140">
        <f t="shared" si="11"/>
        <v>3.0760078712014504E-3</v>
      </c>
      <c r="K28" s="140"/>
      <c r="L28" s="127" t="s">
        <v>219</v>
      </c>
      <c r="M28" s="139">
        <f>18359498.66+6151280+-6244582.5+5794396.9+-16403.49+-5903503.5+-82329.81</f>
        <v>18058356.260000005</v>
      </c>
      <c r="N28" s="139">
        <f>1754656.42+2641.2</f>
        <v>1757297.6199999999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f t="shared" si="2"/>
        <v>19815653.880000006</v>
      </c>
      <c r="U28" s="141">
        <f t="shared" si="12"/>
        <v>7.1086408339788411E-3</v>
      </c>
      <c r="V28" s="127" t="s">
        <v>219</v>
      </c>
      <c r="W28" s="141"/>
      <c r="X28" s="142">
        <f t="shared" si="4"/>
        <v>12843929.560000001</v>
      </c>
      <c r="Y28" s="141"/>
      <c r="Z28" s="142">
        <f t="shared" si="5"/>
        <v>19815653.880000006</v>
      </c>
      <c r="AA28" s="141"/>
      <c r="AB28" s="142">
        <f>I28-T28</f>
        <v>-6971724.3200000059</v>
      </c>
      <c r="AC28" s="142"/>
      <c r="AD28" s="141">
        <f t="shared" si="14"/>
        <v>0.64817086722348405</v>
      </c>
      <c r="AE28" s="142"/>
      <c r="AF28" s="141">
        <f t="shared" si="8"/>
        <v>-0.35182913277651595</v>
      </c>
    </row>
    <row r="29" spans="1:32" s="63" customFormat="1" ht="54.95" customHeight="1" x14ac:dyDescent="0.85">
      <c r="A29" s="126" t="s">
        <v>427</v>
      </c>
      <c r="B29" s="139">
        <f>CNT!N134+CNT!N139+CNT!N151+CNT!N156+CNT!N160+CNT!N164+CNT!N171+CNT!N172</f>
        <v>12058066.880000003</v>
      </c>
      <c r="C29" s="139">
        <f>BPM!K23</f>
        <v>13142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f t="shared" si="0"/>
        <v>12071208.880000003</v>
      </c>
      <c r="J29" s="140">
        <f t="shared" si="11"/>
        <v>2.8909480822313736E-3</v>
      </c>
      <c r="K29" s="140"/>
      <c r="L29" s="127" t="s">
        <v>427</v>
      </c>
      <c r="M29" s="139">
        <f>31216421.82+153873.75+-157755+2326124.63+-93508.88+876786.34+-2698078.23</f>
        <v>31623864.430000003</v>
      </c>
      <c r="N29" s="139">
        <f>11092.65-65</f>
        <v>11027.65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f t="shared" si="2"/>
        <v>31634892.080000002</v>
      </c>
      <c r="U29" s="141">
        <f t="shared" si="12"/>
        <v>1.1348658337506336E-2</v>
      </c>
      <c r="V29" s="127" t="s">
        <v>427</v>
      </c>
      <c r="W29" s="141"/>
      <c r="X29" s="142">
        <f t="shared" si="4"/>
        <v>12071208.880000003</v>
      </c>
      <c r="Y29" s="141"/>
      <c r="Z29" s="142">
        <f t="shared" si="5"/>
        <v>31634892.080000002</v>
      </c>
      <c r="AA29" s="141"/>
      <c r="AB29" s="142">
        <f t="shared" si="13"/>
        <v>-19563683.199999999</v>
      </c>
      <c r="AC29" s="142"/>
      <c r="AD29" s="141">
        <f t="shared" si="14"/>
        <v>0.38157894926506108</v>
      </c>
      <c r="AE29" s="142"/>
      <c r="AF29" s="141">
        <f t="shared" si="8"/>
        <v>-0.61842105073493892</v>
      </c>
    </row>
    <row r="30" spans="1:32" s="63" customFormat="1" ht="54.95" customHeight="1" x14ac:dyDescent="0.85">
      <c r="A30" s="126" t="s">
        <v>220</v>
      </c>
      <c r="B30" s="139">
        <f>CNT!N135+CNT!N142+CNT!N166+CNT!N177</f>
        <v>4877108.4499999993</v>
      </c>
      <c r="C30" s="139">
        <f>0</f>
        <v>0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f t="shared" si="0"/>
        <v>4877108.4499999993</v>
      </c>
      <c r="J30" s="140">
        <f t="shared" si="11"/>
        <v>1.1680244671867462E-3</v>
      </c>
      <c r="K30" s="140"/>
      <c r="L30" s="127" t="s">
        <v>220</v>
      </c>
      <c r="M30" s="139">
        <f>1487266.02+24000</f>
        <v>1511266.02</v>
      </c>
      <c r="N30" s="139">
        <f>28517+168</f>
        <v>28685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f t="shared" si="2"/>
        <v>1539951.02</v>
      </c>
      <c r="U30" s="141">
        <f t="shared" si="12"/>
        <v>5.5243994315767506E-4</v>
      </c>
      <c r="V30" s="127" t="s">
        <v>220</v>
      </c>
      <c r="W30" s="141"/>
      <c r="X30" s="142">
        <f t="shared" si="4"/>
        <v>4877108.4499999993</v>
      </c>
      <c r="Y30" s="141"/>
      <c r="Z30" s="142">
        <f t="shared" si="5"/>
        <v>1539951.02</v>
      </c>
      <c r="AA30" s="141"/>
      <c r="AB30" s="142">
        <f t="shared" si="13"/>
        <v>3337157.4299999992</v>
      </c>
      <c r="AC30" s="142"/>
      <c r="AD30" s="141">
        <f t="shared" si="14"/>
        <v>3.1670542677389824</v>
      </c>
      <c r="AE30" s="142"/>
      <c r="AF30" s="141">
        <f t="shared" si="8"/>
        <v>2.1670542677389824</v>
      </c>
    </row>
    <row r="31" spans="1:32" s="63" customFormat="1" ht="54.95" customHeight="1" x14ac:dyDescent="0.85">
      <c r="A31" s="126" t="s">
        <v>221</v>
      </c>
      <c r="B31" s="139">
        <f>CNT!N188+CNT!N189+CNT!N190+CNT!N191+CNT!N192+CNT!N193+CNT!N194+CNT!N195</f>
        <v>2496097.4699999997</v>
      </c>
      <c r="C31" s="139">
        <f>BPM!K25</f>
        <v>916.55</v>
      </c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f t="shared" si="0"/>
        <v>2497014.0199999996</v>
      </c>
      <c r="J31" s="140">
        <f t="shared" si="11"/>
        <v>5.9801283899445288E-4</v>
      </c>
      <c r="K31" s="140"/>
      <c r="L31" s="127" t="s">
        <v>221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f t="shared" si="2"/>
        <v>0</v>
      </c>
      <c r="U31" s="141">
        <f t="shared" si="12"/>
        <v>0</v>
      </c>
      <c r="V31" s="127" t="s">
        <v>221</v>
      </c>
      <c r="W31" s="141"/>
      <c r="X31" s="142">
        <f t="shared" si="4"/>
        <v>2497014.0199999996</v>
      </c>
      <c r="Y31" s="141"/>
      <c r="Z31" s="142">
        <f t="shared" si="5"/>
        <v>0</v>
      </c>
      <c r="AA31" s="141"/>
      <c r="AB31" s="142">
        <f t="shared" si="13"/>
        <v>2497014.0199999996</v>
      </c>
      <c r="AC31" s="142"/>
      <c r="AD31" s="143">
        <v>0</v>
      </c>
      <c r="AE31" s="142"/>
      <c r="AF31" s="143">
        <v>0</v>
      </c>
    </row>
    <row r="32" spans="1:32" s="63" customFormat="1" ht="54.95" customHeight="1" x14ac:dyDescent="0.85">
      <c r="A32" s="126" t="s">
        <v>222</v>
      </c>
      <c r="B32" s="139">
        <f>CNT!N129+CNT!N140+CNT!N141+CNT!N143+CNT!N146+CNT!N147+CNT!N176+CNT!N174+CNT!N175+CNT!N178+CNT!N179+CNT!N180+CNT!N181+CNT!N182+CNT!N183+CNT!N184+CNT!N185+CNT!N186+CNT!N187+CNT!N173</f>
        <v>-14954112.650000002</v>
      </c>
      <c r="C32" s="139">
        <f>BPM!K24+BPM!K26+BPM!K27+BPM!K28+BPM!K29+BPM!K30+BPM!K34+BPM!K35</f>
        <v>2200693.41</v>
      </c>
      <c r="D32" s="139">
        <f>DEP!K23</f>
        <v>278193.64</v>
      </c>
      <c r="E32" s="139">
        <v>0</v>
      </c>
      <c r="F32" s="139">
        <f>'BSC (Dome)'!K18</f>
        <v>1648.2199999999998</v>
      </c>
      <c r="G32" s="139">
        <v>0</v>
      </c>
      <c r="H32" s="139">
        <v>0</v>
      </c>
      <c r="I32" s="139">
        <f t="shared" si="0"/>
        <v>-12473577.380000001</v>
      </c>
      <c r="J32" s="140">
        <f t="shared" si="11"/>
        <v>-2.9873117898756496E-3</v>
      </c>
      <c r="K32" s="140"/>
      <c r="L32" s="127" t="s">
        <v>222</v>
      </c>
      <c r="M32" s="139">
        <f>60.6+1171791.88+1360884.47+39494.92+1250+9+58116.69+202006.97+5638770.42+232883.38+4852+21448.66+127438.37+272.72-1169.28+651.51-292.5-15426.72</f>
        <v>8843043.0899999999</v>
      </c>
      <c r="N32" s="139">
        <f>57304.44+199486.37-6668.6+2936.98+820.8+692303.95+390154.17</f>
        <v>1336338.1099999999</v>
      </c>
      <c r="O32" s="139">
        <v>206226.66</v>
      </c>
      <c r="P32" s="139">
        <v>0</v>
      </c>
      <c r="Q32" s="139">
        <v>918.27</v>
      </c>
      <c r="R32" s="139">
        <v>0</v>
      </c>
      <c r="S32" s="139">
        <v>0</v>
      </c>
      <c r="T32" s="139">
        <f t="shared" si="2"/>
        <v>10386526.129999999</v>
      </c>
      <c r="U32" s="141">
        <f t="shared" si="12"/>
        <v>3.7260483160450821E-3</v>
      </c>
      <c r="V32" s="127" t="s">
        <v>222</v>
      </c>
      <c r="W32" s="141"/>
      <c r="X32" s="142">
        <f t="shared" si="4"/>
        <v>-12473577.380000001</v>
      </c>
      <c r="Y32" s="141"/>
      <c r="Z32" s="142">
        <f t="shared" si="5"/>
        <v>10386526.129999999</v>
      </c>
      <c r="AA32" s="141"/>
      <c r="AB32" s="142">
        <f t="shared" si="13"/>
        <v>-22860103.509999998</v>
      </c>
      <c r="AC32" s="142"/>
      <c r="AD32" s="141">
        <f t="shared" si="14"/>
        <v>-1.2009383333636308</v>
      </c>
      <c r="AE32" s="142"/>
      <c r="AF32" s="141">
        <f t="shared" si="8"/>
        <v>-2.2009383333636308</v>
      </c>
    </row>
    <row r="33" spans="1:32" s="63" customFormat="1" ht="54.95" customHeight="1" x14ac:dyDescent="0.85">
      <c r="A33" s="137" t="s">
        <v>224</v>
      </c>
      <c r="B33" s="144">
        <f>SUM(B26:B32)</f>
        <v>4112543928.4899983</v>
      </c>
      <c r="C33" s="144">
        <f t="shared" ref="C33:H33" si="15">SUM(C26:C32)</f>
        <v>62695310.809999987</v>
      </c>
      <c r="D33" s="144">
        <f t="shared" si="15"/>
        <v>278193.64</v>
      </c>
      <c r="E33" s="144">
        <f t="shared" si="15"/>
        <v>0</v>
      </c>
      <c r="F33" s="144">
        <f>SUM(F26:F32)</f>
        <v>1648.2199999999998</v>
      </c>
      <c r="G33" s="144">
        <f>SUM(G26:G32)</f>
        <v>0</v>
      </c>
      <c r="H33" s="144">
        <f t="shared" si="15"/>
        <v>0</v>
      </c>
      <c r="I33" s="144">
        <f t="shared" si="0"/>
        <v>4175519081.1599979</v>
      </c>
      <c r="J33" s="145">
        <f>SUM(J26:J32)</f>
        <v>1.0000000000000004</v>
      </c>
      <c r="K33" s="146"/>
      <c r="L33" s="138" t="s">
        <v>224</v>
      </c>
      <c r="M33" s="144">
        <f>SUM(M26:M32)</f>
        <v>2749616175.1799979</v>
      </c>
      <c r="N33" s="144">
        <f t="shared" ref="N33:S33" si="16">SUM(N26:N32)</f>
        <v>37721351.61999999</v>
      </c>
      <c r="O33" s="144">
        <f t="shared" si="16"/>
        <v>206226.66</v>
      </c>
      <c r="P33" s="144">
        <f t="shared" si="16"/>
        <v>0</v>
      </c>
      <c r="Q33" s="144">
        <f>SUM(Q26:Q32)</f>
        <v>918.27</v>
      </c>
      <c r="R33" s="144">
        <f>SUM(R26:R32)</f>
        <v>0</v>
      </c>
      <c r="S33" s="144">
        <f t="shared" si="16"/>
        <v>0</v>
      </c>
      <c r="T33" s="144">
        <f t="shared" si="2"/>
        <v>2787544671.7299976</v>
      </c>
      <c r="U33" s="147">
        <f>SUM(U26:U32)</f>
        <v>1</v>
      </c>
      <c r="V33" s="138" t="s">
        <v>224</v>
      </c>
      <c r="W33" s="148"/>
      <c r="X33" s="149">
        <f t="shared" si="4"/>
        <v>4175519081.1599979</v>
      </c>
      <c r="Y33" s="148"/>
      <c r="Z33" s="149">
        <f t="shared" si="5"/>
        <v>2787544671.7299976</v>
      </c>
      <c r="AA33" s="148"/>
      <c r="AB33" s="149">
        <f>SUM(AB26:AB32)</f>
        <v>1387974409.4300013</v>
      </c>
      <c r="AC33" s="149"/>
      <c r="AD33" s="147">
        <f>I33/T33</f>
        <v>1.4979200597235989</v>
      </c>
      <c r="AE33" s="149"/>
      <c r="AF33" s="147">
        <f t="shared" si="8"/>
        <v>0.49792005972359887</v>
      </c>
    </row>
    <row r="34" spans="1:32" s="63" customFormat="1" ht="54.95" customHeight="1" x14ac:dyDescent="0.85">
      <c r="A34" s="126"/>
      <c r="B34" s="139"/>
      <c r="C34" s="139"/>
      <c r="D34" s="139"/>
      <c r="E34" s="139"/>
      <c r="F34" s="139"/>
      <c r="G34" s="139"/>
      <c r="H34" s="139"/>
      <c r="I34" s="139"/>
      <c r="J34" s="127"/>
      <c r="K34" s="127"/>
      <c r="L34" s="127"/>
      <c r="M34" s="139"/>
      <c r="N34" s="139"/>
      <c r="O34" s="139"/>
      <c r="P34" s="139"/>
      <c r="Q34" s="139"/>
      <c r="R34" s="139"/>
      <c r="S34" s="139"/>
      <c r="T34" s="139"/>
      <c r="U34" s="126"/>
      <c r="V34" s="127"/>
      <c r="W34" s="126"/>
      <c r="X34" s="142"/>
      <c r="Y34" s="126"/>
      <c r="Z34" s="142"/>
      <c r="AA34" s="126"/>
      <c r="AB34" s="142"/>
      <c r="AC34" s="142"/>
      <c r="AD34" s="141"/>
      <c r="AE34" s="142"/>
      <c r="AF34" s="141"/>
    </row>
    <row r="35" spans="1:32" s="63" customFormat="1" ht="54.95" customHeight="1" thickBot="1" x14ac:dyDescent="0.9">
      <c r="A35" s="137" t="s">
        <v>211</v>
      </c>
      <c r="B35" s="151">
        <f>B23-B33</f>
        <v>4563189.6200017929</v>
      </c>
      <c r="C35" s="151">
        <f t="shared" ref="C35:H35" si="17">C23-C33</f>
        <v>824175.7500000149</v>
      </c>
      <c r="D35" s="151">
        <f t="shared" si="17"/>
        <v>2176061.2600000002</v>
      </c>
      <c r="E35" s="151">
        <f t="shared" si="17"/>
        <v>0</v>
      </c>
      <c r="F35" s="151">
        <f>F23-F33</f>
        <v>545715.75000000012</v>
      </c>
      <c r="G35" s="151">
        <f>G23-G33</f>
        <v>0</v>
      </c>
      <c r="H35" s="151">
        <f t="shared" si="17"/>
        <v>0</v>
      </c>
      <c r="I35" s="151">
        <f t="shared" si="0"/>
        <v>8109142.3800018076</v>
      </c>
      <c r="J35" s="127"/>
      <c r="K35" s="127"/>
      <c r="L35" s="138" t="s">
        <v>211</v>
      </c>
      <c r="M35" s="151">
        <f>M23-M33</f>
        <v>4421861.7300019264</v>
      </c>
      <c r="N35" s="151">
        <f t="shared" ref="N35:S35" si="18">N23-N33</f>
        <v>576097.47999999672</v>
      </c>
      <c r="O35" s="151">
        <f t="shared" si="18"/>
        <v>1473969.87</v>
      </c>
      <c r="P35" s="151">
        <f t="shared" si="18"/>
        <v>0</v>
      </c>
      <c r="Q35" s="151">
        <f>Q23-Q33</f>
        <v>551320.75</v>
      </c>
      <c r="R35" s="151">
        <f>R23-R33</f>
        <v>0</v>
      </c>
      <c r="S35" s="151">
        <f t="shared" si="18"/>
        <v>0</v>
      </c>
      <c r="T35" s="151">
        <f t="shared" si="2"/>
        <v>7023249.8300019233</v>
      </c>
      <c r="U35" s="126"/>
      <c r="V35" s="138" t="s">
        <v>211</v>
      </c>
      <c r="W35" s="126"/>
      <c r="X35" s="152">
        <f t="shared" si="4"/>
        <v>8109142.3800018076</v>
      </c>
      <c r="Y35" s="126"/>
      <c r="Z35" s="152">
        <f t="shared" si="5"/>
        <v>7023249.8300019233</v>
      </c>
      <c r="AA35" s="126"/>
      <c r="AB35" s="152">
        <f>I35-T35</f>
        <v>1085892.5499998843</v>
      </c>
      <c r="AC35" s="152"/>
      <c r="AD35" s="153">
        <f>I35/T35</f>
        <v>1.154613971634779</v>
      </c>
      <c r="AE35" s="152"/>
      <c r="AF35" s="153">
        <f t="shared" si="8"/>
        <v>0.15461397163477897</v>
      </c>
    </row>
    <row r="36" spans="1:32" s="63" customFormat="1" ht="54.95" customHeight="1" x14ac:dyDescent="0.85">
      <c r="A36" s="126"/>
      <c r="B36" s="139"/>
      <c r="C36" s="139"/>
      <c r="D36" s="139"/>
      <c r="E36" s="139"/>
      <c r="F36" s="139"/>
      <c r="G36" s="139"/>
      <c r="H36" s="139"/>
      <c r="I36" s="139">
        <f t="shared" si="0"/>
        <v>0</v>
      </c>
      <c r="J36" s="127"/>
      <c r="K36" s="127"/>
      <c r="L36" s="127"/>
      <c r="M36" s="139"/>
      <c r="N36" s="139"/>
      <c r="O36" s="139"/>
      <c r="P36" s="139"/>
      <c r="Q36" s="139"/>
      <c r="R36" s="139"/>
      <c r="S36" s="139"/>
      <c r="T36" s="139">
        <f t="shared" si="2"/>
        <v>0</v>
      </c>
      <c r="U36" s="126"/>
      <c r="V36" s="127"/>
      <c r="W36" s="126"/>
      <c r="X36" s="142"/>
      <c r="Y36" s="126"/>
      <c r="Z36" s="142">
        <f t="shared" si="5"/>
        <v>0</v>
      </c>
      <c r="AA36" s="126"/>
      <c r="AB36" s="142"/>
      <c r="AC36" s="142"/>
      <c r="AD36" s="150"/>
      <c r="AE36" s="142"/>
      <c r="AF36" s="150"/>
    </row>
    <row r="37" spans="1:32" s="63" customFormat="1" ht="54.95" customHeight="1" x14ac:dyDescent="0.85">
      <c r="A37" s="137" t="s">
        <v>209</v>
      </c>
      <c r="B37" s="139"/>
      <c r="C37" s="139"/>
      <c r="D37" s="139"/>
      <c r="E37" s="139"/>
      <c r="F37" s="139"/>
      <c r="G37" s="139"/>
      <c r="H37" s="139"/>
      <c r="I37" s="139">
        <f t="shared" si="0"/>
        <v>0</v>
      </c>
      <c r="J37" s="127"/>
      <c r="K37" s="127"/>
      <c r="L37" s="138" t="s">
        <v>209</v>
      </c>
      <c r="M37" s="139"/>
      <c r="N37" s="139"/>
      <c r="O37" s="139"/>
      <c r="P37" s="139"/>
      <c r="Q37" s="139"/>
      <c r="R37" s="139"/>
      <c r="S37" s="139"/>
      <c r="T37" s="139">
        <f t="shared" si="2"/>
        <v>0</v>
      </c>
      <c r="U37" s="126"/>
      <c r="V37" s="138" t="s">
        <v>209</v>
      </c>
      <c r="W37" s="126"/>
      <c r="X37" s="142"/>
      <c r="Y37" s="126"/>
      <c r="Z37" s="142">
        <f t="shared" si="5"/>
        <v>0</v>
      </c>
      <c r="AA37" s="126"/>
      <c r="AB37" s="142"/>
      <c r="AC37" s="142"/>
      <c r="AD37" s="150"/>
      <c r="AE37" s="142"/>
      <c r="AF37" s="150"/>
    </row>
    <row r="38" spans="1:32" s="63" customFormat="1" ht="54.95" customHeight="1" x14ac:dyDescent="0.85">
      <c r="A38" s="126"/>
      <c r="B38" s="139"/>
      <c r="C38" s="139"/>
      <c r="D38" s="139"/>
      <c r="E38" s="139"/>
      <c r="F38" s="139"/>
      <c r="G38" s="139"/>
      <c r="H38" s="139"/>
      <c r="I38" s="139">
        <f t="shared" si="0"/>
        <v>0</v>
      </c>
      <c r="J38" s="127"/>
      <c r="K38" s="127"/>
      <c r="L38" s="127"/>
      <c r="M38" s="139"/>
      <c r="N38" s="139"/>
      <c r="O38" s="139"/>
      <c r="P38" s="139"/>
      <c r="Q38" s="139"/>
      <c r="R38" s="139"/>
      <c r="S38" s="139"/>
      <c r="T38" s="139">
        <f t="shared" si="2"/>
        <v>0</v>
      </c>
      <c r="U38" s="126"/>
      <c r="V38" s="127"/>
      <c r="W38" s="126"/>
      <c r="X38" s="142"/>
      <c r="Y38" s="126"/>
      <c r="Z38" s="142">
        <f t="shared" si="5"/>
        <v>0</v>
      </c>
      <c r="AA38" s="126"/>
      <c r="AB38" s="142"/>
      <c r="AC38" s="142"/>
      <c r="AD38" s="150"/>
      <c r="AE38" s="142"/>
      <c r="AF38" s="150"/>
    </row>
    <row r="39" spans="1:32" s="63" customFormat="1" ht="54.95" customHeight="1" x14ac:dyDescent="0.85">
      <c r="A39" s="137" t="s">
        <v>225</v>
      </c>
      <c r="B39" s="139"/>
      <c r="C39" s="139"/>
      <c r="D39" s="139"/>
      <c r="E39" s="139"/>
      <c r="F39" s="139"/>
      <c r="G39" s="139"/>
      <c r="H39" s="139"/>
      <c r="I39" s="139">
        <f t="shared" si="0"/>
        <v>0</v>
      </c>
      <c r="J39" s="127"/>
      <c r="K39" s="127"/>
      <c r="L39" s="138" t="s">
        <v>225</v>
      </c>
      <c r="M39" s="139"/>
      <c r="N39" s="139"/>
      <c r="O39" s="139"/>
      <c r="P39" s="139"/>
      <c r="Q39" s="139"/>
      <c r="R39" s="139"/>
      <c r="S39" s="139"/>
      <c r="T39" s="139">
        <f t="shared" si="2"/>
        <v>0</v>
      </c>
      <c r="U39" s="126"/>
      <c r="V39" s="138" t="s">
        <v>225</v>
      </c>
      <c r="W39" s="126"/>
      <c r="X39" s="142"/>
      <c r="Y39" s="126"/>
      <c r="Z39" s="142">
        <f t="shared" si="5"/>
        <v>0</v>
      </c>
      <c r="AA39" s="126"/>
      <c r="AB39" s="142"/>
      <c r="AC39" s="142"/>
      <c r="AD39" s="150"/>
      <c r="AE39" s="142"/>
      <c r="AF39" s="150"/>
    </row>
    <row r="40" spans="1:32" s="63" customFormat="1" ht="54.95" customHeight="1" x14ac:dyDescent="0.85">
      <c r="A40" s="126" t="s">
        <v>226</v>
      </c>
      <c r="B40" s="139">
        <f>CNT!N199</f>
        <v>2797645.5</v>
      </c>
      <c r="C40" s="139">
        <v>0</v>
      </c>
      <c r="D40" s="139">
        <f>DEP!K29</f>
        <v>78047.460000000006</v>
      </c>
      <c r="E40" s="139">
        <v>0</v>
      </c>
      <c r="F40" s="139">
        <f>'BSC (Dome)'!K24+'BSC (Dome)'!K31</f>
        <v>228303.50999999998</v>
      </c>
      <c r="G40" s="139">
        <v>0</v>
      </c>
      <c r="H40" s="139">
        <v>0</v>
      </c>
      <c r="I40" s="139">
        <f t="shared" si="0"/>
        <v>3103996.4699999997</v>
      </c>
      <c r="J40" s="140">
        <f>I40/$I$49</f>
        <v>0.7959906556437597</v>
      </c>
      <c r="K40" s="140"/>
      <c r="L40" s="127" t="s">
        <v>226</v>
      </c>
      <c r="M40" s="139">
        <f>2894234.42</f>
        <v>2894234.42</v>
      </c>
      <c r="N40" s="139">
        <v>0</v>
      </c>
      <c r="O40" s="139">
        <v>112094.25</v>
      </c>
      <c r="P40" s="139">
        <v>0</v>
      </c>
      <c r="Q40" s="139">
        <f>181500.67+46238</f>
        <v>227738.67</v>
      </c>
      <c r="R40" s="139">
        <v>0</v>
      </c>
      <c r="S40" s="139">
        <v>0</v>
      </c>
      <c r="T40" s="139">
        <f t="shared" si="2"/>
        <v>3234067.34</v>
      </c>
      <c r="U40" s="141">
        <f>T40/$T$49</f>
        <v>0.77143876110526055</v>
      </c>
      <c r="V40" s="127" t="s">
        <v>226</v>
      </c>
      <c r="W40" s="141"/>
      <c r="X40" s="142">
        <f t="shared" si="4"/>
        <v>3103996.4699999997</v>
      </c>
      <c r="Y40" s="141"/>
      <c r="Z40" s="142">
        <f t="shared" si="5"/>
        <v>3234067.34</v>
      </c>
      <c r="AA40" s="141"/>
      <c r="AB40" s="142">
        <f>I40-T40</f>
        <v>-130070.87000000011</v>
      </c>
      <c r="AC40" s="142"/>
      <c r="AD40" s="141">
        <f>I40/T40</f>
        <v>0.95978102608092253</v>
      </c>
      <c r="AE40" s="142"/>
      <c r="AF40" s="141">
        <f t="shared" si="8"/>
        <v>-4.0218973919077472E-2</v>
      </c>
    </row>
    <row r="41" spans="1:32" s="63" customFormat="1" ht="54.95" customHeight="1" x14ac:dyDescent="0.85">
      <c r="A41" s="126" t="s">
        <v>227</v>
      </c>
      <c r="B41" s="139">
        <f>CNT!N201</f>
        <v>26017</v>
      </c>
      <c r="C41" s="139">
        <v>0</v>
      </c>
      <c r="D41" s="139">
        <v>0</v>
      </c>
      <c r="E41" s="139">
        <v>0</v>
      </c>
      <c r="F41" s="139">
        <v>0</v>
      </c>
      <c r="G41" s="139">
        <v>0</v>
      </c>
      <c r="H41" s="139">
        <v>0</v>
      </c>
      <c r="I41" s="139">
        <f t="shared" si="0"/>
        <v>26017</v>
      </c>
      <c r="J41" s="140">
        <f t="shared" ref="J41:J48" si="19">I41/$I$49</f>
        <v>6.6718145745454727E-3</v>
      </c>
      <c r="K41" s="140"/>
      <c r="L41" s="127" t="s">
        <v>227</v>
      </c>
      <c r="M41" s="139">
        <v>35293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f t="shared" si="2"/>
        <v>35293</v>
      </c>
      <c r="U41" s="141">
        <f t="shared" ref="U41:U48" si="20">T41/$T$49</f>
        <v>8.4186213004729706E-3</v>
      </c>
      <c r="V41" s="127" t="s">
        <v>227</v>
      </c>
      <c r="W41" s="141"/>
      <c r="X41" s="142">
        <f t="shared" si="4"/>
        <v>26017</v>
      </c>
      <c r="Y41" s="141"/>
      <c r="Z41" s="142">
        <f t="shared" si="5"/>
        <v>35293</v>
      </c>
      <c r="AA41" s="141"/>
      <c r="AB41" s="142">
        <f t="shared" ref="AB41:AB48" si="21">I41-T41</f>
        <v>-9276</v>
      </c>
      <c r="AC41" s="142"/>
      <c r="AD41" s="141">
        <f t="shared" ref="AD41:AD48" si="22">I41/T41</f>
        <v>0.73717167710310827</v>
      </c>
      <c r="AE41" s="142"/>
      <c r="AF41" s="141">
        <f t="shared" si="8"/>
        <v>-0.26282832289689173</v>
      </c>
    </row>
    <row r="42" spans="1:32" s="63" customFormat="1" ht="54.95" customHeight="1" x14ac:dyDescent="0.85">
      <c r="A42" s="126" t="s">
        <v>228</v>
      </c>
      <c r="B42" s="139">
        <f>CNT!N202</f>
        <v>234558.68999999997</v>
      </c>
      <c r="C42" s="139">
        <v>0</v>
      </c>
      <c r="D42" s="139">
        <f>DEP!K30</f>
        <v>8076.880000000001</v>
      </c>
      <c r="E42" s="139">
        <v>0</v>
      </c>
      <c r="F42" s="139">
        <f>'BSC (Dome)'!K25</f>
        <v>15186.350000000002</v>
      </c>
      <c r="G42" s="139">
        <v>0</v>
      </c>
      <c r="H42" s="139">
        <v>0</v>
      </c>
      <c r="I42" s="139">
        <f t="shared" si="0"/>
        <v>257821.91999999998</v>
      </c>
      <c r="J42" s="140">
        <f t="shared" si="19"/>
        <v>6.6116002747945449E-2</v>
      </c>
      <c r="K42" s="140"/>
      <c r="L42" s="127" t="s">
        <v>228</v>
      </c>
      <c r="M42" s="139">
        <v>236561.39</v>
      </c>
      <c r="N42" s="139">
        <v>0</v>
      </c>
      <c r="O42" s="139">
        <v>9171.99</v>
      </c>
      <c r="P42" s="139">
        <v>0</v>
      </c>
      <c r="Q42" s="139">
        <v>15307.81</v>
      </c>
      <c r="R42" s="139">
        <v>0</v>
      </c>
      <c r="S42" s="139">
        <v>0</v>
      </c>
      <c r="T42" s="139">
        <f t="shared" si="2"/>
        <v>261041.19</v>
      </c>
      <c r="U42" s="141">
        <f t="shared" si="20"/>
        <v>6.2267501273193318E-2</v>
      </c>
      <c r="V42" s="127" t="s">
        <v>228</v>
      </c>
      <c r="W42" s="141"/>
      <c r="X42" s="142">
        <f t="shared" si="4"/>
        <v>257821.91999999998</v>
      </c>
      <c r="Y42" s="141"/>
      <c r="Z42" s="142">
        <f t="shared" si="5"/>
        <v>261041.19</v>
      </c>
      <c r="AA42" s="141"/>
      <c r="AB42" s="142">
        <f t="shared" si="21"/>
        <v>-3219.2700000000186</v>
      </c>
      <c r="AC42" s="142"/>
      <c r="AD42" s="141">
        <f t="shared" si="22"/>
        <v>0.98766757843848318</v>
      </c>
      <c r="AE42" s="142"/>
      <c r="AF42" s="141">
        <f t="shared" si="8"/>
        <v>-1.2332421561516815E-2</v>
      </c>
    </row>
    <row r="43" spans="1:32" s="63" customFormat="1" ht="54.95" customHeight="1" x14ac:dyDescent="0.85">
      <c r="A43" s="126" t="s">
        <v>229</v>
      </c>
      <c r="B43" s="139">
        <f>CNT!N203</f>
        <v>241692.67</v>
      </c>
      <c r="C43" s="139">
        <v>0</v>
      </c>
      <c r="D43" s="139">
        <f>DEP!K31</f>
        <v>28097.99</v>
      </c>
      <c r="E43" s="139">
        <v>0</v>
      </c>
      <c r="F43" s="139">
        <f>'BSC (Dome)'!K26</f>
        <v>44795.31</v>
      </c>
      <c r="G43" s="139">
        <v>0</v>
      </c>
      <c r="H43" s="139">
        <v>0</v>
      </c>
      <c r="I43" s="139">
        <f t="shared" si="0"/>
        <v>314585.97000000003</v>
      </c>
      <c r="J43" s="140">
        <f t="shared" si="19"/>
        <v>8.0672608663317255E-2</v>
      </c>
      <c r="K43" s="140"/>
      <c r="L43" s="127" t="s">
        <v>229</v>
      </c>
      <c r="M43" s="139">
        <v>324070.93</v>
      </c>
      <c r="N43" s="139">
        <v>0</v>
      </c>
      <c r="O43" s="139">
        <v>39220.35</v>
      </c>
      <c r="P43" s="139">
        <v>0</v>
      </c>
      <c r="Q43" s="139">
        <v>43916.33</v>
      </c>
      <c r="R43" s="139">
        <v>0</v>
      </c>
      <c r="S43" s="139">
        <v>0</v>
      </c>
      <c r="T43" s="139">
        <f t="shared" si="2"/>
        <v>407207.61</v>
      </c>
      <c r="U43" s="141">
        <f t="shared" si="20"/>
        <v>9.7133331234541986E-2</v>
      </c>
      <c r="V43" s="127" t="s">
        <v>229</v>
      </c>
      <c r="W43" s="141"/>
      <c r="X43" s="142">
        <f t="shared" si="4"/>
        <v>314585.97000000003</v>
      </c>
      <c r="Y43" s="141"/>
      <c r="Z43" s="142">
        <f t="shared" si="5"/>
        <v>407207.61</v>
      </c>
      <c r="AA43" s="141"/>
      <c r="AB43" s="142">
        <f t="shared" si="21"/>
        <v>-92621.639999999956</v>
      </c>
      <c r="AC43" s="142"/>
      <c r="AD43" s="141">
        <f t="shared" si="22"/>
        <v>0.77254442764466025</v>
      </c>
      <c r="AE43" s="142"/>
      <c r="AF43" s="141">
        <f t="shared" si="8"/>
        <v>-0.22745557235533975</v>
      </c>
    </row>
    <row r="44" spans="1:32" s="63" customFormat="1" ht="54.95" customHeight="1" x14ac:dyDescent="0.85">
      <c r="A44" s="126" t="s">
        <v>230</v>
      </c>
      <c r="B44" s="139">
        <f>CNT!N204</f>
        <v>36031.53</v>
      </c>
      <c r="C44" s="139">
        <v>0</v>
      </c>
      <c r="D44" s="139">
        <f>DEP!K32</f>
        <v>1952.82</v>
      </c>
      <c r="E44" s="139">
        <v>0</v>
      </c>
      <c r="F44" s="139">
        <f>'BSC (Dome)'!K27</f>
        <v>2753.04</v>
      </c>
      <c r="G44" s="139">
        <v>0</v>
      </c>
      <c r="H44" s="139">
        <v>0</v>
      </c>
      <c r="I44" s="139">
        <f t="shared" si="0"/>
        <v>40737.39</v>
      </c>
      <c r="J44" s="140">
        <f t="shared" si="19"/>
        <v>1.0446719926622708E-2</v>
      </c>
      <c r="K44" s="140"/>
      <c r="L44" s="127" t="s">
        <v>230</v>
      </c>
      <c r="M44" s="139">
        <v>50484.15</v>
      </c>
      <c r="N44" s="139">
        <v>0</v>
      </c>
      <c r="O44" s="139">
        <v>4116.4799999999996</v>
      </c>
      <c r="P44" s="139">
        <v>0</v>
      </c>
      <c r="Q44" s="139">
        <v>0</v>
      </c>
      <c r="R44" s="139">
        <v>0</v>
      </c>
      <c r="S44" s="139">
        <v>0</v>
      </c>
      <c r="T44" s="139">
        <f t="shared" si="2"/>
        <v>54600.630000000005</v>
      </c>
      <c r="U44" s="141">
        <f t="shared" si="20"/>
        <v>1.3024169856267349E-2</v>
      </c>
      <c r="V44" s="127" t="s">
        <v>230</v>
      </c>
      <c r="W44" s="141"/>
      <c r="X44" s="142">
        <f t="shared" si="4"/>
        <v>40737.39</v>
      </c>
      <c r="Y44" s="141"/>
      <c r="Z44" s="142">
        <f t="shared" si="5"/>
        <v>54600.630000000005</v>
      </c>
      <c r="AA44" s="141"/>
      <c r="AB44" s="142">
        <f t="shared" si="21"/>
        <v>-13863.240000000005</v>
      </c>
      <c r="AC44" s="142"/>
      <c r="AD44" s="141">
        <f t="shared" si="22"/>
        <v>0.74609743513948457</v>
      </c>
      <c r="AE44" s="142"/>
      <c r="AF44" s="141">
        <f t="shared" si="8"/>
        <v>-0.25390256486051543</v>
      </c>
    </row>
    <row r="45" spans="1:32" s="63" customFormat="1" ht="54.95" customHeight="1" x14ac:dyDescent="0.85">
      <c r="A45" s="126" t="s">
        <v>231</v>
      </c>
      <c r="B45" s="139">
        <f>CNT!N205</f>
        <v>80235</v>
      </c>
      <c r="C45" s="139">
        <v>0</v>
      </c>
      <c r="D45" s="139">
        <f>DEP!K33</f>
        <v>2800</v>
      </c>
      <c r="E45" s="139">
        <v>0</v>
      </c>
      <c r="F45" s="139">
        <f>'BSC (Dome)'!K29</f>
        <v>4250</v>
      </c>
      <c r="G45" s="139">
        <v>0</v>
      </c>
      <c r="H45" s="139">
        <v>0</v>
      </c>
      <c r="I45" s="139">
        <f t="shared" si="0"/>
        <v>87285</v>
      </c>
      <c r="J45" s="140">
        <f t="shared" si="19"/>
        <v>2.2383416041019392E-2</v>
      </c>
      <c r="K45" s="140"/>
      <c r="L45" s="127" t="s">
        <v>231</v>
      </c>
      <c r="M45" s="139">
        <v>103212</v>
      </c>
      <c r="N45" s="139">
        <v>0</v>
      </c>
      <c r="O45" s="139">
        <v>4095</v>
      </c>
      <c r="P45" s="139">
        <v>0</v>
      </c>
      <c r="Q45" s="139">
        <v>20907</v>
      </c>
      <c r="R45" s="139">
        <v>0</v>
      </c>
      <c r="S45" s="139">
        <v>0</v>
      </c>
      <c r="T45" s="139">
        <f t="shared" si="2"/>
        <v>128214</v>
      </c>
      <c r="U45" s="141">
        <f t="shared" si="20"/>
        <v>3.0583546635843978E-2</v>
      </c>
      <c r="V45" s="127" t="s">
        <v>231</v>
      </c>
      <c r="W45" s="141"/>
      <c r="X45" s="142">
        <f t="shared" si="4"/>
        <v>87285</v>
      </c>
      <c r="Y45" s="141"/>
      <c r="Z45" s="142">
        <f t="shared" si="5"/>
        <v>128214</v>
      </c>
      <c r="AA45" s="141"/>
      <c r="AB45" s="142">
        <f t="shared" si="21"/>
        <v>-40929</v>
      </c>
      <c r="AC45" s="142"/>
      <c r="AD45" s="141">
        <f t="shared" si="22"/>
        <v>0.6807758903083907</v>
      </c>
      <c r="AE45" s="142"/>
      <c r="AF45" s="141">
        <f t="shared" si="8"/>
        <v>-0.3192241096916093</v>
      </c>
    </row>
    <row r="46" spans="1:32" s="63" customFormat="1" ht="54.95" customHeight="1" x14ac:dyDescent="0.85">
      <c r="A46" s="126" t="s">
        <v>308</v>
      </c>
      <c r="B46" s="139">
        <f>CNT!N207+CNT!N206</f>
        <v>12577.039999999999</v>
      </c>
      <c r="C46" s="139">
        <v>0</v>
      </c>
      <c r="D46" s="139">
        <f>DEP!K34</f>
        <v>1481.01</v>
      </c>
      <c r="E46" s="139">
        <v>0</v>
      </c>
      <c r="F46" s="139">
        <f>'BSC (Dome)'!K28+'BSC (Dome)'!K30</f>
        <v>2646.5699999999997</v>
      </c>
      <c r="G46" s="139">
        <v>0</v>
      </c>
      <c r="H46" s="139">
        <v>0</v>
      </c>
      <c r="I46" s="139">
        <f t="shared" si="0"/>
        <v>16704.62</v>
      </c>
      <c r="J46" s="140">
        <f t="shared" si="19"/>
        <v>4.2837424444879804E-3</v>
      </c>
      <c r="K46" s="140"/>
      <c r="L46" s="127" t="s">
        <v>308</v>
      </c>
      <c r="M46" s="139">
        <f>4612.45+21275.67</f>
        <v>25888.12</v>
      </c>
      <c r="N46" s="139">
        <v>0</v>
      </c>
      <c r="O46" s="139">
        <v>103.09</v>
      </c>
      <c r="P46" s="139">
        <v>0</v>
      </c>
      <c r="Q46" s="139">
        <v>0</v>
      </c>
      <c r="R46" s="139">
        <v>0</v>
      </c>
      <c r="S46" s="139">
        <v>0</v>
      </c>
      <c r="T46" s="139">
        <f t="shared" si="2"/>
        <v>25991.21</v>
      </c>
      <c r="U46" s="141">
        <f t="shared" si="20"/>
        <v>6.1998173612633116E-3</v>
      </c>
      <c r="V46" s="127" t="s">
        <v>308</v>
      </c>
      <c r="W46" s="141"/>
      <c r="X46" s="142">
        <f t="shared" si="4"/>
        <v>16704.62</v>
      </c>
      <c r="Y46" s="141"/>
      <c r="Z46" s="142">
        <f t="shared" si="5"/>
        <v>25991.21</v>
      </c>
      <c r="AA46" s="141"/>
      <c r="AB46" s="142">
        <f t="shared" si="21"/>
        <v>-9286.59</v>
      </c>
      <c r="AC46" s="142"/>
      <c r="AD46" s="141">
        <f t="shared" si="22"/>
        <v>0.64270266755568517</v>
      </c>
      <c r="AE46" s="142"/>
      <c r="AF46" s="141">
        <f t="shared" si="8"/>
        <v>-0.35729733244431483</v>
      </c>
    </row>
    <row r="47" spans="1:32" s="63" customFormat="1" ht="54.95" customHeight="1" x14ac:dyDescent="0.85">
      <c r="A47" s="126" t="s">
        <v>232</v>
      </c>
      <c r="B47" s="139">
        <f>CNT!N208+CNT!N209</f>
        <v>6741.74</v>
      </c>
      <c r="C47" s="139">
        <v>0</v>
      </c>
      <c r="D47" s="139">
        <v>0</v>
      </c>
      <c r="E47" s="139">
        <v>0</v>
      </c>
      <c r="F47" s="139">
        <v>0</v>
      </c>
      <c r="G47" s="139">
        <v>0</v>
      </c>
      <c r="H47" s="139">
        <v>0</v>
      </c>
      <c r="I47" s="139">
        <f t="shared" si="0"/>
        <v>6741.74</v>
      </c>
      <c r="J47" s="140">
        <f t="shared" si="19"/>
        <v>1.7288557170233383E-3</v>
      </c>
      <c r="K47" s="140"/>
      <c r="L47" s="127" t="s">
        <v>232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f t="shared" si="2"/>
        <v>0</v>
      </c>
      <c r="U47" s="141">
        <f t="shared" si="20"/>
        <v>0</v>
      </c>
      <c r="V47" s="127" t="s">
        <v>232</v>
      </c>
      <c r="W47" s="141"/>
      <c r="X47" s="142">
        <f t="shared" si="4"/>
        <v>6741.74</v>
      </c>
      <c r="Y47" s="141"/>
      <c r="Z47" s="142">
        <f t="shared" si="5"/>
        <v>0</v>
      </c>
      <c r="AA47" s="141"/>
      <c r="AB47" s="142">
        <f t="shared" si="21"/>
        <v>6741.74</v>
      </c>
      <c r="AC47" s="142"/>
      <c r="AD47" s="141" t="e">
        <f t="shared" si="22"/>
        <v>#DIV/0!</v>
      </c>
      <c r="AE47" s="142"/>
      <c r="AF47" s="141" t="e">
        <f t="shared" si="8"/>
        <v>#DIV/0!</v>
      </c>
    </row>
    <row r="48" spans="1:32" s="63" customFormat="1" ht="54.95" customHeight="1" x14ac:dyDescent="0.85">
      <c r="A48" s="126" t="s">
        <v>247</v>
      </c>
      <c r="B48" s="139">
        <f>CNT!N234</f>
        <v>45648.72</v>
      </c>
      <c r="C48" s="139">
        <v>0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f t="shared" si="0"/>
        <v>45648.72</v>
      </c>
      <c r="J48" s="140">
        <f t="shared" si="19"/>
        <v>1.1706184241278603E-2</v>
      </c>
      <c r="K48" s="140"/>
      <c r="L48" s="127" t="s">
        <v>247</v>
      </c>
      <c r="M48" s="139">
        <v>45839.16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f t="shared" si="2"/>
        <v>45839.16</v>
      </c>
      <c r="U48" s="141">
        <f t="shared" si="20"/>
        <v>1.0934251233156394E-2</v>
      </c>
      <c r="V48" s="127" t="s">
        <v>247</v>
      </c>
      <c r="W48" s="141"/>
      <c r="X48" s="142">
        <f t="shared" si="4"/>
        <v>45648.72</v>
      </c>
      <c r="Y48" s="141"/>
      <c r="Z48" s="142">
        <f t="shared" si="5"/>
        <v>45839.16</v>
      </c>
      <c r="AA48" s="141"/>
      <c r="AB48" s="142">
        <f t="shared" si="21"/>
        <v>-190.44000000000233</v>
      </c>
      <c r="AC48" s="142"/>
      <c r="AD48" s="141">
        <f t="shared" si="22"/>
        <v>0.99584547360815512</v>
      </c>
      <c r="AE48" s="142"/>
      <c r="AF48" s="141">
        <f t="shared" si="8"/>
        <v>-4.1545263918448816E-3</v>
      </c>
    </row>
    <row r="49" spans="1:32" s="63" customFormat="1" ht="54.95" customHeight="1" x14ac:dyDescent="0.85">
      <c r="A49" s="137" t="s">
        <v>233</v>
      </c>
      <c r="B49" s="144">
        <f t="shared" ref="B49:H49" si="23">SUM(B40:B48)</f>
        <v>3481147.89</v>
      </c>
      <c r="C49" s="144">
        <f t="shared" si="23"/>
        <v>0</v>
      </c>
      <c r="D49" s="144">
        <f t="shared" si="23"/>
        <v>120456.16000000002</v>
      </c>
      <c r="E49" s="144">
        <f t="shared" si="23"/>
        <v>0</v>
      </c>
      <c r="F49" s="144">
        <f>SUM(F40:F48)</f>
        <v>297934.77999999997</v>
      </c>
      <c r="G49" s="144">
        <f t="shared" si="23"/>
        <v>0</v>
      </c>
      <c r="H49" s="144">
        <f t="shared" si="23"/>
        <v>0</v>
      </c>
      <c r="I49" s="144">
        <f t="shared" si="0"/>
        <v>3899538.83</v>
      </c>
      <c r="J49" s="145">
        <f>SUM(J40:J48)</f>
        <v>0.99999999999999978</v>
      </c>
      <c r="K49" s="146"/>
      <c r="L49" s="138" t="s">
        <v>233</v>
      </c>
      <c r="M49" s="144">
        <f t="shared" ref="M49:S49" si="24">SUM(M40:M48)</f>
        <v>3715583.1700000004</v>
      </c>
      <c r="N49" s="144">
        <f t="shared" si="24"/>
        <v>0</v>
      </c>
      <c r="O49" s="144">
        <f t="shared" si="24"/>
        <v>168801.16</v>
      </c>
      <c r="P49" s="144">
        <f t="shared" si="24"/>
        <v>0</v>
      </c>
      <c r="Q49" s="144">
        <f t="shared" si="24"/>
        <v>307869.81</v>
      </c>
      <c r="R49" s="144">
        <f>SUM(R40:R48)</f>
        <v>0</v>
      </c>
      <c r="S49" s="144">
        <f t="shared" si="24"/>
        <v>0</v>
      </c>
      <c r="T49" s="144">
        <f t="shared" si="2"/>
        <v>4192254.1400000006</v>
      </c>
      <c r="U49" s="147">
        <f>SUM(U40:U48)</f>
        <v>0.99999999999999989</v>
      </c>
      <c r="V49" s="138" t="s">
        <v>233</v>
      </c>
      <c r="W49" s="148"/>
      <c r="X49" s="149">
        <f t="shared" si="4"/>
        <v>3899538.83</v>
      </c>
      <c r="Y49" s="148"/>
      <c r="Z49" s="149">
        <f t="shared" si="5"/>
        <v>4192254.1400000006</v>
      </c>
      <c r="AA49" s="148"/>
      <c r="AB49" s="149">
        <f>I49-T49</f>
        <v>-292715.31000000052</v>
      </c>
      <c r="AC49" s="149"/>
      <c r="AD49" s="147">
        <f>I49/T49</f>
        <v>0.93017710753575633</v>
      </c>
      <c r="AE49" s="149"/>
      <c r="AF49" s="147">
        <f t="shared" si="8"/>
        <v>-6.9822892464243669E-2</v>
      </c>
    </row>
    <row r="50" spans="1:32" s="63" customFormat="1" ht="54.95" customHeight="1" x14ac:dyDescent="0.85">
      <c r="A50" s="126"/>
      <c r="B50" s="139"/>
      <c r="C50" s="139"/>
      <c r="D50" s="139"/>
      <c r="E50" s="139"/>
      <c r="F50" s="139"/>
      <c r="G50" s="139"/>
      <c r="H50" s="139"/>
      <c r="I50" s="139"/>
      <c r="J50" s="127"/>
      <c r="K50" s="127"/>
      <c r="L50" s="127"/>
      <c r="M50" s="139"/>
      <c r="N50" s="139"/>
      <c r="O50" s="139"/>
      <c r="P50" s="139"/>
      <c r="Q50" s="139"/>
      <c r="R50" s="139"/>
      <c r="S50" s="139"/>
      <c r="T50" s="139"/>
      <c r="U50" s="126"/>
      <c r="V50" s="127"/>
      <c r="W50" s="126"/>
      <c r="X50" s="142"/>
      <c r="Y50" s="126"/>
      <c r="Z50" s="142">
        <f t="shared" si="5"/>
        <v>0</v>
      </c>
      <c r="AA50" s="126"/>
      <c r="AB50" s="142"/>
      <c r="AC50" s="142"/>
      <c r="AD50" s="150"/>
      <c r="AE50" s="142"/>
      <c r="AF50" s="150"/>
    </row>
    <row r="51" spans="1:32" s="63" customFormat="1" ht="54.95" customHeight="1" x14ac:dyDescent="0.85">
      <c r="A51" s="137" t="s">
        <v>234</v>
      </c>
      <c r="B51" s="139"/>
      <c r="C51" s="139"/>
      <c r="D51" s="139"/>
      <c r="E51" s="139"/>
      <c r="F51" s="139"/>
      <c r="G51" s="139"/>
      <c r="H51" s="139"/>
      <c r="I51" s="139"/>
      <c r="J51" s="127"/>
      <c r="K51" s="127"/>
      <c r="L51" s="138" t="s">
        <v>234</v>
      </c>
      <c r="M51" s="139"/>
      <c r="N51" s="139"/>
      <c r="O51" s="139"/>
      <c r="P51" s="139"/>
      <c r="Q51" s="139"/>
      <c r="R51" s="139"/>
      <c r="S51" s="139"/>
      <c r="T51" s="139"/>
      <c r="U51" s="126"/>
      <c r="V51" s="138" t="s">
        <v>234</v>
      </c>
      <c r="W51" s="126"/>
      <c r="X51" s="142"/>
      <c r="Y51" s="126"/>
      <c r="Z51" s="142">
        <f t="shared" si="5"/>
        <v>0</v>
      </c>
      <c r="AA51" s="126"/>
      <c r="AB51" s="142"/>
      <c r="AC51" s="142"/>
      <c r="AD51" s="150"/>
      <c r="AE51" s="142"/>
      <c r="AF51" s="150"/>
    </row>
    <row r="52" spans="1:32" s="63" customFormat="1" ht="54.95" customHeight="1" x14ac:dyDescent="0.85">
      <c r="A52" s="126" t="s">
        <v>235</v>
      </c>
      <c r="B52" s="139">
        <f>CNT!N212+CNT!N213+CNT!N230</f>
        <v>387800</v>
      </c>
      <c r="C52" s="139">
        <v>0</v>
      </c>
      <c r="D52" s="139">
        <f>DEP!K38</f>
        <v>337500</v>
      </c>
      <c r="E52" s="139">
        <v>0</v>
      </c>
      <c r="F52" s="139">
        <f>'BSC (Dome)'!K35</f>
        <v>9000</v>
      </c>
      <c r="G52" s="139">
        <v>0</v>
      </c>
      <c r="H52" s="139">
        <v>0</v>
      </c>
      <c r="I52" s="139">
        <f t="shared" ref="I52:I74" si="25">SUM(B52:H52)</f>
        <v>734300</v>
      </c>
      <c r="J52" s="140">
        <f t="shared" ref="J52:J73" si="26">I52/$I$74</f>
        <v>0.22135869120587071</v>
      </c>
      <c r="K52" s="140"/>
      <c r="L52" s="127" t="s">
        <v>235</v>
      </c>
      <c r="M52" s="139">
        <v>265300</v>
      </c>
      <c r="N52" s="139">
        <v>0</v>
      </c>
      <c r="O52" s="139">
        <v>225000</v>
      </c>
      <c r="P52" s="139">
        <v>0</v>
      </c>
      <c r="Q52" s="139">
        <v>9000</v>
      </c>
      <c r="R52" s="139">
        <v>0</v>
      </c>
      <c r="S52" s="139">
        <v>0</v>
      </c>
      <c r="T52" s="139">
        <f t="shared" si="2"/>
        <v>499300</v>
      </c>
      <c r="U52" s="141">
        <f t="shared" ref="U52:U69" si="27">T52/$T$74</f>
        <v>0.24266270928322159</v>
      </c>
      <c r="V52" s="127" t="s">
        <v>235</v>
      </c>
      <c r="W52" s="141"/>
      <c r="X52" s="142">
        <f t="shared" si="4"/>
        <v>734300</v>
      </c>
      <c r="Y52" s="141"/>
      <c r="Z52" s="142">
        <f t="shared" si="5"/>
        <v>499300</v>
      </c>
      <c r="AA52" s="141"/>
      <c r="AB52" s="142">
        <f>I52-T52</f>
        <v>235000</v>
      </c>
      <c r="AC52" s="142"/>
      <c r="AD52" s="141">
        <f>I52/T52</f>
        <v>1.4706589224914881</v>
      </c>
      <c r="AE52" s="142"/>
      <c r="AF52" s="141">
        <f t="shared" si="8"/>
        <v>0.47065892249148811</v>
      </c>
    </row>
    <row r="53" spans="1:32" s="63" customFormat="1" ht="54.95" customHeight="1" x14ac:dyDescent="0.85">
      <c r="A53" s="126" t="s">
        <v>236</v>
      </c>
      <c r="B53" s="139">
        <f>CNT!N214</f>
        <v>893.98000000000138</v>
      </c>
      <c r="C53" s="139">
        <v>0</v>
      </c>
      <c r="D53" s="139">
        <f>DEP!K39</f>
        <v>62173.06</v>
      </c>
      <c r="E53" s="139">
        <v>0</v>
      </c>
      <c r="F53" s="139">
        <f>'BSC (Dome)'!K37</f>
        <v>5384.5</v>
      </c>
      <c r="G53" s="139">
        <v>0</v>
      </c>
      <c r="H53" s="139">
        <v>0</v>
      </c>
      <c r="I53" s="139">
        <f t="shared" si="25"/>
        <v>68451.540000000008</v>
      </c>
      <c r="J53" s="140">
        <f t="shared" si="26"/>
        <v>2.0635085531017717E-2</v>
      </c>
      <c r="K53" s="140"/>
      <c r="L53" s="127" t="s">
        <v>236</v>
      </c>
      <c r="M53" s="139">
        <v>68157.75</v>
      </c>
      <c r="N53" s="139">
        <v>0</v>
      </c>
      <c r="O53" s="139">
        <v>52131.88</v>
      </c>
      <c r="P53" s="139">
        <v>0</v>
      </c>
      <c r="Q53" s="139">
        <v>35511.370000000003</v>
      </c>
      <c r="R53" s="139">
        <v>0</v>
      </c>
      <c r="S53" s="139">
        <v>0</v>
      </c>
      <c r="T53" s="139">
        <f t="shared" si="2"/>
        <v>155801</v>
      </c>
      <c r="U53" s="141">
        <f t="shared" si="27"/>
        <v>7.5720193809403577E-2</v>
      </c>
      <c r="V53" s="127" t="s">
        <v>236</v>
      </c>
      <c r="W53" s="141"/>
      <c r="X53" s="142">
        <f t="shared" si="4"/>
        <v>68451.540000000008</v>
      </c>
      <c r="Y53" s="141"/>
      <c r="Z53" s="142">
        <f t="shared" si="5"/>
        <v>155801</v>
      </c>
      <c r="AA53" s="141"/>
      <c r="AB53" s="142">
        <f t="shared" ref="AB53:AB73" si="28">I53-T53</f>
        <v>-87349.459999999992</v>
      </c>
      <c r="AC53" s="142"/>
      <c r="AD53" s="141">
        <f t="shared" ref="AD53:AD71" si="29">I53/T53</f>
        <v>0.43935237899628377</v>
      </c>
      <c r="AE53" s="142"/>
      <c r="AF53" s="141">
        <f t="shared" si="8"/>
        <v>-0.56064762100371623</v>
      </c>
    </row>
    <row r="54" spans="1:32" s="63" customFormat="1" ht="54.95" customHeight="1" x14ac:dyDescent="0.85">
      <c r="A54" s="126" t="s">
        <v>237</v>
      </c>
      <c r="B54" s="139">
        <f>CNT!N215</f>
        <v>8811.7099999999991</v>
      </c>
      <c r="C54" s="139">
        <v>0</v>
      </c>
      <c r="D54" s="139">
        <v>0</v>
      </c>
      <c r="E54" s="139">
        <v>0</v>
      </c>
      <c r="F54" s="139">
        <f>'BSC (Dome)'!K36</f>
        <v>60025.37</v>
      </c>
      <c r="G54" s="139">
        <v>0</v>
      </c>
      <c r="H54" s="139">
        <v>0</v>
      </c>
      <c r="I54" s="139">
        <f t="shared" si="25"/>
        <v>68837.08</v>
      </c>
      <c r="J54" s="140">
        <f t="shared" si="26"/>
        <v>2.0751308641200897E-2</v>
      </c>
      <c r="K54" s="140"/>
      <c r="L54" s="127" t="s">
        <v>237</v>
      </c>
      <c r="M54" s="139">
        <v>7035.48</v>
      </c>
      <c r="N54" s="139">
        <v>0</v>
      </c>
      <c r="O54" s="139">
        <v>0</v>
      </c>
      <c r="P54" s="139">
        <v>0</v>
      </c>
      <c r="Q54" s="139">
        <v>69140.490000000005</v>
      </c>
      <c r="R54" s="139">
        <v>0</v>
      </c>
      <c r="S54" s="139">
        <v>0</v>
      </c>
      <c r="T54" s="139">
        <f t="shared" si="2"/>
        <v>76175.97</v>
      </c>
      <c r="U54" s="141">
        <f t="shared" si="27"/>
        <v>3.7021965276341696E-2</v>
      </c>
      <c r="V54" s="127" t="s">
        <v>237</v>
      </c>
      <c r="W54" s="141"/>
      <c r="X54" s="142">
        <f t="shared" si="4"/>
        <v>68837.08</v>
      </c>
      <c r="Y54" s="141"/>
      <c r="Z54" s="142">
        <f t="shared" si="5"/>
        <v>76175.97</v>
      </c>
      <c r="AA54" s="141"/>
      <c r="AB54" s="142">
        <f t="shared" si="28"/>
        <v>-7338.8899999999994</v>
      </c>
      <c r="AC54" s="142"/>
      <c r="AD54" s="141">
        <f t="shared" si="29"/>
        <v>0.90365872597355834</v>
      </c>
      <c r="AE54" s="142"/>
      <c r="AF54" s="141">
        <f t="shared" si="8"/>
        <v>-9.6341274026441659E-2</v>
      </c>
    </row>
    <row r="55" spans="1:32" s="63" customFormat="1" ht="54.95" customHeight="1" x14ac:dyDescent="0.85">
      <c r="A55" s="126" t="s">
        <v>338</v>
      </c>
      <c r="B55" s="139">
        <f>CNT!N216</f>
        <v>579.03</v>
      </c>
      <c r="C55" s="139">
        <v>0</v>
      </c>
      <c r="D55" s="139">
        <v>0</v>
      </c>
      <c r="E55" s="139">
        <v>0</v>
      </c>
      <c r="F55" s="139">
        <f>'BSC (Dome)'!K38</f>
        <v>2032.02</v>
      </c>
      <c r="G55" s="139">
        <v>0</v>
      </c>
      <c r="H55" s="139">
        <v>0</v>
      </c>
      <c r="I55" s="139">
        <f t="shared" si="25"/>
        <v>2611.0500000000002</v>
      </c>
      <c r="J55" s="140">
        <f t="shared" si="26"/>
        <v>7.8711509011723921E-4</v>
      </c>
      <c r="K55" s="140"/>
      <c r="L55" s="127" t="s">
        <v>338</v>
      </c>
      <c r="M55" s="139">
        <v>1186.8699999999999</v>
      </c>
      <c r="N55" s="139">
        <v>0</v>
      </c>
      <c r="O55" s="139">
        <v>0</v>
      </c>
      <c r="P55" s="139">
        <v>0</v>
      </c>
      <c r="Q55" s="139">
        <v>1166.22</v>
      </c>
      <c r="R55" s="139">
        <v>0</v>
      </c>
      <c r="S55" s="139">
        <v>0</v>
      </c>
      <c r="T55" s="139">
        <f t="shared" si="2"/>
        <v>2353.09</v>
      </c>
      <c r="U55" s="141">
        <f t="shared" si="27"/>
        <v>1.1436154508056397E-3</v>
      </c>
      <c r="V55" s="127" t="s">
        <v>338</v>
      </c>
      <c r="W55" s="141"/>
      <c r="X55" s="142">
        <f t="shared" si="4"/>
        <v>2611.0500000000002</v>
      </c>
      <c r="Y55" s="141"/>
      <c r="Z55" s="142">
        <f t="shared" si="5"/>
        <v>2353.09</v>
      </c>
      <c r="AA55" s="141"/>
      <c r="AB55" s="142">
        <f t="shared" si="28"/>
        <v>257.96000000000004</v>
      </c>
      <c r="AC55" s="142"/>
      <c r="AD55" s="141">
        <f t="shared" si="29"/>
        <v>1.109626066151316</v>
      </c>
      <c r="AE55" s="142"/>
      <c r="AF55" s="141">
        <f t="shared" si="8"/>
        <v>0.10962606615131598</v>
      </c>
    </row>
    <row r="56" spans="1:32" s="63" customFormat="1" ht="54.95" customHeight="1" x14ac:dyDescent="0.85">
      <c r="A56" s="126" t="s">
        <v>291</v>
      </c>
      <c r="B56" s="139">
        <f>CNT!N217</f>
        <v>178.45</v>
      </c>
      <c r="C56" s="139">
        <v>0</v>
      </c>
      <c r="D56" s="139">
        <f>DEP!K40</f>
        <v>1350</v>
      </c>
      <c r="E56" s="139">
        <v>0</v>
      </c>
      <c r="F56" s="139">
        <f>'BSC (Dome)'!K39</f>
        <v>5749.14</v>
      </c>
      <c r="G56" s="139">
        <v>0</v>
      </c>
      <c r="H56" s="139">
        <v>0</v>
      </c>
      <c r="I56" s="139">
        <f t="shared" si="25"/>
        <v>7277.59</v>
      </c>
      <c r="J56" s="140">
        <f t="shared" si="26"/>
        <v>2.1938687151476679E-3</v>
      </c>
      <c r="K56" s="140"/>
      <c r="L56" s="127" t="s">
        <v>291</v>
      </c>
      <c r="M56" s="139">
        <v>0</v>
      </c>
      <c r="N56" s="139">
        <v>0</v>
      </c>
      <c r="O56" s="139">
        <v>1143.5</v>
      </c>
      <c r="P56" s="139">
        <v>0</v>
      </c>
      <c r="Q56" s="139">
        <v>4218.58</v>
      </c>
      <c r="R56" s="139">
        <v>0</v>
      </c>
      <c r="S56" s="139">
        <v>0</v>
      </c>
      <c r="T56" s="139">
        <f t="shared" si="2"/>
        <v>5362.08</v>
      </c>
      <c r="U56" s="141">
        <f t="shared" si="27"/>
        <v>2.6060021233594568E-3</v>
      </c>
      <c r="V56" s="127" t="s">
        <v>291</v>
      </c>
      <c r="W56" s="141"/>
      <c r="X56" s="142">
        <f t="shared" si="4"/>
        <v>7277.59</v>
      </c>
      <c r="Y56" s="141"/>
      <c r="Z56" s="142">
        <f t="shared" si="5"/>
        <v>5362.08</v>
      </c>
      <c r="AA56" s="141"/>
      <c r="AB56" s="142">
        <f t="shared" si="28"/>
        <v>1915.5100000000002</v>
      </c>
      <c r="AC56" s="142"/>
      <c r="AD56" s="141">
        <f t="shared" si="29"/>
        <v>1.3572326410646616</v>
      </c>
      <c r="AE56" s="142"/>
      <c r="AF56" s="141">
        <f t="shared" si="8"/>
        <v>0.35723264106466157</v>
      </c>
    </row>
    <row r="57" spans="1:32" s="63" customFormat="1" ht="54.95" customHeight="1" x14ac:dyDescent="0.85">
      <c r="A57" s="127" t="s">
        <v>451</v>
      </c>
      <c r="B57" s="170">
        <f>CNT!N218</f>
        <v>19715</v>
      </c>
      <c r="C57" s="139">
        <v>0</v>
      </c>
      <c r="D57" s="139">
        <f>DEP!K41</f>
        <v>19724.2</v>
      </c>
      <c r="E57" s="139">
        <v>0</v>
      </c>
      <c r="F57" s="139">
        <v>0</v>
      </c>
      <c r="G57" s="139">
        <v>0</v>
      </c>
      <c r="H57" s="139">
        <v>0</v>
      </c>
      <c r="I57" s="139">
        <f t="shared" si="25"/>
        <v>39439.199999999997</v>
      </c>
      <c r="J57" s="140">
        <f t="shared" si="26"/>
        <v>1.1889159327531765E-2</v>
      </c>
      <c r="K57" s="140"/>
      <c r="L57" s="127" t="s">
        <v>451</v>
      </c>
      <c r="M57" s="139">
        <v>9589</v>
      </c>
      <c r="N57" s="139">
        <v>0</v>
      </c>
      <c r="O57" s="139">
        <v>5293</v>
      </c>
      <c r="P57" s="139">
        <v>0</v>
      </c>
      <c r="Q57" s="139">
        <v>0</v>
      </c>
      <c r="R57" s="139">
        <v>0</v>
      </c>
      <c r="S57" s="139">
        <v>0</v>
      </c>
      <c r="T57" s="139">
        <f t="shared" si="2"/>
        <v>14882</v>
      </c>
      <c r="U57" s="141">
        <f t="shared" si="27"/>
        <v>7.2327387133044336E-3</v>
      </c>
      <c r="V57" s="127" t="s">
        <v>451</v>
      </c>
      <c r="W57" s="141"/>
      <c r="X57" s="142">
        <f t="shared" si="4"/>
        <v>39439.199999999997</v>
      </c>
      <c r="Y57" s="141"/>
      <c r="Z57" s="142">
        <f t="shared" si="5"/>
        <v>14882</v>
      </c>
      <c r="AA57" s="141"/>
      <c r="AB57" s="142">
        <f t="shared" si="28"/>
        <v>24557.199999999997</v>
      </c>
      <c r="AC57" s="142"/>
      <c r="AD57" s="141">
        <f t="shared" si="29"/>
        <v>2.6501276710119606</v>
      </c>
      <c r="AE57" s="142"/>
      <c r="AF57" s="141">
        <f t="shared" si="8"/>
        <v>1.6501276710119606</v>
      </c>
    </row>
    <row r="58" spans="1:32" s="63" customFormat="1" ht="54.95" customHeight="1" x14ac:dyDescent="0.85">
      <c r="A58" s="126" t="s">
        <v>376</v>
      </c>
      <c r="B58" s="139">
        <f>CNT!N219+CNT!N227</f>
        <v>102062.59999999999</v>
      </c>
      <c r="C58" s="139">
        <v>0</v>
      </c>
      <c r="D58" s="139">
        <f>DEP!K42</f>
        <v>26534.739999999998</v>
      </c>
      <c r="E58" s="139">
        <v>0</v>
      </c>
      <c r="F58" s="139">
        <f>'BSC (Dome)'!K41</f>
        <v>2914.58</v>
      </c>
      <c r="G58" s="139">
        <v>0</v>
      </c>
      <c r="H58" s="139">
        <v>0</v>
      </c>
      <c r="I58" s="139">
        <f t="shared" si="25"/>
        <v>131511.91999999998</v>
      </c>
      <c r="J58" s="140">
        <f t="shared" si="26"/>
        <v>3.9644976833952295E-2</v>
      </c>
      <c r="K58" s="140"/>
      <c r="L58" s="127" t="s">
        <v>238</v>
      </c>
      <c r="M58" s="139">
        <v>123797.52</v>
      </c>
      <c r="N58" s="139">
        <v>0</v>
      </c>
      <c r="O58" s="139">
        <v>0</v>
      </c>
      <c r="P58" s="139">
        <v>0</v>
      </c>
      <c r="Q58" s="139">
        <v>712.05</v>
      </c>
      <c r="R58" s="139">
        <v>0</v>
      </c>
      <c r="S58" s="139">
        <v>0</v>
      </c>
      <c r="T58" s="139">
        <f t="shared" si="2"/>
        <v>124509.57</v>
      </c>
      <c r="U58" s="141">
        <f t="shared" si="27"/>
        <v>6.0512376502881896E-2</v>
      </c>
      <c r="V58" s="127" t="s">
        <v>238</v>
      </c>
      <c r="W58" s="141"/>
      <c r="X58" s="142">
        <f t="shared" si="4"/>
        <v>131511.91999999998</v>
      </c>
      <c r="Y58" s="141"/>
      <c r="Z58" s="142">
        <f t="shared" si="5"/>
        <v>124509.57</v>
      </c>
      <c r="AA58" s="141"/>
      <c r="AB58" s="142">
        <f t="shared" si="28"/>
        <v>7002.3499999999767</v>
      </c>
      <c r="AC58" s="142"/>
      <c r="AD58" s="141">
        <f t="shared" si="29"/>
        <v>1.0562394521160099</v>
      </c>
      <c r="AE58" s="142"/>
      <c r="AF58" s="141">
        <f t="shared" si="8"/>
        <v>5.6239452116009891E-2</v>
      </c>
    </row>
    <row r="59" spans="1:32" s="63" customFormat="1" ht="54.95" customHeight="1" x14ac:dyDescent="0.85">
      <c r="A59" s="126" t="s">
        <v>377</v>
      </c>
      <c r="B59" s="139"/>
      <c r="C59" s="139">
        <f>BPM!K42</f>
        <v>2719.73</v>
      </c>
      <c r="D59" s="139">
        <v>0</v>
      </c>
      <c r="E59" s="139">
        <v>0</v>
      </c>
      <c r="F59" s="139">
        <f>'BSC (Dome)'!K42+'BSC (Dome)'!K48</f>
        <v>11135.36</v>
      </c>
      <c r="G59" s="139">
        <v>0</v>
      </c>
      <c r="H59" s="139">
        <v>0</v>
      </c>
      <c r="I59" s="139">
        <f t="shared" si="25"/>
        <v>13855.09</v>
      </c>
      <c r="J59" s="140">
        <f t="shared" si="26"/>
        <v>4.1766915279035097E-3</v>
      </c>
      <c r="K59" s="140"/>
      <c r="L59" s="127" t="s">
        <v>377</v>
      </c>
      <c r="M59" s="139">
        <v>0</v>
      </c>
      <c r="N59" s="139">
        <v>9446.11</v>
      </c>
      <c r="O59" s="139">
        <v>29252.34</v>
      </c>
      <c r="P59" s="139">
        <v>0</v>
      </c>
      <c r="Q59" s="139">
        <f>6182.53+4360.11+862.3</f>
        <v>11404.939999999999</v>
      </c>
      <c r="R59" s="139">
        <v>0</v>
      </c>
      <c r="S59" s="139">
        <v>0</v>
      </c>
      <c r="T59" s="139">
        <f t="shared" si="2"/>
        <v>50103.39</v>
      </c>
      <c r="U59" s="141">
        <f t="shared" si="27"/>
        <v>2.4350539478617809E-2</v>
      </c>
      <c r="V59" s="127" t="s">
        <v>377</v>
      </c>
      <c r="W59" s="141"/>
      <c r="X59" s="142">
        <f t="shared" si="4"/>
        <v>13855.09</v>
      </c>
      <c r="Y59" s="141"/>
      <c r="Z59" s="142">
        <f t="shared" si="5"/>
        <v>50103.39</v>
      </c>
      <c r="AA59" s="141"/>
      <c r="AB59" s="142">
        <f>I59-T59</f>
        <v>-36248.300000000003</v>
      </c>
      <c r="AC59" s="142"/>
      <c r="AD59" s="141">
        <f t="shared" si="29"/>
        <v>0.27652999128402289</v>
      </c>
      <c r="AE59" s="142"/>
      <c r="AF59" s="141">
        <f t="shared" si="8"/>
        <v>-0.72347000871597711</v>
      </c>
    </row>
    <row r="60" spans="1:32" s="63" customFormat="1" ht="54.95" customHeight="1" x14ac:dyDescent="0.85">
      <c r="A60" s="126" t="s">
        <v>240</v>
      </c>
      <c r="B60" s="139">
        <f>CNT!N220</f>
        <v>79598.200000000012</v>
      </c>
      <c r="C60" s="139">
        <v>0</v>
      </c>
      <c r="D60" s="139">
        <f>DEP!K43</f>
        <v>47875.950000000012</v>
      </c>
      <c r="E60" s="139">
        <v>0</v>
      </c>
      <c r="F60" s="139">
        <f>'BSC (Dome)'!K44</f>
        <v>486.66999999999996</v>
      </c>
      <c r="G60" s="139">
        <v>0</v>
      </c>
      <c r="H60" s="139">
        <v>0</v>
      </c>
      <c r="I60" s="139">
        <f t="shared" si="25"/>
        <v>127960.82000000002</v>
      </c>
      <c r="J60" s="140">
        <f t="shared" si="26"/>
        <v>3.8574478606604942E-2</v>
      </c>
      <c r="K60" s="140"/>
      <c r="L60" s="127" t="s">
        <v>240</v>
      </c>
      <c r="M60" s="139">
        <v>82144.95</v>
      </c>
      <c r="N60" s="139">
        <v>0</v>
      </c>
      <c r="O60" s="139">
        <v>38853</v>
      </c>
      <c r="P60" s="139">
        <v>0</v>
      </c>
      <c r="Q60" s="139">
        <v>756.98</v>
      </c>
      <c r="R60" s="139">
        <v>0</v>
      </c>
      <c r="S60" s="139">
        <v>0</v>
      </c>
      <c r="T60" s="139">
        <f t="shared" si="2"/>
        <v>121754.93</v>
      </c>
      <c r="U60" s="141">
        <f t="shared" si="27"/>
        <v>5.9173605412355286E-2</v>
      </c>
      <c r="V60" s="127" t="s">
        <v>240</v>
      </c>
      <c r="W60" s="141"/>
      <c r="X60" s="142">
        <f t="shared" si="4"/>
        <v>127960.82000000002</v>
      </c>
      <c r="Y60" s="141"/>
      <c r="Z60" s="142">
        <f t="shared" si="5"/>
        <v>121754.93</v>
      </c>
      <c r="AA60" s="141"/>
      <c r="AB60" s="142">
        <f t="shared" si="28"/>
        <v>6205.8900000000285</v>
      </c>
      <c r="AC60" s="142"/>
      <c r="AD60" s="141">
        <f t="shared" si="29"/>
        <v>1.050970338531672</v>
      </c>
      <c r="AE60" s="142"/>
      <c r="AF60" s="141">
        <f t="shared" si="8"/>
        <v>5.0970338531671988E-2</v>
      </c>
    </row>
    <row r="61" spans="1:32" s="63" customFormat="1" ht="54.95" customHeight="1" x14ac:dyDescent="0.85">
      <c r="A61" s="126" t="s">
        <v>241</v>
      </c>
      <c r="B61" s="139">
        <f>CNT!N221</f>
        <v>33500</v>
      </c>
      <c r="C61" s="139">
        <v>0</v>
      </c>
      <c r="D61" s="139">
        <f>DEP!K44</f>
        <v>11805.94</v>
      </c>
      <c r="E61" s="139">
        <v>0</v>
      </c>
      <c r="F61" s="139">
        <v>0</v>
      </c>
      <c r="G61" s="139">
        <v>0</v>
      </c>
      <c r="H61" s="139">
        <v>0</v>
      </c>
      <c r="I61" s="139">
        <f t="shared" si="25"/>
        <v>45305.94</v>
      </c>
      <c r="J61" s="140">
        <f t="shared" si="26"/>
        <v>1.3657719708908765E-2</v>
      </c>
      <c r="K61" s="140"/>
      <c r="L61" s="127" t="s">
        <v>241</v>
      </c>
      <c r="M61" s="139">
        <v>26602.55</v>
      </c>
      <c r="N61" s="139">
        <v>0</v>
      </c>
      <c r="O61" s="139">
        <v>15556.47</v>
      </c>
      <c r="P61" s="139">
        <v>0</v>
      </c>
      <c r="Q61" s="139">
        <v>0</v>
      </c>
      <c r="R61" s="139">
        <v>0</v>
      </c>
      <c r="S61" s="139">
        <v>0</v>
      </c>
      <c r="T61" s="139">
        <f t="shared" si="2"/>
        <v>42159.02</v>
      </c>
      <c r="U61" s="141">
        <f t="shared" si="27"/>
        <v>2.0489529368967602E-2</v>
      </c>
      <c r="V61" s="127" t="s">
        <v>241</v>
      </c>
      <c r="W61" s="141"/>
      <c r="X61" s="142">
        <f t="shared" si="4"/>
        <v>45305.94</v>
      </c>
      <c r="Y61" s="141"/>
      <c r="Z61" s="142">
        <f t="shared" si="5"/>
        <v>42159.02</v>
      </c>
      <c r="AA61" s="141"/>
      <c r="AB61" s="142">
        <f t="shared" si="28"/>
        <v>3146.9200000000055</v>
      </c>
      <c r="AC61" s="142"/>
      <c r="AD61" s="141">
        <f t="shared" si="29"/>
        <v>1.0746440500751679</v>
      </c>
      <c r="AE61" s="142"/>
      <c r="AF61" s="141">
        <f t="shared" si="8"/>
        <v>7.4644050075167945E-2</v>
      </c>
    </row>
    <row r="62" spans="1:32" s="63" customFormat="1" ht="54.95" customHeight="1" x14ac:dyDescent="0.85">
      <c r="A62" s="126" t="s">
        <v>239</v>
      </c>
      <c r="B62" s="139">
        <f>CNT!N222</f>
        <v>45578.289999999994</v>
      </c>
      <c r="C62" s="139">
        <v>0</v>
      </c>
      <c r="D62" s="139">
        <f>DEP!K45</f>
        <v>149035.41</v>
      </c>
      <c r="E62" s="139">
        <v>0</v>
      </c>
      <c r="F62" s="139">
        <f>'BSC (Dome)'!K46</f>
        <v>21818</v>
      </c>
      <c r="G62" s="139">
        <v>0</v>
      </c>
      <c r="H62" s="139">
        <v>0</v>
      </c>
      <c r="I62" s="139">
        <f t="shared" si="25"/>
        <v>216431.7</v>
      </c>
      <c r="J62" s="140">
        <f t="shared" si="26"/>
        <v>6.5244502039304986E-2</v>
      </c>
      <c r="K62" s="140"/>
      <c r="L62" s="127" t="s">
        <v>239</v>
      </c>
      <c r="M62" s="139">
        <v>41179.35</v>
      </c>
      <c r="N62" s="139">
        <v>0</v>
      </c>
      <c r="O62" s="139">
        <v>0</v>
      </c>
      <c r="P62" s="139">
        <v>0</v>
      </c>
      <c r="Q62" s="139">
        <v>23420</v>
      </c>
      <c r="R62" s="139">
        <v>0</v>
      </c>
      <c r="S62" s="139">
        <v>0</v>
      </c>
      <c r="T62" s="139">
        <f t="shared" si="2"/>
        <v>64599.35</v>
      </c>
      <c r="U62" s="141">
        <f t="shared" si="27"/>
        <v>3.1395660502573766E-2</v>
      </c>
      <c r="V62" s="127" t="s">
        <v>239</v>
      </c>
      <c r="W62" s="141"/>
      <c r="X62" s="142">
        <f t="shared" si="4"/>
        <v>216431.7</v>
      </c>
      <c r="Y62" s="141"/>
      <c r="Z62" s="142">
        <f t="shared" si="5"/>
        <v>64599.35</v>
      </c>
      <c r="AA62" s="141"/>
      <c r="AB62" s="142">
        <f t="shared" si="28"/>
        <v>151832.35</v>
      </c>
      <c r="AC62" s="142"/>
      <c r="AD62" s="141">
        <f t="shared" si="29"/>
        <v>3.3503696244621657</v>
      </c>
      <c r="AE62" s="142"/>
      <c r="AF62" s="141">
        <f t="shared" si="8"/>
        <v>2.3503696244621657</v>
      </c>
    </row>
    <row r="63" spans="1:32" s="63" customFormat="1" ht="54.95" customHeight="1" x14ac:dyDescent="0.85">
      <c r="A63" s="126" t="s">
        <v>361</v>
      </c>
      <c r="B63" s="139">
        <v>0</v>
      </c>
      <c r="C63" s="139">
        <v>0</v>
      </c>
      <c r="D63" s="139">
        <v>0</v>
      </c>
      <c r="E63" s="139">
        <v>0</v>
      </c>
      <c r="F63" s="139">
        <f>'BSC (Dome)'!K43</f>
        <v>13379.36</v>
      </c>
      <c r="G63" s="139">
        <v>0</v>
      </c>
      <c r="H63" s="139">
        <v>0</v>
      </c>
      <c r="I63" s="139">
        <f t="shared" si="25"/>
        <v>13379.36</v>
      </c>
      <c r="J63" s="140">
        <f t="shared" si="26"/>
        <v>4.0332801563014824E-3</v>
      </c>
      <c r="K63" s="140"/>
      <c r="L63" s="127" t="s">
        <v>361</v>
      </c>
      <c r="M63" s="139">
        <v>0</v>
      </c>
      <c r="N63" s="139">
        <v>0</v>
      </c>
      <c r="O63" s="139">
        <v>0</v>
      </c>
      <c r="P63" s="139">
        <v>0</v>
      </c>
      <c r="Q63" s="139">
        <f>930.6+8582</f>
        <v>9512.6</v>
      </c>
      <c r="R63" s="139">
        <v>0</v>
      </c>
      <c r="S63" s="139">
        <v>0</v>
      </c>
      <c r="T63" s="139">
        <f t="shared" si="2"/>
        <v>9512.6</v>
      </c>
      <c r="U63" s="141">
        <f t="shared" si="27"/>
        <v>4.6231790272933584E-3</v>
      </c>
      <c r="V63" s="127" t="s">
        <v>361</v>
      </c>
      <c r="W63" s="141"/>
      <c r="X63" s="142">
        <f t="shared" si="4"/>
        <v>13379.36</v>
      </c>
      <c r="Y63" s="141"/>
      <c r="Z63" s="142">
        <f t="shared" si="5"/>
        <v>9512.6</v>
      </c>
      <c r="AA63" s="141"/>
      <c r="AB63" s="142">
        <f t="shared" si="28"/>
        <v>3866.76</v>
      </c>
      <c r="AC63" s="142"/>
      <c r="AD63" s="141">
        <f t="shared" si="29"/>
        <v>1.4064882366545424</v>
      </c>
      <c r="AE63" s="142"/>
      <c r="AF63" s="141">
        <f t="shared" si="8"/>
        <v>0.40648823665454237</v>
      </c>
    </row>
    <row r="64" spans="1:32" s="63" customFormat="1" ht="54.95" customHeight="1" x14ac:dyDescent="0.85">
      <c r="A64" s="126" t="s">
        <v>242</v>
      </c>
      <c r="B64" s="139">
        <f>CNT!N262+CNT!N223</f>
        <v>16793.27</v>
      </c>
      <c r="C64" s="139">
        <v>0</v>
      </c>
      <c r="D64" s="139">
        <f>DEP!K46</f>
        <v>187.99</v>
      </c>
      <c r="E64" s="139">
        <v>0</v>
      </c>
      <c r="F64" s="139">
        <f>'BSC (Dome)'!K49</f>
        <v>1417.5100000000002</v>
      </c>
      <c r="G64" s="139">
        <v>0</v>
      </c>
      <c r="H64" s="139">
        <v>0</v>
      </c>
      <c r="I64" s="139">
        <f t="shared" si="25"/>
        <v>18398.770000000004</v>
      </c>
      <c r="J64" s="140">
        <f t="shared" si="26"/>
        <v>5.546408343998146E-3</v>
      </c>
      <c r="K64" s="140"/>
      <c r="L64" s="127" t="s">
        <v>242</v>
      </c>
      <c r="M64" s="139">
        <v>20989.25</v>
      </c>
      <c r="N64" s="139">
        <v>0</v>
      </c>
      <c r="O64" s="139">
        <v>3471.24</v>
      </c>
      <c r="P64" s="139">
        <v>0</v>
      </c>
      <c r="Q64" s="139">
        <v>794.62</v>
      </c>
      <c r="R64" s="139">
        <v>0</v>
      </c>
      <c r="S64" s="139">
        <v>0</v>
      </c>
      <c r="T64" s="139">
        <f t="shared" si="2"/>
        <v>25255.109999999997</v>
      </c>
      <c r="U64" s="141">
        <f t="shared" si="27"/>
        <v>1.2274130614551937E-2</v>
      </c>
      <c r="V64" s="127" t="s">
        <v>242</v>
      </c>
      <c r="W64" s="141"/>
      <c r="X64" s="142">
        <f t="shared" si="4"/>
        <v>18398.770000000004</v>
      </c>
      <c r="Y64" s="141"/>
      <c r="Z64" s="142">
        <f t="shared" si="5"/>
        <v>25255.109999999997</v>
      </c>
      <c r="AA64" s="141"/>
      <c r="AB64" s="142">
        <f t="shared" si="28"/>
        <v>-6856.3399999999929</v>
      </c>
      <c r="AC64" s="142"/>
      <c r="AD64" s="141">
        <f t="shared" si="29"/>
        <v>0.72851672394220446</v>
      </c>
      <c r="AE64" s="142"/>
      <c r="AF64" s="141">
        <f t="shared" si="8"/>
        <v>-0.27148327605779554</v>
      </c>
    </row>
    <row r="65" spans="1:32" s="63" customFormat="1" ht="54.95" customHeight="1" x14ac:dyDescent="0.85">
      <c r="A65" s="126" t="s">
        <v>243</v>
      </c>
      <c r="B65" s="139">
        <f>CNT!N224</f>
        <v>7006.41</v>
      </c>
      <c r="C65" s="139">
        <v>0</v>
      </c>
      <c r="D65" s="139">
        <f>DEP!K48</f>
        <v>3305.3999999999996</v>
      </c>
      <c r="E65" s="139">
        <v>0</v>
      </c>
      <c r="F65" s="139">
        <v>0</v>
      </c>
      <c r="G65" s="139">
        <v>0</v>
      </c>
      <c r="H65" s="139">
        <v>0</v>
      </c>
      <c r="I65" s="139">
        <f t="shared" si="25"/>
        <v>10311.81</v>
      </c>
      <c r="J65" s="140">
        <f t="shared" si="26"/>
        <v>3.1085506816881511E-3</v>
      </c>
      <c r="K65" s="140"/>
      <c r="L65" s="127" t="s">
        <v>243</v>
      </c>
      <c r="M65" s="139">
        <v>2631.47</v>
      </c>
      <c r="N65" s="139">
        <v>604.29999999999995</v>
      </c>
      <c r="O65" s="139">
        <v>2728.96</v>
      </c>
      <c r="P65" s="139">
        <v>0</v>
      </c>
      <c r="Q65" s="139">
        <v>0</v>
      </c>
      <c r="R65" s="139">
        <v>0</v>
      </c>
      <c r="S65" s="139">
        <v>0</v>
      </c>
      <c r="T65" s="139">
        <f t="shared" si="2"/>
        <v>5964.73</v>
      </c>
      <c r="U65" s="141">
        <f t="shared" si="27"/>
        <v>2.898893534834589E-3</v>
      </c>
      <c r="V65" s="127" t="s">
        <v>243</v>
      </c>
      <c r="W65" s="141"/>
      <c r="X65" s="142">
        <f t="shared" si="4"/>
        <v>10311.81</v>
      </c>
      <c r="Y65" s="141"/>
      <c r="Z65" s="142">
        <f t="shared" si="5"/>
        <v>5964.73</v>
      </c>
      <c r="AA65" s="141"/>
      <c r="AB65" s="142">
        <f t="shared" si="28"/>
        <v>4347.08</v>
      </c>
      <c r="AC65" s="142"/>
      <c r="AD65" s="141">
        <f t="shared" si="29"/>
        <v>1.72879744766318</v>
      </c>
      <c r="AE65" s="142"/>
      <c r="AF65" s="141">
        <f t="shared" si="8"/>
        <v>0.72879744766318</v>
      </c>
    </row>
    <row r="66" spans="1:32" s="63" customFormat="1" ht="54.95" customHeight="1" x14ac:dyDescent="0.85">
      <c r="A66" s="126" t="s">
        <v>244</v>
      </c>
      <c r="B66" s="139">
        <f>CNT!N225</f>
        <v>2999.97</v>
      </c>
      <c r="C66" s="139">
        <v>0</v>
      </c>
      <c r="D66" s="139">
        <v>0</v>
      </c>
      <c r="E66" s="139">
        <v>0</v>
      </c>
      <c r="F66" s="139">
        <v>0</v>
      </c>
      <c r="G66" s="139">
        <v>0</v>
      </c>
      <c r="H66" s="139">
        <v>0</v>
      </c>
      <c r="I66" s="139">
        <f t="shared" si="25"/>
        <v>2999.97</v>
      </c>
      <c r="J66" s="140">
        <f t="shared" si="26"/>
        <v>9.0435711951092996E-4</v>
      </c>
      <c r="K66" s="140"/>
      <c r="L66" s="127" t="s">
        <v>244</v>
      </c>
      <c r="M66" s="139">
        <v>3600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f t="shared" si="2"/>
        <v>3600</v>
      </c>
      <c r="U66" s="141">
        <f t="shared" si="27"/>
        <v>1.7496209762058838E-3</v>
      </c>
      <c r="V66" s="127" t="s">
        <v>244</v>
      </c>
      <c r="W66" s="141"/>
      <c r="X66" s="142">
        <f t="shared" si="4"/>
        <v>2999.97</v>
      </c>
      <c r="Y66" s="141"/>
      <c r="Z66" s="142">
        <f t="shared" si="5"/>
        <v>3600</v>
      </c>
      <c r="AA66" s="141"/>
      <c r="AB66" s="142">
        <f t="shared" si="28"/>
        <v>-600.0300000000002</v>
      </c>
      <c r="AC66" s="142"/>
      <c r="AD66" s="141">
        <f t="shared" si="29"/>
        <v>0.83332499999999998</v>
      </c>
      <c r="AE66" s="142"/>
      <c r="AF66" s="141">
        <f t="shared" si="8"/>
        <v>-0.16667500000000002</v>
      </c>
    </row>
    <row r="67" spans="1:32" s="63" customFormat="1" ht="54.95" customHeight="1" x14ac:dyDescent="0.85">
      <c r="A67" s="126" t="s">
        <v>245</v>
      </c>
      <c r="B67" s="139">
        <f>CNT!N226+CNT!N229</f>
        <v>1130261.8500000001</v>
      </c>
      <c r="C67" s="139">
        <f>BPM!K43</f>
        <v>3488.74</v>
      </c>
      <c r="D67" s="139">
        <f>DEP!K49</f>
        <v>94198.39</v>
      </c>
      <c r="E67" s="139">
        <v>0</v>
      </c>
      <c r="F67" s="139">
        <f>'BSC (Dome)'!K52</f>
        <v>84595.9</v>
      </c>
      <c r="G67" s="139">
        <f>'Oliari Co.'!K11</f>
        <v>83261.430000000022</v>
      </c>
      <c r="H67" s="139">
        <f>'722 Bedford St'!K11</f>
        <v>132232.72</v>
      </c>
      <c r="I67" s="139">
        <f t="shared" si="25"/>
        <v>1528039.0299999998</v>
      </c>
      <c r="J67" s="140">
        <f t="shared" si="26"/>
        <v>0.46063559824634093</v>
      </c>
      <c r="K67" s="140"/>
      <c r="L67" s="127" t="s">
        <v>245</v>
      </c>
      <c r="M67" s="139">
        <v>585000</v>
      </c>
      <c r="N67" s="139">
        <v>3500</v>
      </c>
      <c r="O67" s="139">
        <v>85000</v>
      </c>
      <c r="P67" s="139">
        <v>0</v>
      </c>
      <c r="Q67" s="139">
        <v>81000</v>
      </c>
      <c r="R67" s="139">
        <v>35163.4</v>
      </c>
      <c r="S67" s="139">
        <v>0</v>
      </c>
      <c r="T67" s="139">
        <f t="shared" si="2"/>
        <v>789663.4</v>
      </c>
      <c r="U67" s="141">
        <f t="shared" si="27"/>
        <v>0.38378101355057148</v>
      </c>
      <c r="V67" s="127" t="s">
        <v>245</v>
      </c>
      <c r="W67" s="141"/>
      <c r="X67" s="142">
        <f t="shared" si="4"/>
        <v>1528039.0299999998</v>
      </c>
      <c r="Y67" s="141"/>
      <c r="Z67" s="142">
        <f t="shared" si="5"/>
        <v>789663.4</v>
      </c>
      <c r="AA67" s="141"/>
      <c r="AB67" s="142">
        <f t="shared" si="28"/>
        <v>738375.62999999977</v>
      </c>
      <c r="AC67" s="142"/>
      <c r="AD67" s="141">
        <f t="shared" si="29"/>
        <v>1.9350510989872391</v>
      </c>
      <c r="AE67" s="142"/>
      <c r="AF67" s="141">
        <f t="shared" si="8"/>
        <v>0.93505109898723915</v>
      </c>
    </row>
    <row r="68" spans="1:32" s="63" customFormat="1" ht="54.95" customHeight="1" x14ac:dyDescent="0.85">
      <c r="A68" s="126" t="s">
        <v>255</v>
      </c>
      <c r="B68" s="139">
        <f>CNT!N245</f>
        <v>1268.68</v>
      </c>
      <c r="C68" s="139">
        <v>0</v>
      </c>
      <c r="D68" s="139">
        <v>0</v>
      </c>
      <c r="E68" s="139">
        <v>0</v>
      </c>
      <c r="F68" s="139">
        <v>0</v>
      </c>
      <c r="G68" s="139">
        <v>0</v>
      </c>
      <c r="H68" s="139">
        <v>0</v>
      </c>
      <c r="I68" s="139">
        <f t="shared" si="25"/>
        <v>1268.68</v>
      </c>
      <c r="J68" s="140">
        <f t="shared" si="26"/>
        <v>3.824504212979219E-4</v>
      </c>
      <c r="K68" s="140"/>
      <c r="L68" s="127" t="s">
        <v>255</v>
      </c>
      <c r="M68" s="139">
        <v>2739.31</v>
      </c>
      <c r="N68" s="139">
        <v>0</v>
      </c>
      <c r="O68" s="139">
        <v>0</v>
      </c>
      <c r="P68" s="139">
        <v>0</v>
      </c>
      <c r="Q68" s="139">
        <f>327.56</f>
        <v>327.56</v>
      </c>
      <c r="R68" s="139">
        <v>-1113.3599999999999</v>
      </c>
      <c r="S68" s="139">
        <v>0</v>
      </c>
      <c r="T68" s="139">
        <f t="shared" si="2"/>
        <v>1953.51</v>
      </c>
      <c r="U68" s="141">
        <f t="shared" si="27"/>
        <v>9.4941724256332113E-4</v>
      </c>
      <c r="V68" s="127" t="s">
        <v>255</v>
      </c>
      <c r="W68" s="141"/>
      <c r="X68" s="142">
        <f t="shared" si="4"/>
        <v>1268.68</v>
      </c>
      <c r="Y68" s="141"/>
      <c r="Z68" s="142">
        <f t="shared" si="5"/>
        <v>1953.51</v>
      </c>
      <c r="AA68" s="141"/>
      <c r="AB68" s="142">
        <f t="shared" si="28"/>
        <v>-684.82999999999993</v>
      </c>
      <c r="AC68" s="142"/>
      <c r="AD68" s="141">
        <f t="shared" si="29"/>
        <v>0.64943614314746279</v>
      </c>
      <c r="AE68" s="142"/>
      <c r="AF68" s="141">
        <f t="shared" si="8"/>
        <v>-0.35056385685253721</v>
      </c>
    </row>
    <row r="69" spans="1:32" s="63" customFormat="1" ht="54.95" customHeight="1" x14ac:dyDescent="0.85">
      <c r="A69" s="126" t="s">
        <v>358</v>
      </c>
      <c r="B69" s="139">
        <f>CNT!N259</f>
        <v>1663</v>
      </c>
      <c r="C69" s="139">
        <f>BPM!K52</f>
        <v>349.02000000000004</v>
      </c>
      <c r="D69" s="139">
        <f>DEP!K64</f>
        <v>449</v>
      </c>
      <c r="E69" s="139">
        <f>Lending!K10</f>
        <v>109</v>
      </c>
      <c r="F69" s="139">
        <f>'BSC (Dome)'!K47</f>
        <v>865</v>
      </c>
      <c r="G69" s="139">
        <f>'Oliari Co.'!K10</f>
        <v>520</v>
      </c>
      <c r="H69" s="139">
        <f>'722 Bedford St'!K10</f>
        <v>520</v>
      </c>
      <c r="I69" s="139">
        <f t="shared" si="25"/>
        <v>4475.0200000000004</v>
      </c>
      <c r="J69" s="140">
        <f t="shared" si="26"/>
        <v>1.3490188891734927E-3</v>
      </c>
      <c r="K69" s="140"/>
      <c r="L69" s="127" t="s">
        <v>358</v>
      </c>
      <c r="M69" s="139">
        <v>0</v>
      </c>
      <c r="N69" s="139">
        <v>0</v>
      </c>
      <c r="O69" s="139">
        <v>0</v>
      </c>
      <c r="P69" s="139">
        <v>0</v>
      </c>
      <c r="Q69" s="139">
        <v>565</v>
      </c>
      <c r="R69" s="139">
        <v>0</v>
      </c>
      <c r="S69" s="139">
        <v>1825</v>
      </c>
      <c r="T69" s="139">
        <f t="shared" si="2"/>
        <v>2390</v>
      </c>
      <c r="U69" s="141">
        <f t="shared" si="27"/>
        <v>1.1615539258700172E-3</v>
      </c>
      <c r="V69" s="127" t="s">
        <v>358</v>
      </c>
      <c r="W69" s="141"/>
      <c r="X69" s="142">
        <f t="shared" si="4"/>
        <v>4475.0200000000004</v>
      </c>
      <c r="Y69" s="141"/>
      <c r="Z69" s="142">
        <f t="shared" si="5"/>
        <v>2390</v>
      </c>
      <c r="AA69" s="141"/>
      <c r="AB69" s="142">
        <f t="shared" si="28"/>
        <v>2085.0200000000004</v>
      </c>
      <c r="AC69" s="142"/>
      <c r="AD69" s="141">
        <f t="shared" si="29"/>
        <v>1.8723933054393307</v>
      </c>
      <c r="AE69" s="142"/>
      <c r="AF69" s="141">
        <f t="shared" si="8"/>
        <v>0.87239330543933069</v>
      </c>
    </row>
    <row r="70" spans="1:32" s="63" customFormat="1" ht="54.95" customHeight="1" x14ac:dyDescent="0.85">
      <c r="A70" s="126" t="s">
        <v>248</v>
      </c>
      <c r="B70" s="139">
        <f>CNT!N244</f>
        <v>15330.22</v>
      </c>
      <c r="C70" s="139">
        <v>0</v>
      </c>
      <c r="D70" s="139">
        <f>DEP!K50</f>
        <v>15061.969999999998</v>
      </c>
      <c r="E70" s="139">
        <v>0</v>
      </c>
      <c r="F70" s="139">
        <v>0</v>
      </c>
      <c r="G70" s="139">
        <v>0</v>
      </c>
      <c r="H70" s="139">
        <v>0</v>
      </c>
      <c r="I70" s="139">
        <f t="shared" si="25"/>
        <v>30392.189999999995</v>
      </c>
      <c r="J70" s="140">
        <f t="shared" si="26"/>
        <v>9.1618894202371657E-3</v>
      </c>
      <c r="K70" s="140"/>
      <c r="L70" s="127" t="s">
        <v>248</v>
      </c>
      <c r="M70" s="139">
        <v>5047.07</v>
      </c>
      <c r="N70" s="139">
        <v>0</v>
      </c>
      <c r="O70" s="139">
        <v>5445.46</v>
      </c>
      <c r="P70" s="139">
        <v>0</v>
      </c>
      <c r="Q70" s="139">
        <v>0</v>
      </c>
      <c r="R70" s="139">
        <v>0</v>
      </c>
      <c r="S70" s="139">
        <v>0</v>
      </c>
      <c r="T70" s="139">
        <f t="shared" si="2"/>
        <v>10492.529999999999</v>
      </c>
      <c r="U70" s="141">
        <f>T70/$T$74</f>
        <v>5.0994307170748668E-3</v>
      </c>
      <c r="V70" s="127" t="s">
        <v>248</v>
      </c>
      <c r="W70" s="141"/>
      <c r="X70" s="142">
        <f t="shared" si="4"/>
        <v>30392.189999999995</v>
      </c>
      <c r="Y70" s="141"/>
      <c r="Z70" s="142">
        <f t="shared" si="5"/>
        <v>10492.529999999999</v>
      </c>
      <c r="AA70" s="141"/>
      <c r="AB70" s="142">
        <f t="shared" si="28"/>
        <v>19899.659999999996</v>
      </c>
      <c r="AC70" s="142"/>
      <c r="AD70" s="141">
        <f t="shared" si="29"/>
        <v>2.8965549776841235</v>
      </c>
      <c r="AE70" s="142"/>
      <c r="AF70" s="141">
        <f t="shared" si="8"/>
        <v>1.8965549776841235</v>
      </c>
    </row>
    <row r="71" spans="1:32" s="63" customFormat="1" ht="54.95" customHeight="1" x14ac:dyDescent="0.85">
      <c r="A71" s="126" t="s">
        <v>249</v>
      </c>
      <c r="B71" s="139">
        <f>CNT!N248+CNT!N228</f>
        <v>120379.79999999999</v>
      </c>
      <c r="C71" s="139">
        <v>0</v>
      </c>
      <c r="D71" s="139">
        <f>DEP!K47</f>
        <v>64648.75</v>
      </c>
      <c r="E71" s="139">
        <v>0</v>
      </c>
      <c r="F71" s="139">
        <v>0</v>
      </c>
      <c r="G71" s="139">
        <v>0</v>
      </c>
      <c r="H71" s="139">
        <v>0</v>
      </c>
      <c r="I71" s="139">
        <f t="shared" si="25"/>
        <v>185028.55</v>
      </c>
      <c r="J71" s="140">
        <f t="shared" si="26"/>
        <v>5.5777853280294165E-2</v>
      </c>
      <c r="K71" s="140"/>
      <c r="L71" s="127" t="s">
        <v>249</v>
      </c>
      <c r="M71" s="139">
        <v>1675</v>
      </c>
      <c r="N71" s="139">
        <v>0</v>
      </c>
      <c r="O71" s="139">
        <v>50081.22</v>
      </c>
      <c r="P71" s="139">
        <v>0</v>
      </c>
      <c r="Q71" s="139">
        <v>0</v>
      </c>
      <c r="R71" s="139">
        <v>0</v>
      </c>
      <c r="S71" s="139">
        <v>0</v>
      </c>
      <c r="T71" s="139">
        <f t="shared" si="2"/>
        <v>51756.22</v>
      </c>
      <c r="U71" s="141">
        <f>T71/$T$74</f>
        <v>2.5153824489201802E-2</v>
      </c>
      <c r="V71" s="127" t="s">
        <v>249</v>
      </c>
      <c r="W71" s="141"/>
      <c r="X71" s="142">
        <f t="shared" si="4"/>
        <v>185028.55</v>
      </c>
      <c r="Y71" s="141"/>
      <c r="Z71" s="142">
        <f t="shared" si="5"/>
        <v>51756.22</v>
      </c>
      <c r="AA71" s="141"/>
      <c r="AB71" s="142">
        <f t="shared" si="28"/>
        <v>133272.32999999999</v>
      </c>
      <c r="AC71" s="142"/>
      <c r="AD71" s="141">
        <f t="shared" si="29"/>
        <v>3.5750012269056741</v>
      </c>
      <c r="AE71" s="142"/>
      <c r="AF71" s="141">
        <f t="shared" si="8"/>
        <v>2.5750012269056741</v>
      </c>
    </row>
    <row r="72" spans="1:32" s="63" customFormat="1" ht="54.95" customHeight="1" x14ac:dyDescent="0.85">
      <c r="A72" s="126" t="s">
        <v>371</v>
      </c>
      <c r="B72" s="139">
        <f>CNT!N253</f>
        <v>26546.309999999998</v>
      </c>
      <c r="C72" s="139">
        <v>0</v>
      </c>
      <c r="D72" s="139">
        <f>DEP!K51</f>
        <v>7476.93</v>
      </c>
      <c r="E72" s="139">
        <v>0</v>
      </c>
      <c r="F72" s="139">
        <f>'BSC (Dome)'!K54</f>
        <v>2372.79</v>
      </c>
      <c r="G72" s="139">
        <v>0</v>
      </c>
      <c r="H72" s="139">
        <v>0</v>
      </c>
      <c r="I72" s="139">
        <f t="shared" si="25"/>
        <v>36396.03</v>
      </c>
      <c r="J72" s="140">
        <f t="shared" si="26"/>
        <v>1.097177933527115E-2</v>
      </c>
      <c r="K72" s="140"/>
      <c r="L72" s="127" t="s">
        <v>371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f t="shared" si="2"/>
        <v>0</v>
      </c>
      <c r="U72" s="141">
        <f>T72/$T$74</f>
        <v>0</v>
      </c>
      <c r="V72" s="127" t="s">
        <v>371</v>
      </c>
      <c r="W72" s="141"/>
      <c r="X72" s="142">
        <f t="shared" si="4"/>
        <v>36396.03</v>
      </c>
      <c r="Y72" s="141"/>
      <c r="Z72" s="142">
        <f t="shared" si="5"/>
        <v>0</v>
      </c>
      <c r="AA72" s="141"/>
      <c r="AB72" s="142">
        <f t="shared" si="28"/>
        <v>36396.03</v>
      </c>
      <c r="AC72" s="142"/>
      <c r="AD72" s="154">
        <v>0</v>
      </c>
      <c r="AE72" s="142"/>
      <c r="AF72" s="141">
        <f t="shared" si="8"/>
        <v>-1</v>
      </c>
    </row>
    <row r="73" spans="1:32" s="63" customFormat="1" ht="54.95" customHeight="1" x14ac:dyDescent="0.85">
      <c r="A73" s="126" t="s">
        <v>372</v>
      </c>
      <c r="B73" s="139">
        <f>CNT!N254</f>
        <v>13105.57</v>
      </c>
      <c r="C73" s="139">
        <f>BPM!K49</f>
        <v>5419.07</v>
      </c>
      <c r="D73" s="139">
        <f>DEP!K52</f>
        <v>6949.9699999999993</v>
      </c>
      <c r="E73" s="139">
        <v>0</v>
      </c>
      <c r="F73" s="139">
        <f>'BSC (Dome)'!K55</f>
        <v>5094.4799999999996</v>
      </c>
      <c r="G73" s="139">
        <v>0</v>
      </c>
      <c r="H73" s="139">
        <v>0</v>
      </c>
      <c r="I73" s="139">
        <f t="shared" si="25"/>
        <v>30569.09</v>
      </c>
      <c r="J73" s="140">
        <f t="shared" si="26"/>
        <v>9.2152168783255755E-3</v>
      </c>
      <c r="K73" s="140"/>
      <c r="L73" s="127" t="s">
        <v>372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f t="shared" si="2"/>
        <v>0</v>
      </c>
      <c r="U73" s="141">
        <f>T73/$T$74</f>
        <v>0</v>
      </c>
      <c r="V73" s="127" t="s">
        <v>372</v>
      </c>
      <c r="W73" s="141"/>
      <c r="X73" s="142">
        <f t="shared" si="4"/>
        <v>30569.09</v>
      </c>
      <c r="Y73" s="141"/>
      <c r="Z73" s="142">
        <f t="shared" si="5"/>
        <v>0</v>
      </c>
      <c r="AA73" s="141"/>
      <c r="AB73" s="142">
        <f t="shared" si="28"/>
        <v>30569.09</v>
      </c>
      <c r="AC73" s="142"/>
      <c r="AD73" s="154">
        <v>0</v>
      </c>
      <c r="AE73" s="142"/>
      <c r="AF73" s="155">
        <f t="shared" si="8"/>
        <v>-1</v>
      </c>
    </row>
    <row r="74" spans="1:32" s="63" customFormat="1" ht="54.95" customHeight="1" x14ac:dyDescent="0.85">
      <c r="A74" s="137" t="s">
        <v>250</v>
      </c>
      <c r="B74" s="144">
        <f>SUM(B52:B73)</f>
        <v>2014072.3400000003</v>
      </c>
      <c r="C74" s="144">
        <f t="shared" ref="C74:H74" si="30">SUM(C52:C73)</f>
        <v>11976.56</v>
      </c>
      <c r="D74" s="144">
        <f t="shared" si="30"/>
        <v>848277.70000000007</v>
      </c>
      <c r="E74" s="144">
        <f t="shared" si="30"/>
        <v>109</v>
      </c>
      <c r="F74" s="144">
        <f>SUM(F52:F73)</f>
        <v>226270.68000000002</v>
      </c>
      <c r="G74" s="144">
        <f>SUM(G52:G73)</f>
        <v>83781.430000000022</v>
      </c>
      <c r="H74" s="144">
        <f t="shared" si="30"/>
        <v>132752.72</v>
      </c>
      <c r="I74" s="144">
        <f t="shared" si="25"/>
        <v>3317240.4300000011</v>
      </c>
      <c r="J74" s="145">
        <f>SUM(J52:J73)</f>
        <v>0.99999999999999967</v>
      </c>
      <c r="K74" s="146"/>
      <c r="L74" s="138" t="s">
        <v>250</v>
      </c>
      <c r="M74" s="144">
        <f t="shared" ref="M74:S74" si="31">SUM(M52:M73)</f>
        <v>1246675.57</v>
      </c>
      <c r="N74" s="144">
        <f t="shared" si="31"/>
        <v>13550.41</v>
      </c>
      <c r="O74" s="144">
        <f t="shared" si="31"/>
        <v>513957.07000000007</v>
      </c>
      <c r="P74" s="144">
        <f t="shared" si="31"/>
        <v>0</v>
      </c>
      <c r="Q74" s="144">
        <f t="shared" si="31"/>
        <v>247530.41000000003</v>
      </c>
      <c r="R74" s="144">
        <f t="shared" si="31"/>
        <v>34050.04</v>
      </c>
      <c r="S74" s="144">
        <f t="shared" si="31"/>
        <v>1825</v>
      </c>
      <c r="T74" s="144">
        <f t="shared" si="2"/>
        <v>2057588.5</v>
      </c>
      <c r="U74" s="147">
        <f>SUM(U52:U73)</f>
        <v>1.0000000000000002</v>
      </c>
      <c r="V74" s="138" t="s">
        <v>250</v>
      </c>
      <c r="W74" s="148"/>
      <c r="X74" s="149">
        <f t="shared" si="4"/>
        <v>3317240.4300000011</v>
      </c>
      <c r="Y74" s="148"/>
      <c r="Z74" s="149">
        <f t="shared" si="5"/>
        <v>2057588.5</v>
      </c>
      <c r="AA74" s="148"/>
      <c r="AB74" s="149">
        <f>I74-T74</f>
        <v>1259651.9300000011</v>
      </c>
      <c r="AC74" s="149"/>
      <c r="AD74" s="147">
        <f>I74/T74</f>
        <v>1.612198177623952</v>
      </c>
      <c r="AE74" s="149"/>
      <c r="AF74" s="147">
        <f t="shared" si="8"/>
        <v>0.61219817762395201</v>
      </c>
    </row>
    <row r="75" spans="1:32" s="63" customFormat="1" ht="54.95" customHeight="1" x14ac:dyDescent="0.85">
      <c r="A75" s="126"/>
      <c r="B75" s="139"/>
      <c r="C75" s="139"/>
      <c r="D75" s="139"/>
      <c r="E75" s="139"/>
      <c r="F75" s="139"/>
      <c r="G75" s="139"/>
      <c r="H75" s="139"/>
      <c r="I75" s="139"/>
      <c r="J75" s="127"/>
      <c r="K75" s="127"/>
      <c r="L75" s="127"/>
      <c r="M75" s="139"/>
      <c r="N75" s="139"/>
      <c r="O75" s="139"/>
      <c r="P75" s="139"/>
      <c r="Q75" s="139"/>
      <c r="R75" s="139"/>
      <c r="S75" s="139"/>
      <c r="T75" s="139"/>
      <c r="U75" s="126"/>
      <c r="V75" s="127"/>
      <c r="W75" s="126"/>
      <c r="X75" s="142"/>
      <c r="Y75" s="126"/>
      <c r="Z75" s="142">
        <f t="shared" si="5"/>
        <v>0</v>
      </c>
      <c r="AA75" s="126"/>
      <c r="AB75" s="142"/>
      <c r="AC75" s="142"/>
      <c r="AD75" s="141"/>
      <c r="AE75" s="142"/>
      <c r="AF75" s="141"/>
    </row>
    <row r="76" spans="1:32" s="63" customFormat="1" ht="54.95" customHeight="1" x14ac:dyDescent="0.85">
      <c r="A76" s="137" t="s">
        <v>251</v>
      </c>
      <c r="B76" s="139"/>
      <c r="C76" s="139"/>
      <c r="D76" s="139"/>
      <c r="E76" s="139"/>
      <c r="F76" s="139"/>
      <c r="G76" s="139"/>
      <c r="H76" s="139"/>
      <c r="I76" s="139"/>
      <c r="J76" s="127"/>
      <c r="K76" s="127"/>
      <c r="L76" s="138" t="s">
        <v>251</v>
      </c>
      <c r="M76" s="139"/>
      <c r="N76" s="139"/>
      <c r="O76" s="139"/>
      <c r="P76" s="139"/>
      <c r="Q76" s="139"/>
      <c r="R76" s="139"/>
      <c r="S76" s="139"/>
      <c r="T76" s="139"/>
      <c r="U76" s="126"/>
      <c r="V76" s="138" t="s">
        <v>251</v>
      </c>
      <c r="W76" s="126"/>
      <c r="X76" s="142"/>
      <c r="Y76" s="126"/>
      <c r="Z76" s="142">
        <f t="shared" si="5"/>
        <v>0</v>
      </c>
      <c r="AA76" s="126"/>
      <c r="AB76" s="142"/>
      <c r="AC76" s="142"/>
      <c r="AD76" s="141"/>
      <c r="AE76" s="142"/>
      <c r="AF76" s="141"/>
    </row>
    <row r="77" spans="1:32" s="63" customFormat="1" ht="54.95" customHeight="1" x14ac:dyDescent="0.85">
      <c r="A77" s="126" t="s">
        <v>252</v>
      </c>
      <c r="B77" s="139">
        <f>CNT!N235</f>
        <v>8050.6</v>
      </c>
      <c r="C77" s="139">
        <v>0</v>
      </c>
      <c r="D77" s="139">
        <f>DEP!K56</f>
        <v>1409.28</v>
      </c>
      <c r="E77" s="139">
        <v>0</v>
      </c>
      <c r="F77" s="139">
        <f>'BSC (Dome)'!K59</f>
        <v>2926.56</v>
      </c>
      <c r="G77" s="139">
        <v>0</v>
      </c>
      <c r="H77" s="139">
        <v>0</v>
      </c>
      <c r="I77" s="139">
        <f t="shared" ref="I77:I98" si="32">SUM(B77:H77)</f>
        <v>12386.44</v>
      </c>
      <c r="J77" s="140">
        <f t="shared" ref="J77:J95" si="33">I77/$I$96</f>
        <v>1.4086369074392275E-2</v>
      </c>
      <c r="K77" s="140"/>
      <c r="L77" s="127" t="s">
        <v>252</v>
      </c>
      <c r="M77" s="139">
        <v>9038.73</v>
      </c>
      <c r="N77" s="139">
        <v>0</v>
      </c>
      <c r="O77" s="139">
        <v>1385.4</v>
      </c>
      <c r="P77" s="139">
        <v>0</v>
      </c>
      <c r="Q77" s="139">
        <v>0</v>
      </c>
      <c r="R77" s="139">
        <v>0</v>
      </c>
      <c r="S77" s="139">
        <v>0</v>
      </c>
      <c r="T77" s="139">
        <f t="shared" si="2"/>
        <v>10424.129999999999</v>
      </c>
      <c r="U77" s="141">
        <f t="shared" ref="U77:U95" si="34">T77/$T$96</f>
        <v>1.288311017141491E-2</v>
      </c>
      <c r="V77" s="127" t="s">
        <v>252</v>
      </c>
      <c r="W77" s="141"/>
      <c r="X77" s="142">
        <f t="shared" si="4"/>
        <v>12386.44</v>
      </c>
      <c r="Y77" s="141"/>
      <c r="Z77" s="142">
        <f t="shared" si="5"/>
        <v>10424.129999999999</v>
      </c>
      <c r="AA77" s="141"/>
      <c r="AB77" s="142">
        <f>I77-T77</f>
        <v>1962.3100000000013</v>
      </c>
      <c r="AC77" s="142"/>
      <c r="AD77" s="141">
        <f>I77/T77</f>
        <v>1.1882468848719272</v>
      </c>
      <c r="AE77" s="142"/>
      <c r="AF77" s="141">
        <f t="shared" si="8"/>
        <v>0.1882468848719272</v>
      </c>
    </row>
    <row r="78" spans="1:32" s="63" customFormat="1" ht="54.95" customHeight="1" x14ac:dyDescent="0.85">
      <c r="A78" s="126" t="s">
        <v>394</v>
      </c>
      <c r="B78" s="139">
        <f>CNT!N233</f>
        <v>4500</v>
      </c>
      <c r="C78" s="139">
        <v>0</v>
      </c>
      <c r="D78" s="139">
        <v>0</v>
      </c>
      <c r="E78" s="139">
        <v>0</v>
      </c>
      <c r="F78" s="139">
        <v>0</v>
      </c>
      <c r="G78" s="139">
        <v>0</v>
      </c>
      <c r="H78" s="139">
        <v>0</v>
      </c>
      <c r="I78" s="139">
        <f t="shared" si="32"/>
        <v>4500</v>
      </c>
      <c r="J78" s="140">
        <f t="shared" si="33"/>
        <v>5.1175851039334331E-3</v>
      </c>
      <c r="K78" s="140"/>
      <c r="L78" s="127" t="s">
        <v>394</v>
      </c>
      <c r="M78" s="139">
        <v>2500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f>SUM(M78:S78)</f>
        <v>2500</v>
      </c>
      <c r="U78" s="141">
        <f t="shared" si="34"/>
        <v>3.0897327094479132E-3</v>
      </c>
      <c r="V78" s="127" t="s">
        <v>394</v>
      </c>
      <c r="W78" s="141"/>
      <c r="X78" s="142">
        <f t="shared" si="4"/>
        <v>4500</v>
      </c>
      <c r="Y78" s="141"/>
      <c r="Z78" s="142">
        <f t="shared" si="5"/>
        <v>2500</v>
      </c>
      <c r="AA78" s="141"/>
      <c r="AB78" s="142">
        <f>I78-T78</f>
        <v>2000</v>
      </c>
      <c r="AC78" s="142"/>
      <c r="AD78" s="141">
        <f>I78/T78</f>
        <v>1.8</v>
      </c>
      <c r="AE78" s="142"/>
      <c r="AF78" s="141">
        <f>AD78-1</f>
        <v>0.8</v>
      </c>
    </row>
    <row r="79" spans="1:32" s="63" customFormat="1" ht="54.95" customHeight="1" x14ac:dyDescent="0.85">
      <c r="A79" s="126" t="s">
        <v>253</v>
      </c>
      <c r="B79" s="139">
        <f>CNT!N236</f>
        <v>91089.459999999992</v>
      </c>
      <c r="C79" s="139">
        <f>BPM!K47</f>
        <v>7737.42</v>
      </c>
      <c r="D79" s="139">
        <f>DEP!K57</f>
        <v>6558.06</v>
      </c>
      <c r="E79" s="139">
        <f>Lending!K9</f>
        <v>1833.2100000000003</v>
      </c>
      <c r="F79" s="139">
        <f>'BSC (Dome)'!K60</f>
        <v>2328.1199999999994</v>
      </c>
      <c r="G79" s="139">
        <v>0</v>
      </c>
      <c r="H79" s="139">
        <f>'722 Bedford St'!K16</f>
        <v>714.47000000000014</v>
      </c>
      <c r="I79" s="139">
        <f t="shared" si="32"/>
        <v>110260.73999999999</v>
      </c>
      <c r="J79" s="140">
        <f t="shared" si="33"/>
        <v>0.1253930490161505</v>
      </c>
      <c r="K79" s="140"/>
      <c r="L79" s="127" t="s">
        <v>253</v>
      </c>
      <c r="M79" s="139">
        <v>100858.01</v>
      </c>
      <c r="N79" s="139">
        <v>6171.16</v>
      </c>
      <c r="O79" s="139">
        <v>6773.82</v>
      </c>
      <c r="P79" s="139">
        <v>1756.26</v>
      </c>
      <c r="Q79" s="139">
        <v>3231.2</v>
      </c>
      <c r="R79" s="139">
        <v>54</v>
      </c>
      <c r="S79" s="139">
        <v>703.58</v>
      </c>
      <c r="T79" s="139">
        <f t="shared" si="2"/>
        <v>119548.02999999998</v>
      </c>
      <c r="U79" s="141">
        <f t="shared" si="34"/>
        <v>0.14774858345642414</v>
      </c>
      <c r="V79" s="127" t="s">
        <v>253</v>
      </c>
      <c r="W79" s="141"/>
      <c r="X79" s="142">
        <f t="shared" si="4"/>
        <v>110260.73999999999</v>
      </c>
      <c r="Y79" s="141"/>
      <c r="Z79" s="142">
        <f t="shared" si="5"/>
        <v>119548.02999999998</v>
      </c>
      <c r="AA79" s="141"/>
      <c r="AB79" s="142">
        <f t="shared" ref="AB79:AB94" si="35">I79-T79</f>
        <v>-9287.2899999999936</v>
      </c>
      <c r="AC79" s="142"/>
      <c r="AD79" s="141">
        <f t="shared" ref="AD79:AD91" si="36">I79/T79</f>
        <v>0.92231331624619828</v>
      </c>
      <c r="AE79" s="142"/>
      <c r="AF79" s="141">
        <f t="shared" si="8"/>
        <v>-7.7686683753801722E-2</v>
      </c>
    </row>
    <row r="80" spans="1:32" s="63" customFormat="1" ht="54.95" customHeight="1" x14ac:dyDescent="0.85">
      <c r="A80" s="126" t="s">
        <v>365</v>
      </c>
      <c r="B80" s="139">
        <v>0</v>
      </c>
      <c r="C80" s="139">
        <v>0</v>
      </c>
      <c r="D80" s="139">
        <v>0</v>
      </c>
      <c r="E80" s="139">
        <v>0</v>
      </c>
      <c r="F80" s="139">
        <f>'BSC (Dome)'!K61</f>
        <v>3495.7000000000003</v>
      </c>
      <c r="G80" s="139">
        <v>0</v>
      </c>
      <c r="H80" s="139">
        <v>0</v>
      </c>
      <c r="I80" s="139">
        <f t="shared" si="32"/>
        <v>3495.7000000000003</v>
      </c>
      <c r="J80" s="140">
        <f t="shared" si="33"/>
        <v>3.9754538328489117E-3</v>
      </c>
      <c r="K80" s="140"/>
      <c r="L80" s="127" t="s">
        <v>365</v>
      </c>
      <c r="M80" s="139">
        <v>0</v>
      </c>
      <c r="N80" s="139">
        <v>0</v>
      </c>
      <c r="O80" s="139">
        <v>0</v>
      </c>
      <c r="P80" s="139">
        <v>0</v>
      </c>
      <c r="Q80" s="139">
        <v>2914.87</v>
      </c>
      <c r="R80" s="139">
        <v>0</v>
      </c>
      <c r="S80" s="139">
        <v>0</v>
      </c>
      <c r="T80" s="139">
        <f>SUM(M80:S80)</f>
        <v>2914.87</v>
      </c>
      <c r="U80" s="141">
        <f t="shared" si="34"/>
        <v>3.6024676731153753E-3</v>
      </c>
      <c r="V80" s="127" t="s">
        <v>365</v>
      </c>
      <c r="W80" s="141"/>
      <c r="X80" s="142">
        <f t="shared" si="4"/>
        <v>3495.7000000000003</v>
      </c>
      <c r="Y80" s="141"/>
      <c r="Z80" s="142">
        <f t="shared" si="5"/>
        <v>2914.87</v>
      </c>
      <c r="AA80" s="141"/>
      <c r="AB80" s="142">
        <f t="shared" si="35"/>
        <v>580.83000000000038</v>
      </c>
      <c r="AC80" s="142"/>
      <c r="AD80" s="141">
        <f t="shared" si="36"/>
        <v>1.1992644611938099</v>
      </c>
      <c r="AE80" s="142"/>
      <c r="AF80" s="141">
        <f t="shared" si="8"/>
        <v>0.19926446119380992</v>
      </c>
    </row>
    <row r="81" spans="1:32" s="63" customFormat="1" ht="54.95" customHeight="1" x14ac:dyDescent="0.85">
      <c r="A81" s="126" t="s">
        <v>254</v>
      </c>
      <c r="B81" s="139">
        <f>CNT!N238</f>
        <v>3820.81</v>
      </c>
      <c r="C81" s="139">
        <v>0</v>
      </c>
      <c r="D81" s="139">
        <v>0</v>
      </c>
      <c r="E81" s="139">
        <v>0</v>
      </c>
      <c r="F81" s="139">
        <f>'BSC (Dome)'!K65</f>
        <v>1068.2</v>
      </c>
      <c r="G81" s="139">
        <v>0</v>
      </c>
      <c r="H81" s="139">
        <v>0</v>
      </c>
      <c r="I81" s="139">
        <f t="shared" si="32"/>
        <v>4889.01</v>
      </c>
      <c r="J81" s="140">
        <f t="shared" si="33"/>
        <v>5.5599832775514654E-3</v>
      </c>
      <c r="K81" s="140"/>
      <c r="L81" s="127" t="s">
        <v>254</v>
      </c>
      <c r="M81" s="139">
        <v>9835.43</v>
      </c>
      <c r="N81" s="139">
        <v>0</v>
      </c>
      <c r="O81" s="139">
        <v>100</v>
      </c>
      <c r="P81" s="139">
        <v>0</v>
      </c>
      <c r="Q81" s="139">
        <v>4023.43</v>
      </c>
      <c r="R81" s="139">
        <v>0</v>
      </c>
      <c r="S81" s="139">
        <v>0</v>
      </c>
      <c r="T81" s="139">
        <f t="shared" si="2"/>
        <v>13958.86</v>
      </c>
      <c r="U81" s="141">
        <f t="shared" si="34"/>
        <v>1.725165853144164E-2</v>
      </c>
      <c r="V81" s="127" t="s">
        <v>254</v>
      </c>
      <c r="W81" s="141"/>
      <c r="X81" s="142">
        <f t="shared" ref="X81:X116" si="37">I81</f>
        <v>4889.01</v>
      </c>
      <c r="Y81" s="141"/>
      <c r="Z81" s="142">
        <f t="shared" ref="Z81:Z116" si="38">T81</f>
        <v>13958.86</v>
      </c>
      <c r="AA81" s="141"/>
      <c r="AB81" s="142">
        <f t="shared" si="35"/>
        <v>-9069.85</v>
      </c>
      <c r="AC81" s="142"/>
      <c r="AD81" s="141">
        <f t="shared" si="36"/>
        <v>0.3502442176510116</v>
      </c>
      <c r="AE81" s="142"/>
      <c r="AF81" s="141">
        <f t="shared" si="8"/>
        <v>-0.64975578234898834</v>
      </c>
    </row>
    <row r="82" spans="1:32" s="63" customFormat="1" ht="54.95" customHeight="1" x14ac:dyDescent="0.85">
      <c r="A82" s="126" t="s">
        <v>362</v>
      </c>
      <c r="B82" s="139">
        <f>CNT!N256</f>
        <v>261714.28000000003</v>
      </c>
      <c r="C82" s="139">
        <f>BPM!K50</f>
        <v>10103</v>
      </c>
      <c r="D82" s="139">
        <f>DEP!K61</f>
        <v>41000</v>
      </c>
      <c r="E82" s="139">
        <f>Lending!K12</f>
        <v>1422.5100000000002</v>
      </c>
      <c r="F82" s="139">
        <f>'BSC (Dome)'!K66</f>
        <v>4250</v>
      </c>
      <c r="G82" s="139">
        <f>'Oliari Co.'!K15</f>
        <v>2650</v>
      </c>
      <c r="H82" s="139">
        <v>0</v>
      </c>
      <c r="I82" s="139">
        <f t="shared" si="32"/>
        <v>321139.79000000004</v>
      </c>
      <c r="J82" s="140">
        <f t="shared" si="33"/>
        <v>0.3652133790187358</v>
      </c>
      <c r="K82" s="140"/>
      <c r="L82" s="127" t="s">
        <v>362</v>
      </c>
      <c r="M82" s="139">
        <v>318577.26</v>
      </c>
      <c r="N82" s="139">
        <v>54330.76</v>
      </c>
      <c r="O82" s="139">
        <v>67994.509999999995</v>
      </c>
      <c r="P82" s="139">
        <v>0</v>
      </c>
      <c r="Q82" s="139">
        <v>15880.79</v>
      </c>
      <c r="R82" s="139">
        <v>2300</v>
      </c>
      <c r="S82" s="139">
        <v>520</v>
      </c>
      <c r="T82" s="139">
        <f t="shared" si="2"/>
        <v>459603.32</v>
      </c>
      <c r="U82" s="141">
        <f t="shared" si="34"/>
        <v>0.56802056446994253</v>
      </c>
      <c r="V82" s="127" t="s">
        <v>362</v>
      </c>
      <c r="W82" s="141"/>
      <c r="X82" s="142">
        <f t="shared" si="37"/>
        <v>321139.79000000004</v>
      </c>
      <c r="Y82" s="141"/>
      <c r="Z82" s="142">
        <f t="shared" si="38"/>
        <v>459603.32</v>
      </c>
      <c r="AA82" s="141"/>
      <c r="AB82" s="142">
        <f t="shared" si="35"/>
        <v>-138463.52999999997</v>
      </c>
      <c r="AC82" s="142"/>
      <c r="AD82" s="141">
        <f t="shared" si="36"/>
        <v>0.69873252873804315</v>
      </c>
      <c r="AE82" s="142"/>
      <c r="AF82" s="141">
        <f t="shared" si="8"/>
        <v>-0.30126747126195685</v>
      </c>
    </row>
    <row r="83" spans="1:32" s="63" customFormat="1" ht="54.95" customHeight="1" x14ac:dyDescent="0.85">
      <c r="A83" s="126" t="s">
        <v>363</v>
      </c>
      <c r="B83" s="139">
        <f>CNT!N257</f>
        <v>68000</v>
      </c>
      <c r="C83" s="139">
        <f>BPM!K51</f>
        <v>33750</v>
      </c>
      <c r="D83" s="139">
        <f>DEP!K62</f>
        <v>20250</v>
      </c>
      <c r="E83" s="139">
        <v>0</v>
      </c>
      <c r="F83" s="139">
        <f>'BSC (Dome)'!K67</f>
        <v>13500</v>
      </c>
      <c r="G83" s="139">
        <v>0</v>
      </c>
      <c r="H83" s="139">
        <v>0</v>
      </c>
      <c r="I83" s="139">
        <f t="shared" si="32"/>
        <v>135500</v>
      </c>
      <c r="J83" s="140">
        <f t="shared" si="33"/>
        <v>0.15409617368510672</v>
      </c>
      <c r="K83" s="140"/>
      <c r="L83" s="127" t="s">
        <v>363</v>
      </c>
      <c r="M83" s="139">
        <v>0</v>
      </c>
      <c r="N83" s="139">
        <v>0</v>
      </c>
      <c r="O83" s="139">
        <v>0</v>
      </c>
      <c r="P83" s="139">
        <v>0</v>
      </c>
      <c r="Q83" s="139">
        <v>10695.06</v>
      </c>
      <c r="R83" s="139">
        <v>11520</v>
      </c>
      <c r="S83" s="139">
        <v>0</v>
      </c>
      <c r="T83" s="139">
        <f>SUM(M83:S83)</f>
        <v>22215.059999999998</v>
      </c>
      <c r="U83" s="141">
        <f t="shared" si="34"/>
        <v>2.745543900973918E-2</v>
      </c>
      <c r="V83" s="127" t="s">
        <v>363</v>
      </c>
      <c r="W83" s="141"/>
      <c r="X83" s="142">
        <f t="shared" si="37"/>
        <v>135500</v>
      </c>
      <c r="Y83" s="141"/>
      <c r="Z83" s="142">
        <f t="shared" si="38"/>
        <v>22215.059999999998</v>
      </c>
      <c r="AA83" s="141"/>
      <c r="AB83" s="142">
        <f t="shared" si="35"/>
        <v>113284.94</v>
      </c>
      <c r="AC83" s="142"/>
      <c r="AD83" s="141">
        <f t="shared" si="36"/>
        <v>6.0994658578459848</v>
      </c>
      <c r="AE83" s="142"/>
      <c r="AF83" s="141">
        <f t="shared" si="8"/>
        <v>5.0994658578459848</v>
      </c>
    </row>
    <row r="84" spans="1:32" s="63" customFormat="1" ht="54.95" customHeight="1" x14ac:dyDescent="0.85">
      <c r="A84" s="126" t="s">
        <v>364</v>
      </c>
      <c r="B84" s="139">
        <f>CNT!N255</f>
        <v>53753.43</v>
      </c>
      <c r="C84" s="139">
        <v>0</v>
      </c>
      <c r="D84" s="139">
        <f>DEP!K60</f>
        <v>-5776.56</v>
      </c>
      <c r="E84" s="139">
        <f>Lending!K11</f>
        <v>11250</v>
      </c>
      <c r="F84" s="139">
        <v>0</v>
      </c>
      <c r="G84" s="139">
        <v>0</v>
      </c>
      <c r="H84" s="139">
        <v>0</v>
      </c>
      <c r="I84" s="139">
        <f t="shared" si="32"/>
        <v>59226.87</v>
      </c>
      <c r="J84" s="140">
        <f t="shared" si="33"/>
        <v>6.7355232814355986E-2</v>
      </c>
      <c r="K84" s="140"/>
      <c r="L84" s="127" t="s">
        <v>364</v>
      </c>
      <c r="M84" s="139">
        <v>0</v>
      </c>
      <c r="N84" s="139">
        <v>0</v>
      </c>
      <c r="O84" s="139">
        <v>0</v>
      </c>
      <c r="P84" s="139">
        <v>2731.25</v>
      </c>
      <c r="Q84" s="139">
        <v>0</v>
      </c>
      <c r="R84" s="139">
        <v>0</v>
      </c>
      <c r="S84" s="139">
        <v>0</v>
      </c>
      <c r="T84" s="139">
        <f>SUM(M84:S84)</f>
        <v>2731.25</v>
      </c>
      <c r="U84" s="141">
        <f t="shared" si="34"/>
        <v>3.3755329850718454E-3</v>
      </c>
      <c r="V84" s="127" t="s">
        <v>364</v>
      </c>
      <c r="W84" s="141"/>
      <c r="X84" s="142">
        <f t="shared" si="37"/>
        <v>59226.87</v>
      </c>
      <c r="Y84" s="141"/>
      <c r="Z84" s="142">
        <f t="shared" si="38"/>
        <v>2731.25</v>
      </c>
      <c r="AA84" s="141"/>
      <c r="AB84" s="142">
        <f t="shared" si="35"/>
        <v>56495.62</v>
      </c>
      <c r="AC84" s="142"/>
      <c r="AD84" s="154">
        <v>0</v>
      </c>
      <c r="AE84" s="142"/>
      <c r="AF84" s="141">
        <f t="shared" si="8"/>
        <v>-1</v>
      </c>
    </row>
    <row r="85" spans="1:32" s="63" customFormat="1" ht="54.95" customHeight="1" x14ac:dyDescent="0.85">
      <c r="A85" s="126" t="s">
        <v>403</v>
      </c>
      <c r="B85" s="139">
        <f>CNT!N258</f>
        <v>39352.5</v>
      </c>
      <c r="C85" s="139">
        <v>0</v>
      </c>
      <c r="D85" s="139"/>
      <c r="E85" s="139">
        <v>0</v>
      </c>
      <c r="F85" s="139">
        <v>0</v>
      </c>
      <c r="G85" s="139">
        <v>0</v>
      </c>
      <c r="H85" s="139">
        <v>0</v>
      </c>
      <c r="I85" s="139">
        <f t="shared" si="32"/>
        <v>39352.5</v>
      </c>
      <c r="J85" s="140">
        <f t="shared" si="33"/>
        <v>4.4753281733897872E-2</v>
      </c>
      <c r="K85" s="140"/>
      <c r="L85" s="127" t="s">
        <v>403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f>SUM(M85:S85)</f>
        <v>0</v>
      </c>
      <c r="U85" s="141">
        <f t="shared" si="34"/>
        <v>0</v>
      </c>
      <c r="V85" s="127" t="s">
        <v>403</v>
      </c>
      <c r="W85" s="141"/>
      <c r="X85" s="142">
        <f t="shared" si="37"/>
        <v>39352.5</v>
      </c>
      <c r="Y85" s="141"/>
      <c r="Z85" s="142">
        <f t="shared" si="38"/>
        <v>0</v>
      </c>
      <c r="AA85" s="141"/>
      <c r="AB85" s="142">
        <f>I85-T85</f>
        <v>39352.5</v>
      </c>
      <c r="AC85" s="142"/>
      <c r="AD85" s="154">
        <v>0</v>
      </c>
      <c r="AE85" s="142"/>
      <c r="AF85" s="141">
        <f t="shared" si="8"/>
        <v>-1</v>
      </c>
    </row>
    <row r="86" spans="1:32" s="63" customFormat="1" ht="54.95" customHeight="1" x14ac:dyDescent="0.85">
      <c r="A86" s="126" t="s">
        <v>392</v>
      </c>
      <c r="B86" s="139">
        <v>0</v>
      </c>
      <c r="C86" s="139">
        <v>0</v>
      </c>
      <c r="D86" s="139">
        <f>DEP!K63</f>
        <v>6625.0199999999995</v>
      </c>
      <c r="E86" s="139">
        <v>0</v>
      </c>
      <c r="F86" s="139">
        <v>0</v>
      </c>
      <c r="G86" s="139">
        <v>0</v>
      </c>
      <c r="H86" s="139">
        <v>0</v>
      </c>
      <c r="I86" s="139">
        <f t="shared" si="32"/>
        <v>6625.0199999999995</v>
      </c>
      <c r="J86" s="140">
        <f t="shared" si="33"/>
        <v>7.5342452589469049E-3</v>
      </c>
      <c r="K86" s="140"/>
      <c r="L86" s="127" t="s">
        <v>392</v>
      </c>
      <c r="M86" s="139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f>SUM(M86:S86)</f>
        <v>0</v>
      </c>
      <c r="U86" s="141">
        <f t="shared" si="34"/>
        <v>0</v>
      </c>
      <c r="V86" s="127" t="s">
        <v>392</v>
      </c>
      <c r="W86" s="141"/>
      <c r="X86" s="142">
        <f t="shared" si="37"/>
        <v>6625.0199999999995</v>
      </c>
      <c r="Y86" s="141"/>
      <c r="Z86" s="142">
        <f t="shared" si="38"/>
        <v>0</v>
      </c>
      <c r="AA86" s="141"/>
      <c r="AB86" s="142">
        <f t="shared" si="35"/>
        <v>6625.0199999999995</v>
      </c>
      <c r="AC86" s="142"/>
      <c r="AD86" s="154">
        <v>0</v>
      </c>
      <c r="AE86" s="142"/>
      <c r="AF86" s="141">
        <f t="shared" si="8"/>
        <v>-1</v>
      </c>
    </row>
    <row r="87" spans="1:32" s="63" customFormat="1" ht="54.95" customHeight="1" x14ac:dyDescent="0.85">
      <c r="A87" s="126" t="s">
        <v>256</v>
      </c>
      <c r="B87" s="139">
        <f>CNT!N242+CNT!N260</f>
        <v>39532.740000000005</v>
      </c>
      <c r="C87" s="139">
        <v>0</v>
      </c>
      <c r="D87" s="139">
        <f>DEP!K59</f>
        <v>5250</v>
      </c>
      <c r="E87" s="139">
        <v>0</v>
      </c>
      <c r="F87" s="139">
        <f>'BSC (Dome)'!K63:K63</f>
        <v>1328.0999999999997</v>
      </c>
      <c r="G87" s="139">
        <v>0</v>
      </c>
      <c r="H87" s="139">
        <v>0</v>
      </c>
      <c r="I87" s="139">
        <f t="shared" si="32"/>
        <v>46110.840000000004</v>
      </c>
      <c r="J87" s="140">
        <f t="shared" si="33"/>
        <v>5.243914398085732E-2</v>
      </c>
      <c r="K87" s="140"/>
      <c r="L87" s="127" t="s">
        <v>256</v>
      </c>
      <c r="M87" s="139">
        <v>2562.1999999999998</v>
      </c>
      <c r="N87" s="139">
        <v>0</v>
      </c>
      <c r="O87" s="139">
        <v>0</v>
      </c>
      <c r="P87" s="139">
        <v>0</v>
      </c>
      <c r="Q87" s="139">
        <f>2821.94</f>
        <v>2821.94</v>
      </c>
      <c r="R87" s="139">
        <v>0</v>
      </c>
      <c r="S87" s="139">
        <v>0</v>
      </c>
      <c r="T87" s="139">
        <f t="shared" si="2"/>
        <v>5384.1399999999994</v>
      </c>
      <c r="U87" s="141">
        <f t="shared" si="34"/>
        <v>6.6542213880987546E-3</v>
      </c>
      <c r="V87" s="127" t="s">
        <v>256</v>
      </c>
      <c r="W87" s="141"/>
      <c r="X87" s="142">
        <f t="shared" si="37"/>
        <v>46110.840000000004</v>
      </c>
      <c r="Y87" s="141"/>
      <c r="Z87" s="142">
        <f t="shared" si="38"/>
        <v>5384.1399999999994</v>
      </c>
      <c r="AA87" s="141"/>
      <c r="AB87" s="142">
        <f t="shared" si="35"/>
        <v>40726.700000000004</v>
      </c>
      <c r="AC87" s="142"/>
      <c r="AD87" s="141">
        <f t="shared" si="36"/>
        <v>8.5641978106067089</v>
      </c>
      <c r="AE87" s="142"/>
      <c r="AF87" s="141">
        <f t="shared" si="8"/>
        <v>7.5641978106067089</v>
      </c>
    </row>
    <row r="88" spans="1:32" s="63" customFormat="1" ht="54.95" customHeight="1" x14ac:dyDescent="0.85">
      <c r="A88" s="126" t="s">
        <v>257</v>
      </c>
      <c r="B88" s="139">
        <f>CNT!N246</f>
        <v>27536.76</v>
      </c>
      <c r="C88" s="139">
        <f>BPM!K48</f>
        <v>912.49</v>
      </c>
      <c r="D88" s="139">
        <f>DEP!K65</f>
        <v>2477.5</v>
      </c>
      <c r="E88" s="139">
        <v>0</v>
      </c>
      <c r="F88" s="139">
        <f>'BSC (Dome)'!K69</f>
        <v>642</v>
      </c>
      <c r="G88" s="139">
        <v>0</v>
      </c>
      <c r="H88" s="139">
        <v>0</v>
      </c>
      <c r="I88" s="139">
        <f t="shared" si="32"/>
        <v>31568.75</v>
      </c>
      <c r="J88" s="140">
        <f t="shared" si="33"/>
        <v>3.5901281055510791E-2</v>
      </c>
      <c r="K88" s="140"/>
      <c r="L88" s="127" t="s">
        <v>257</v>
      </c>
      <c r="M88" s="139">
        <v>32426.25</v>
      </c>
      <c r="N88" s="139">
        <v>1125.75</v>
      </c>
      <c r="O88" s="139">
        <v>1887.75</v>
      </c>
      <c r="P88" s="139">
        <v>0</v>
      </c>
      <c r="Q88" s="139">
        <v>623</v>
      </c>
      <c r="R88" s="139">
        <v>0</v>
      </c>
      <c r="S88" s="139">
        <v>0</v>
      </c>
      <c r="T88" s="139">
        <f t="shared" si="2"/>
        <v>36062.75</v>
      </c>
      <c r="U88" s="141">
        <f t="shared" si="34"/>
        <v>4.4569703307057097E-2</v>
      </c>
      <c r="V88" s="127" t="s">
        <v>257</v>
      </c>
      <c r="W88" s="141"/>
      <c r="X88" s="142">
        <f t="shared" si="37"/>
        <v>31568.75</v>
      </c>
      <c r="Y88" s="141"/>
      <c r="Z88" s="142">
        <f t="shared" si="38"/>
        <v>36062.75</v>
      </c>
      <c r="AA88" s="141"/>
      <c r="AB88" s="142">
        <f t="shared" si="35"/>
        <v>-4494</v>
      </c>
      <c r="AC88" s="142"/>
      <c r="AD88" s="141">
        <f t="shared" si="36"/>
        <v>0.87538387948783714</v>
      </c>
      <c r="AE88" s="142"/>
      <c r="AF88" s="141">
        <f t="shared" si="8"/>
        <v>-0.12461612051216286</v>
      </c>
    </row>
    <row r="89" spans="1:32" s="63" customFormat="1" ht="54.95" customHeight="1" x14ac:dyDescent="0.85">
      <c r="A89" s="126" t="s">
        <v>258</v>
      </c>
      <c r="B89" s="139">
        <f>CNT!N247</f>
        <v>25516.5</v>
      </c>
      <c r="C89" s="139">
        <f>0</f>
        <v>0</v>
      </c>
      <c r="D89" s="139">
        <v>0</v>
      </c>
      <c r="E89" s="139">
        <v>0</v>
      </c>
      <c r="F89" s="139">
        <v>0</v>
      </c>
      <c r="G89" s="139">
        <v>0</v>
      </c>
      <c r="H89" s="139">
        <v>0</v>
      </c>
      <c r="I89" s="139">
        <f t="shared" si="32"/>
        <v>25516.5</v>
      </c>
      <c r="J89" s="140">
        <f t="shared" si="33"/>
        <v>2.9018413401003879E-2</v>
      </c>
      <c r="K89" s="140"/>
      <c r="L89" s="127" t="s">
        <v>258</v>
      </c>
      <c r="M89" s="139">
        <v>21659.119999999999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39">
        <v>0</v>
      </c>
      <c r="T89" s="139">
        <f t="shared" si="2"/>
        <v>21659.119999999999</v>
      </c>
      <c r="U89" s="141">
        <f t="shared" si="34"/>
        <v>2.6768356608742994E-2</v>
      </c>
      <c r="V89" s="127" t="s">
        <v>258</v>
      </c>
      <c r="W89" s="141"/>
      <c r="X89" s="142">
        <f t="shared" si="37"/>
        <v>25516.5</v>
      </c>
      <c r="Y89" s="141"/>
      <c r="Z89" s="142">
        <f t="shared" si="38"/>
        <v>21659.119999999999</v>
      </c>
      <c r="AA89" s="141"/>
      <c r="AB89" s="142">
        <f t="shared" si="35"/>
        <v>3857.380000000001</v>
      </c>
      <c r="AC89" s="142"/>
      <c r="AD89" s="154">
        <v>0</v>
      </c>
      <c r="AE89" s="142"/>
      <c r="AF89" s="141">
        <f t="shared" si="8"/>
        <v>-1</v>
      </c>
    </row>
    <row r="90" spans="1:32" s="63" customFormat="1" ht="54.95" customHeight="1" x14ac:dyDescent="0.85">
      <c r="A90" s="126" t="s">
        <v>295</v>
      </c>
      <c r="B90" s="139">
        <f>CNT!N237</f>
        <v>543.67999999999995</v>
      </c>
      <c r="C90" s="139">
        <f>0</f>
        <v>0</v>
      </c>
      <c r="D90" s="139">
        <f>DEP!K58</f>
        <v>300</v>
      </c>
      <c r="E90" s="139">
        <v>0</v>
      </c>
      <c r="F90" s="139">
        <f>'BSC (Dome)'!K62</f>
        <v>2600</v>
      </c>
      <c r="G90" s="139">
        <v>0</v>
      </c>
      <c r="H90" s="139">
        <v>0</v>
      </c>
      <c r="I90" s="139">
        <f t="shared" si="32"/>
        <v>3443.68</v>
      </c>
      <c r="J90" s="140">
        <f t="shared" si="33"/>
        <v>3.916294549047441E-3</v>
      </c>
      <c r="K90" s="140"/>
      <c r="L90" s="127" t="s">
        <v>295</v>
      </c>
      <c r="M90" s="139">
        <v>0</v>
      </c>
      <c r="N90" s="139">
        <v>0</v>
      </c>
      <c r="O90" s="139">
        <v>0</v>
      </c>
      <c r="P90" s="139">
        <v>0</v>
      </c>
      <c r="Q90" s="139">
        <v>950</v>
      </c>
      <c r="R90" s="139">
        <v>0</v>
      </c>
      <c r="S90" s="139">
        <v>0</v>
      </c>
      <c r="T90" s="139">
        <f>SUM(M90:S90)</f>
        <v>950</v>
      </c>
      <c r="U90" s="141">
        <f t="shared" si="34"/>
        <v>1.1740984295902071E-3</v>
      </c>
      <c r="V90" s="127" t="s">
        <v>295</v>
      </c>
      <c r="W90" s="141"/>
      <c r="X90" s="142">
        <f t="shared" si="37"/>
        <v>3443.68</v>
      </c>
      <c r="Y90" s="141"/>
      <c r="Z90" s="142">
        <f t="shared" si="38"/>
        <v>950</v>
      </c>
      <c r="AA90" s="141"/>
      <c r="AB90" s="142">
        <f t="shared" si="35"/>
        <v>2493.6799999999998</v>
      </c>
      <c r="AC90" s="142"/>
      <c r="AD90" s="154">
        <v>0</v>
      </c>
      <c r="AE90" s="142"/>
      <c r="AF90" s="155">
        <v>0</v>
      </c>
    </row>
    <row r="91" spans="1:32" s="63" customFormat="1" ht="54.95" customHeight="1" x14ac:dyDescent="0.85">
      <c r="A91" s="126" t="s">
        <v>378</v>
      </c>
      <c r="B91" s="139">
        <f>CNT!N243</f>
        <v>397.63</v>
      </c>
      <c r="C91" s="139">
        <v>0</v>
      </c>
      <c r="D91" s="139">
        <v>0</v>
      </c>
      <c r="E91" s="139">
        <v>0</v>
      </c>
      <c r="F91" s="139">
        <f>'BSC (Dome)'!K64</f>
        <v>10329.9</v>
      </c>
      <c r="G91" s="139">
        <v>0</v>
      </c>
      <c r="H91" s="139">
        <v>0</v>
      </c>
      <c r="I91" s="139">
        <f t="shared" si="32"/>
        <v>10727.529999999999</v>
      </c>
      <c r="J91" s="140">
        <f t="shared" si="33"/>
        <v>1.2199788384444226E-2</v>
      </c>
      <c r="K91" s="140"/>
      <c r="L91" s="127" t="s">
        <v>378</v>
      </c>
      <c r="M91" s="139">
        <v>696.89</v>
      </c>
      <c r="N91" s="139">
        <v>0</v>
      </c>
      <c r="O91" s="139">
        <v>0</v>
      </c>
      <c r="P91" s="139">
        <v>0</v>
      </c>
      <c r="Q91" s="139">
        <v>6832.94</v>
      </c>
      <c r="R91" s="139">
        <v>0</v>
      </c>
      <c r="S91" s="139">
        <v>0</v>
      </c>
      <c r="T91" s="139">
        <f>SUM(M91:S91)</f>
        <v>7529.83</v>
      </c>
      <c r="U91" s="141">
        <f t="shared" si="34"/>
        <v>9.3060648190328721E-3</v>
      </c>
      <c r="V91" s="127" t="s">
        <v>378</v>
      </c>
      <c r="W91" s="141"/>
      <c r="X91" s="142">
        <f t="shared" si="37"/>
        <v>10727.529999999999</v>
      </c>
      <c r="Y91" s="141"/>
      <c r="Z91" s="142">
        <f t="shared" si="38"/>
        <v>7529.83</v>
      </c>
      <c r="AA91" s="141"/>
      <c r="AB91" s="142">
        <f t="shared" si="35"/>
        <v>3197.6999999999989</v>
      </c>
      <c r="AC91" s="142"/>
      <c r="AD91" s="141">
        <f t="shared" si="36"/>
        <v>1.4246709421062627</v>
      </c>
      <c r="AE91" s="142"/>
      <c r="AF91" s="155">
        <v>0</v>
      </c>
    </row>
    <row r="92" spans="1:32" s="63" customFormat="1" ht="54.95" customHeight="1" x14ac:dyDescent="0.85">
      <c r="A92" s="126" t="s">
        <v>259</v>
      </c>
      <c r="B92" s="139">
        <f>CNT!N249</f>
        <v>24026.59</v>
      </c>
      <c r="C92" s="139">
        <f>0</f>
        <v>0</v>
      </c>
      <c r="D92" s="139">
        <f>0</f>
        <v>0</v>
      </c>
      <c r="E92" s="139">
        <v>0</v>
      </c>
      <c r="F92" s="139">
        <v>0</v>
      </c>
      <c r="G92" s="139">
        <v>0</v>
      </c>
      <c r="H92" s="139">
        <v>0</v>
      </c>
      <c r="I92" s="139">
        <f t="shared" si="32"/>
        <v>24026.59</v>
      </c>
      <c r="J92" s="140">
        <f t="shared" si="33"/>
        <v>2.7324026462736888E-2</v>
      </c>
      <c r="K92" s="140"/>
      <c r="L92" s="127" t="s">
        <v>259</v>
      </c>
      <c r="M92" s="139">
        <v>90000</v>
      </c>
      <c r="N92" s="139">
        <v>0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f t="shared" si="2"/>
        <v>90000</v>
      </c>
      <c r="U92" s="141">
        <f t="shared" si="34"/>
        <v>0.11123037754012488</v>
      </c>
      <c r="V92" s="127" t="s">
        <v>259</v>
      </c>
      <c r="W92" s="141"/>
      <c r="X92" s="142">
        <f t="shared" si="37"/>
        <v>24026.59</v>
      </c>
      <c r="Y92" s="141"/>
      <c r="Z92" s="142">
        <f t="shared" si="38"/>
        <v>90000</v>
      </c>
      <c r="AA92" s="141"/>
      <c r="AB92" s="142">
        <f t="shared" si="35"/>
        <v>-65973.41</v>
      </c>
      <c r="AC92" s="142"/>
      <c r="AD92" s="154">
        <v>0</v>
      </c>
      <c r="AE92" s="142"/>
      <c r="AF92" s="141">
        <f>AD92-1</f>
        <v>-1</v>
      </c>
    </row>
    <row r="93" spans="1:32" s="63" customFormat="1" ht="54.95" customHeight="1" x14ac:dyDescent="0.85">
      <c r="A93" s="126" t="s">
        <v>260</v>
      </c>
      <c r="B93" s="139">
        <f>CNT!N250+CNT!G261</f>
        <v>18008.54</v>
      </c>
      <c r="C93" s="139">
        <v>0</v>
      </c>
      <c r="D93" s="139">
        <v>0</v>
      </c>
      <c r="E93" s="139">
        <v>0</v>
      </c>
      <c r="F93" s="139">
        <v>0</v>
      </c>
      <c r="G93" s="139">
        <v>0</v>
      </c>
      <c r="H93" s="139">
        <v>0</v>
      </c>
      <c r="I93" s="139">
        <f t="shared" si="32"/>
        <v>18008.54</v>
      </c>
      <c r="J93" s="140">
        <f t="shared" si="33"/>
        <v>2.0480052455019864E-2</v>
      </c>
      <c r="K93" s="140"/>
      <c r="L93" s="127" t="s">
        <v>260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f t="shared" si="2"/>
        <v>0</v>
      </c>
      <c r="U93" s="141">
        <f t="shared" si="34"/>
        <v>0</v>
      </c>
      <c r="V93" s="127" t="s">
        <v>260</v>
      </c>
      <c r="W93" s="141"/>
      <c r="X93" s="142">
        <f t="shared" si="37"/>
        <v>18008.54</v>
      </c>
      <c r="Y93" s="141"/>
      <c r="Z93" s="142">
        <f t="shared" si="38"/>
        <v>0</v>
      </c>
      <c r="AA93" s="141"/>
      <c r="AB93" s="142">
        <f t="shared" si="35"/>
        <v>18008.54</v>
      </c>
      <c r="AC93" s="142"/>
      <c r="AD93" s="154">
        <v>0</v>
      </c>
      <c r="AE93" s="142"/>
      <c r="AF93" s="155">
        <v>0</v>
      </c>
    </row>
    <row r="94" spans="1:32" s="63" customFormat="1" ht="54.95" customHeight="1" x14ac:dyDescent="0.85">
      <c r="A94" s="126" t="s">
        <v>261</v>
      </c>
      <c r="B94" s="139">
        <f>CNT!N251</f>
        <v>4592.21</v>
      </c>
      <c r="C94" s="139">
        <v>0</v>
      </c>
      <c r="D94" s="139">
        <v>0</v>
      </c>
      <c r="E94" s="139">
        <v>0</v>
      </c>
      <c r="F94" s="139">
        <v>0</v>
      </c>
      <c r="G94" s="139">
        <v>0</v>
      </c>
      <c r="H94" s="139">
        <v>0</v>
      </c>
      <c r="I94" s="139">
        <f t="shared" si="32"/>
        <v>4592.21</v>
      </c>
      <c r="J94" s="140">
        <f t="shared" si="33"/>
        <v>5.2224501089187005E-3</v>
      </c>
      <c r="K94" s="140"/>
      <c r="L94" s="127" t="s">
        <v>261</v>
      </c>
      <c r="M94" s="139">
        <v>13650.12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f>SUM(M94:S94)</f>
        <v>13650.12</v>
      </c>
      <c r="U94" s="141">
        <f t="shared" si="34"/>
        <v>1.6870088900755659E-2</v>
      </c>
      <c r="V94" s="127" t="s">
        <v>261</v>
      </c>
      <c r="W94" s="141"/>
      <c r="X94" s="142">
        <f t="shared" si="37"/>
        <v>4592.21</v>
      </c>
      <c r="Y94" s="141"/>
      <c r="Z94" s="142">
        <f t="shared" si="38"/>
        <v>13650.12</v>
      </c>
      <c r="AA94" s="141"/>
      <c r="AB94" s="142">
        <f t="shared" si="35"/>
        <v>-9057.91</v>
      </c>
      <c r="AC94" s="142"/>
      <c r="AD94" s="154">
        <v>0</v>
      </c>
      <c r="AE94" s="142"/>
      <c r="AF94" s="141">
        <f>AD94-1</f>
        <v>-1</v>
      </c>
    </row>
    <row r="95" spans="1:32" s="63" customFormat="1" ht="54.95" customHeight="1" x14ac:dyDescent="0.85">
      <c r="A95" s="126" t="s">
        <v>262</v>
      </c>
      <c r="B95" s="139">
        <f>CNT!N252</f>
        <v>17950.280000000002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f t="shared" si="32"/>
        <v>17950.280000000002</v>
      </c>
      <c r="J95" s="140">
        <f t="shared" si="33"/>
        <v>2.0413796786540941E-2</v>
      </c>
      <c r="K95" s="140"/>
      <c r="L95" s="127" t="s">
        <v>262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0</v>
      </c>
      <c r="T95" s="139">
        <f>SUM(M95:S95)</f>
        <v>0</v>
      </c>
      <c r="U95" s="141">
        <f t="shared" si="34"/>
        <v>0</v>
      </c>
      <c r="V95" s="127" t="s">
        <v>262</v>
      </c>
      <c r="W95" s="141"/>
      <c r="X95" s="142">
        <f t="shared" si="37"/>
        <v>17950.280000000002</v>
      </c>
      <c r="Y95" s="141"/>
      <c r="Z95" s="142">
        <f t="shared" si="38"/>
        <v>0</v>
      </c>
      <c r="AA95" s="141"/>
      <c r="AB95" s="142">
        <f>I95-T95</f>
        <v>17950.280000000002</v>
      </c>
      <c r="AC95" s="142"/>
      <c r="AD95" s="143">
        <v>0</v>
      </c>
      <c r="AE95" s="142"/>
      <c r="AF95" s="155">
        <v>0</v>
      </c>
    </row>
    <row r="96" spans="1:32" s="63" customFormat="1" ht="54.95" customHeight="1" x14ac:dyDescent="0.85">
      <c r="A96" s="137" t="s">
        <v>264</v>
      </c>
      <c r="B96" s="144">
        <f>SUM(B77:B95)</f>
        <v>688386.01000000013</v>
      </c>
      <c r="C96" s="144">
        <f t="shared" ref="C96:H96" si="39">SUM(C77:C95)</f>
        <v>52502.909999999996</v>
      </c>
      <c r="D96" s="144">
        <f t="shared" si="39"/>
        <v>78093.3</v>
      </c>
      <c r="E96" s="144">
        <f t="shared" si="39"/>
        <v>14505.720000000001</v>
      </c>
      <c r="F96" s="144">
        <f>SUM(F77:F95)</f>
        <v>42468.58</v>
      </c>
      <c r="G96" s="144">
        <f t="shared" si="39"/>
        <v>2650</v>
      </c>
      <c r="H96" s="144">
        <f t="shared" si="39"/>
        <v>714.47000000000014</v>
      </c>
      <c r="I96" s="144">
        <f t="shared" si="32"/>
        <v>879320.99000000011</v>
      </c>
      <c r="J96" s="145">
        <f>SUM(J77:J95)</f>
        <v>1</v>
      </c>
      <c r="K96" s="146"/>
      <c r="L96" s="138" t="s">
        <v>264</v>
      </c>
      <c r="M96" s="144">
        <f t="shared" ref="M96:S96" si="40">SUM(M77:M95)</f>
        <v>601804.01</v>
      </c>
      <c r="N96" s="144">
        <f t="shared" si="40"/>
        <v>61627.67</v>
      </c>
      <c r="O96" s="144">
        <f t="shared" si="40"/>
        <v>78141.48</v>
      </c>
      <c r="P96" s="144">
        <f t="shared" si="40"/>
        <v>4487.51</v>
      </c>
      <c r="Q96" s="144">
        <f t="shared" si="40"/>
        <v>47973.23</v>
      </c>
      <c r="R96" s="144">
        <f t="shared" si="40"/>
        <v>13874</v>
      </c>
      <c r="S96" s="144">
        <f t="shared" si="40"/>
        <v>1223.58</v>
      </c>
      <c r="T96" s="144">
        <f>SUM(M96:S96)</f>
        <v>809131.48</v>
      </c>
      <c r="U96" s="147">
        <f>SUM(U77:U95)</f>
        <v>1</v>
      </c>
      <c r="V96" s="138" t="s">
        <v>264</v>
      </c>
      <c r="W96" s="148"/>
      <c r="X96" s="149">
        <f t="shared" si="37"/>
        <v>879320.99000000011</v>
      </c>
      <c r="Y96" s="148"/>
      <c r="Z96" s="149">
        <f t="shared" si="38"/>
        <v>809131.48</v>
      </c>
      <c r="AA96" s="148"/>
      <c r="AB96" s="149">
        <f>I96-T96</f>
        <v>70189.510000000126</v>
      </c>
      <c r="AC96" s="149"/>
      <c r="AD96" s="156">
        <f>I96/T96</f>
        <v>1.0867467299628488</v>
      </c>
      <c r="AE96" s="149"/>
      <c r="AF96" s="147">
        <f>AD96-1</f>
        <v>8.6746729962848823E-2</v>
      </c>
    </row>
    <row r="97" spans="1:33" s="63" customFormat="1" ht="54.95" customHeight="1" x14ac:dyDescent="0.85">
      <c r="A97" s="126"/>
      <c r="B97" s="139"/>
      <c r="C97" s="139"/>
      <c r="D97" s="139"/>
      <c r="E97" s="139"/>
      <c r="F97" s="139"/>
      <c r="G97" s="139"/>
      <c r="H97" s="139"/>
      <c r="I97" s="139">
        <f t="shared" si="32"/>
        <v>0</v>
      </c>
      <c r="J97" s="127"/>
      <c r="K97" s="127"/>
      <c r="L97" s="127"/>
      <c r="M97" s="139"/>
      <c r="N97" s="139"/>
      <c r="O97" s="139"/>
      <c r="P97" s="139"/>
      <c r="Q97" s="139"/>
      <c r="R97" s="139"/>
      <c r="S97" s="139"/>
      <c r="T97" s="139">
        <f>SUM(M97:S97)</f>
        <v>0</v>
      </c>
      <c r="U97" s="126"/>
      <c r="V97" s="127"/>
      <c r="W97" s="126"/>
      <c r="X97" s="142"/>
      <c r="Y97" s="126"/>
      <c r="Z97" s="142">
        <f t="shared" si="38"/>
        <v>0</v>
      </c>
      <c r="AA97" s="126"/>
      <c r="AB97" s="142"/>
      <c r="AC97" s="142"/>
      <c r="AD97" s="150"/>
      <c r="AE97" s="142"/>
      <c r="AF97" s="141"/>
    </row>
    <row r="98" spans="1:33" s="63" customFormat="1" ht="54.95" customHeight="1" thickBot="1" x14ac:dyDescent="0.9">
      <c r="A98" s="137" t="s">
        <v>265</v>
      </c>
      <c r="B98" s="151">
        <f t="shared" ref="B98:F98" si="41">B49+B74+B96</f>
        <v>6183606.2400000002</v>
      </c>
      <c r="C98" s="151">
        <f t="shared" si="41"/>
        <v>64479.469999999994</v>
      </c>
      <c r="D98" s="151">
        <f t="shared" si="41"/>
        <v>1046827.1600000001</v>
      </c>
      <c r="E98" s="151">
        <f t="shared" si="41"/>
        <v>14614.720000000001</v>
      </c>
      <c r="F98" s="151">
        <f t="shared" si="41"/>
        <v>566674.03999999992</v>
      </c>
      <c r="G98" s="151">
        <f>G49+G74+G96</f>
        <v>86431.430000000022</v>
      </c>
      <c r="H98" s="151">
        <f>H49+H74+H96</f>
        <v>133467.19</v>
      </c>
      <c r="I98" s="151">
        <f t="shared" si="32"/>
        <v>8096100.25</v>
      </c>
      <c r="J98" s="139">
        <f>SUM(I40:I48)+SUM(I52:I73)+SUM(I77:I95)-I98</f>
        <v>0</v>
      </c>
      <c r="K98" s="127"/>
      <c r="L98" s="138" t="s">
        <v>265</v>
      </c>
      <c r="M98" s="151">
        <f t="shared" ref="M98:S98" si="42">M49+M74+M96</f>
        <v>5564062.75</v>
      </c>
      <c r="N98" s="151">
        <f t="shared" si="42"/>
        <v>75178.080000000002</v>
      </c>
      <c r="O98" s="151">
        <f t="shared" si="42"/>
        <v>760899.71000000008</v>
      </c>
      <c r="P98" s="151">
        <f t="shared" si="42"/>
        <v>4487.51</v>
      </c>
      <c r="Q98" s="151">
        <f t="shared" si="42"/>
        <v>603373.44999999995</v>
      </c>
      <c r="R98" s="151">
        <f>R49+R74+R96</f>
        <v>47924.04</v>
      </c>
      <c r="S98" s="151">
        <f t="shared" si="42"/>
        <v>3048.58</v>
      </c>
      <c r="T98" s="151">
        <f>SUM(M98:S98)</f>
        <v>7058974.1200000001</v>
      </c>
      <c r="U98" s="142">
        <f>SUM(T40:T48)+SUM(T52:T73)+SUM(T77:T95)-T98</f>
        <v>0</v>
      </c>
      <c r="V98" s="138" t="s">
        <v>265</v>
      </c>
      <c r="W98" s="126"/>
      <c r="X98" s="152">
        <f t="shared" si="37"/>
        <v>8096100.25</v>
      </c>
      <c r="Y98" s="126"/>
      <c r="Z98" s="152">
        <f t="shared" si="38"/>
        <v>7058974.1200000001</v>
      </c>
      <c r="AA98" s="126"/>
      <c r="AB98" s="152">
        <f>I98-T98</f>
        <v>1037126.1299999999</v>
      </c>
      <c r="AC98" s="152"/>
      <c r="AD98" s="157">
        <f>I98/T98</f>
        <v>1.1469230673422557</v>
      </c>
      <c r="AE98" s="152"/>
      <c r="AF98" s="153">
        <v>0</v>
      </c>
    </row>
    <row r="99" spans="1:33" s="63" customFormat="1" ht="54.95" customHeight="1" x14ac:dyDescent="0.85">
      <c r="A99" s="126"/>
      <c r="B99" s="139"/>
      <c r="C99" s="139"/>
      <c r="D99" s="139"/>
      <c r="E99" s="139"/>
      <c r="F99" s="139"/>
      <c r="G99" s="139"/>
      <c r="H99" s="139"/>
      <c r="I99" s="139"/>
      <c r="J99" s="127"/>
      <c r="K99" s="127"/>
      <c r="L99" s="127"/>
      <c r="M99" s="139"/>
      <c r="N99" s="139"/>
      <c r="O99" s="139"/>
      <c r="P99" s="139"/>
      <c r="Q99" s="139"/>
      <c r="R99" s="139"/>
      <c r="S99" s="139"/>
      <c r="T99" s="139"/>
      <c r="U99" s="126"/>
      <c r="V99" s="127"/>
      <c r="W99" s="126"/>
      <c r="X99" s="128"/>
      <c r="Y99" s="126"/>
      <c r="Z99" s="128">
        <f t="shared" si="38"/>
        <v>0</v>
      </c>
      <c r="AA99" s="126"/>
      <c r="AB99" s="128"/>
      <c r="AC99" s="128"/>
      <c r="AD99" s="150"/>
      <c r="AE99" s="128"/>
      <c r="AF99" s="150"/>
    </row>
    <row r="100" spans="1:33" s="63" customFormat="1" ht="54.95" customHeight="1" x14ac:dyDescent="0.85">
      <c r="A100" s="137" t="s">
        <v>468</v>
      </c>
      <c r="B100" s="139"/>
      <c r="C100" s="139"/>
      <c r="D100" s="139"/>
      <c r="E100" s="139"/>
      <c r="F100" s="139"/>
      <c r="G100" s="139"/>
      <c r="H100" s="139"/>
      <c r="I100" s="139"/>
      <c r="J100" s="127"/>
      <c r="K100" s="127"/>
      <c r="L100" s="137" t="s">
        <v>468</v>
      </c>
      <c r="M100" s="139"/>
      <c r="N100" s="139"/>
      <c r="O100" s="139"/>
      <c r="P100" s="139"/>
      <c r="Q100" s="139"/>
      <c r="R100" s="139"/>
      <c r="S100" s="139"/>
      <c r="T100" s="139"/>
      <c r="U100" s="126"/>
      <c r="V100" s="137" t="s">
        <v>468</v>
      </c>
      <c r="W100" s="126"/>
      <c r="X100" s="128"/>
      <c r="Y100" s="126"/>
      <c r="Z100" s="128">
        <f t="shared" si="38"/>
        <v>0</v>
      </c>
      <c r="AA100" s="126"/>
      <c r="AB100" s="128"/>
      <c r="AC100" s="128"/>
      <c r="AD100" s="129"/>
      <c r="AE100" s="129"/>
      <c r="AF100" s="129"/>
      <c r="AG100" s="67"/>
    </row>
    <row r="101" spans="1:33" s="63" customFormat="1" ht="54.95" customHeight="1" x14ac:dyDescent="0.85">
      <c r="A101" s="126" t="s">
        <v>268</v>
      </c>
      <c r="B101" s="139">
        <f>CNT!N266</f>
        <v>112500</v>
      </c>
      <c r="C101" s="139">
        <v>0</v>
      </c>
      <c r="D101" s="139">
        <f>DEP!K71</f>
        <v>112500</v>
      </c>
      <c r="E101" s="139">
        <v>0</v>
      </c>
      <c r="F101" s="139">
        <f>'BSC (Dome)'!K75+'BSC (Dome)'!K76</f>
        <v>49000</v>
      </c>
      <c r="G101" s="139">
        <f>'Oliari Co.'!K21+'Oliari Co.'!K22</f>
        <v>159300</v>
      </c>
      <c r="H101" s="139">
        <f>'722 Bedford St'!K22+'722 Bedford St'!K23</f>
        <v>142500</v>
      </c>
      <c r="I101" s="139">
        <f t="shared" ref="I101:I116" si="43">SUM(B101:H101)</f>
        <v>575800</v>
      </c>
      <c r="J101" s="140"/>
      <c r="K101" s="140"/>
      <c r="L101" s="127" t="s">
        <v>268</v>
      </c>
      <c r="M101" s="139">
        <v>0</v>
      </c>
      <c r="N101" s="139">
        <v>0</v>
      </c>
      <c r="O101" s="139">
        <v>0</v>
      </c>
      <c r="P101" s="139">
        <v>0</v>
      </c>
      <c r="Q101" s="139">
        <f>40425.61+2200</f>
        <v>42625.61</v>
      </c>
      <c r="R101" s="139">
        <f>9000+323600</f>
        <v>332600</v>
      </c>
      <c r="S101" s="139">
        <v>100000</v>
      </c>
      <c r="T101" s="139">
        <f>SUM(M101:S101)</f>
        <v>475225.61</v>
      </c>
      <c r="U101" s="141"/>
      <c r="V101" s="127" t="s">
        <v>268</v>
      </c>
      <c r="W101" s="141"/>
      <c r="X101" s="142">
        <f t="shared" si="37"/>
        <v>575800</v>
      </c>
      <c r="Y101" s="141"/>
      <c r="Z101" s="142">
        <f t="shared" si="38"/>
        <v>475225.61</v>
      </c>
      <c r="AA101" s="141"/>
      <c r="AB101" s="142">
        <f>I101-T101</f>
        <v>100574.39000000001</v>
      </c>
      <c r="AC101" s="142"/>
      <c r="AD101" s="129"/>
      <c r="AE101" s="129"/>
      <c r="AF101" s="129"/>
      <c r="AG101" s="67"/>
    </row>
    <row r="102" spans="1:33" s="63" customFormat="1" ht="54.95" customHeight="1" x14ac:dyDescent="0.85">
      <c r="A102" s="126" t="s">
        <v>269</v>
      </c>
      <c r="B102" s="139">
        <f>CNT!N267</f>
        <v>311113.75</v>
      </c>
      <c r="C102" s="139">
        <v>0</v>
      </c>
      <c r="D102" s="139">
        <v>0</v>
      </c>
      <c r="E102" s="139">
        <v>0</v>
      </c>
      <c r="F102" s="139">
        <v>0</v>
      </c>
      <c r="G102" s="139">
        <v>0</v>
      </c>
      <c r="H102" s="139">
        <v>0</v>
      </c>
      <c r="I102" s="139">
        <f t="shared" si="43"/>
        <v>311113.75</v>
      </c>
      <c r="J102" s="140"/>
      <c r="K102" s="140"/>
      <c r="L102" s="127" t="s">
        <v>269</v>
      </c>
      <c r="M102" s="139">
        <v>309547.5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0</v>
      </c>
      <c r="T102" s="139">
        <f>SUM(M102:S102)</f>
        <v>309547.5</v>
      </c>
      <c r="U102" s="141"/>
      <c r="V102" s="127" t="s">
        <v>269</v>
      </c>
      <c r="W102" s="141"/>
      <c r="X102" s="142">
        <f t="shared" si="37"/>
        <v>311113.75</v>
      </c>
      <c r="Y102" s="141"/>
      <c r="Z102" s="142">
        <f t="shared" si="38"/>
        <v>309547.5</v>
      </c>
      <c r="AA102" s="141"/>
      <c r="AB102" s="142">
        <f t="shared" ref="AB102:AB111" si="44">I102-T102</f>
        <v>1566.25</v>
      </c>
      <c r="AC102" s="142"/>
      <c r="AD102" s="129"/>
      <c r="AE102" s="129"/>
      <c r="AF102" s="129"/>
      <c r="AG102" s="67"/>
    </row>
    <row r="103" spans="1:33" s="63" customFormat="1" ht="54.95" customHeight="1" x14ac:dyDescent="0.85">
      <c r="A103" s="126" t="s">
        <v>327</v>
      </c>
      <c r="B103" s="139">
        <v>0</v>
      </c>
      <c r="C103" s="139">
        <f>-BPM!K56</f>
        <v>-311113.75</v>
      </c>
      <c r="D103" s="139">
        <v>0</v>
      </c>
      <c r="E103" s="139">
        <v>0</v>
      </c>
      <c r="F103" s="139">
        <v>0</v>
      </c>
      <c r="G103" s="139">
        <v>0</v>
      </c>
      <c r="H103" s="139">
        <v>0</v>
      </c>
      <c r="I103" s="139">
        <f t="shared" si="43"/>
        <v>-311113.75</v>
      </c>
      <c r="J103" s="140"/>
      <c r="K103" s="140"/>
      <c r="L103" s="127" t="s">
        <v>327</v>
      </c>
      <c r="M103" s="139">
        <v>0</v>
      </c>
      <c r="N103" s="139">
        <v>-309547.5</v>
      </c>
      <c r="O103" s="139">
        <v>-10000</v>
      </c>
      <c r="P103" s="139">
        <v>0</v>
      </c>
      <c r="Q103" s="139">
        <v>0</v>
      </c>
      <c r="R103" s="139">
        <v>0</v>
      </c>
      <c r="S103" s="139">
        <v>0</v>
      </c>
      <c r="T103" s="139">
        <f>SUM(M103:S103)</f>
        <v>-319547.5</v>
      </c>
      <c r="U103" s="141"/>
      <c r="V103" s="127" t="s">
        <v>327</v>
      </c>
      <c r="W103" s="141"/>
      <c r="X103" s="142">
        <f t="shared" si="37"/>
        <v>-311113.75</v>
      </c>
      <c r="Y103" s="141"/>
      <c r="Z103" s="142">
        <f t="shared" si="38"/>
        <v>-319547.5</v>
      </c>
      <c r="AA103" s="141"/>
      <c r="AB103" s="142">
        <f t="shared" si="44"/>
        <v>8433.75</v>
      </c>
      <c r="AC103" s="142"/>
      <c r="AD103" s="129"/>
      <c r="AE103" s="129"/>
      <c r="AF103" s="129"/>
      <c r="AG103" s="67"/>
    </row>
    <row r="104" spans="1:33" s="63" customFormat="1" ht="54.95" customHeight="1" x14ac:dyDescent="0.85">
      <c r="A104" s="126" t="s">
        <v>389</v>
      </c>
      <c r="B104" s="139">
        <f>CNT!N268</f>
        <v>49196.87</v>
      </c>
      <c r="C104" s="139">
        <f>-BPM!K57</f>
        <v>-49196.87</v>
      </c>
      <c r="D104" s="139">
        <v>0</v>
      </c>
      <c r="E104" s="139">
        <v>0</v>
      </c>
      <c r="F104" s="139">
        <v>0</v>
      </c>
      <c r="G104" s="139">
        <v>0</v>
      </c>
      <c r="H104" s="139">
        <v>0</v>
      </c>
      <c r="I104" s="139">
        <f t="shared" si="43"/>
        <v>0</v>
      </c>
      <c r="J104" s="140"/>
      <c r="K104" s="140"/>
      <c r="L104" s="127" t="s">
        <v>389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41"/>
      <c r="V104" s="127" t="s">
        <v>389</v>
      </c>
      <c r="W104" s="141"/>
      <c r="X104" s="142">
        <f t="shared" si="37"/>
        <v>0</v>
      </c>
      <c r="Y104" s="141"/>
      <c r="Z104" s="142">
        <f t="shared" si="38"/>
        <v>0</v>
      </c>
      <c r="AA104" s="141"/>
      <c r="AB104" s="142">
        <f t="shared" si="44"/>
        <v>0</v>
      </c>
      <c r="AC104" s="142"/>
      <c r="AD104" s="129"/>
      <c r="AE104" s="129"/>
      <c r="AF104" s="129"/>
      <c r="AG104" s="67"/>
    </row>
    <row r="105" spans="1:33" s="63" customFormat="1" ht="54.95" customHeight="1" x14ac:dyDescent="0.85">
      <c r="A105" s="126" t="s">
        <v>270</v>
      </c>
      <c r="B105" s="139">
        <f>CNT!N269</f>
        <v>154224.38999999998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f t="shared" si="43"/>
        <v>154224.38999999998</v>
      </c>
      <c r="J105" s="140"/>
      <c r="K105" s="140"/>
      <c r="L105" s="127" t="s">
        <v>270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f t="shared" ref="T105:T116" si="45">SUM(M105:S105)</f>
        <v>0</v>
      </c>
      <c r="U105" s="141"/>
      <c r="V105" s="127" t="s">
        <v>270</v>
      </c>
      <c r="W105" s="141"/>
      <c r="X105" s="142">
        <f t="shared" si="37"/>
        <v>154224.38999999998</v>
      </c>
      <c r="Y105" s="141"/>
      <c r="Z105" s="142">
        <f t="shared" si="38"/>
        <v>0</v>
      </c>
      <c r="AA105" s="141"/>
      <c r="AB105" s="142">
        <f t="shared" si="44"/>
        <v>154224.38999999998</v>
      </c>
      <c r="AC105" s="142"/>
      <c r="AD105" s="129"/>
      <c r="AE105" s="129"/>
      <c r="AF105" s="129"/>
      <c r="AG105" s="67"/>
    </row>
    <row r="106" spans="1:33" s="63" customFormat="1" ht="54.95" customHeight="1" x14ac:dyDescent="0.85">
      <c r="A106" s="126" t="s">
        <v>271</v>
      </c>
      <c r="B106" s="139">
        <f>CNT!N270</f>
        <v>183407.18</v>
      </c>
      <c r="C106" s="139">
        <f>-BPM!K58</f>
        <v>9639.16</v>
      </c>
      <c r="D106" s="139">
        <f>DEP!K72</f>
        <v>24546.61</v>
      </c>
      <c r="E106" s="139">
        <f>Lending!K16</f>
        <v>39725.869999999995</v>
      </c>
      <c r="F106" s="139">
        <v>0</v>
      </c>
      <c r="G106" s="139">
        <f>'Oliari Co.'!K24</f>
        <v>32578.850000000002</v>
      </c>
      <c r="H106" s="139">
        <v>0</v>
      </c>
      <c r="I106" s="139">
        <f t="shared" si="43"/>
        <v>289897.67</v>
      </c>
      <c r="J106" s="140"/>
      <c r="K106" s="140"/>
      <c r="L106" s="127" t="s">
        <v>271</v>
      </c>
      <c r="M106" s="139">
        <v>181643.5</v>
      </c>
      <c r="N106" s="139">
        <v>0</v>
      </c>
      <c r="O106" s="139">
        <v>0</v>
      </c>
      <c r="P106" s="139">
        <v>87564.59</v>
      </c>
      <c r="Q106" s="139">
        <v>0</v>
      </c>
      <c r="R106" s="139">
        <v>38363.26</v>
      </c>
      <c r="S106" s="139">
        <v>0</v>
      </c>
      <c r="T106" s="139">
        <f t="shared" si="45"/>
        <v>307571.34999999998</v>
      </c>
      <c r="U106" s="141"/>
      <c r="V106" s="127" t="s">
        <v>271</v>
      </c>
      <c r="W106" s="141"/>
      <c r="X106" s="142">
        <f t="shared" si="37"/>
        <v>289897.67</v>
      </c>
      <c r="Y106" s="141"/>
      <c r="Z106" s="142">
        <f t="shared" si="38"/>
        <v>307571.34999999998</v>
      </c>
      <c r="AA106" s="141"/>
      <c r="AB106" s="142">
        <f t="shared" si="44"/>
        <v>-17673.679999999993</v>
      </c>
      <c r="AC106" s="142"/>
      <c r="AD106" s="129"/>
      <c r="AE106" s="129"/>
      <c r="AF106" s="129"/>
      <c r="AG106" s="67"/>
    </row>
    <row r="107" spans="1:33" s="63" customFormat="1" ht="54.95" customHeight="1" x14ac:dyDescent="0.85">
      <c r="A107" s="126" t="s">
        <v>272</v>
      </c>
      <c r="B107" s="139">
        <f>CNT!N271</f>
        <v>-137770.54999999999</v>
      </c>
      <c r="C107" s="139">
        <v>0</v>
      </c>
      <c r="D107" s="139">
        <v>0</v>
      </c>
      <c r="E107" s="139">
        <f>Lending!K17</f>
        <v>-4702.0200000000004</v>
      </c>
      <c r="F107" s="139">
        <f>'BSC (Dome)'!K78+'BSC (Dome)'!K79</f>
        <v>-87107.24</v>
      </c>
      <c r="G107" s="139">
        <f>'Oliari Co.'!K25</f>
        <v>-7748.3700000000008</v>
      </c>
      <c r="H107" s="139">
        <v>0</v>
      </c>
      <c r="I107" s="139">
        <f t="shared" si="43"/>
        <v>-237328.18</v>
      </c>
      <c r="J107" s="140"/>
      <c r="K107" s="140"/>
      <c r="L107" s="127" t="s">
        <v>272</v>
      </c>
      <c r="M107" s="139">
        <v>-166093.94</v>
      </c>
      <c r="N107" s="139">
        <v>0</v>
      </c>
      <c r="O107" s="139">
        <v>0</v>
      </c>
      <c r="P107" s="139">
        <v>-12533.52</v>
      </c>
      <c r="Q107" s="139">
        <f>-34474.58+-54528.39</f>
        <v>-89002.97</v>
      </c>
      <c r="R107" s="139">
        <f>-16173.41-9500.81-1721.86</f>
        <v>-27396.080000000002</v>
      </c>
      <c r="S107" s="139">
        <v>0</v>
      </c>
      <c r="T107" s="139">
        <f t="shared" si="45"/>
        <v>-295026.51</v>
      </c>
      <c r="U107" s="141"/>
      <c r="V107" s="127" t="s">
        <v>272</v>
      </c>
      <c r="W107" s="141"/>
      <c r="X107" s="142">
        <f t="shared" si="37"/>
        <v>-237328.18</v>
      </c>
      <c r="Y107" s="141"/>
      <c r="Z107" s="142">
        <f t="shared" si="38"/>
        <v>-295026.51</v>
      </c>
      <c r="AA107" s="141"/>
      <c r="AB107" s="142">
        <f t="shared" si="44"/>
        <v>57698.330000000016</v>
      </c>
      <c r="AC107" s="142"/>
      <c r="AD107" s="129"/>
      <c r="AE107" s="129"/>
      <c r="AF107" s="129"/>
      <c r="AG107" s="67"/>
    </row>
    <row r="108" spans="1:33" s="63" customFormat="1" ht="54.95" customHeight="1" x14ac:dyDescent="0.85">
      <c r="A108" s="126" t="s">
        <v>273</v>
      </c>
      <c r="B108" s="139">
        <f>CNT!N272</f>
        <v>49.6</v>
      </c>
      <c r="C108" s="139">
        <v>0</v>
      </c>
      <c r="D108" s="139">
        <v>0</v>
      </c>
      <c r="E108" s="139">
        <v>0</v>
      </c>
      <c r="F108" s="139">
        <f>'BSC (Dome)'!K77</f>
        <v>1912.98</v>
      </c>
      <c r="G108" s="139">
        <f>'Oliari Co.'!K23</f>
        <v>1.01</v>
      </c>
      <c r="H108" s="139">
        <v>0</v>
      </c>
      <c r="I108" s="139">
        <f t="shared" si="43"/>
        <v>1963.59</v>
      </c>
      <c r="J108" s="140"/>
      <c r="K108" s="140"/>
      <c r="L108" s="127" t="s">
        <v>273</v>
      </c>
      <c r="M108" s="139">
        <v>0</v>
      </c>
      <c r="N108" s="139">
        <v>0</v>
      </c>
      <c r="O108" s="139">
        <v>0</v>
      </c>
      <c r="P108" s="139">
        <v>0</v>
      </c>
      <c r="Q108" s="139">
        <v>0</v>
      </c>
      <c r="R108" s="139">
        <v>0</v>
      </c>
      <c r="S108" s="139">
        <v>0</v>
      </c>
      <c r="T108" s="139">
        <f t="shared" si="45"/>
        <v>0</v>
      </c>
      <c r="U108" s="141"/>
      <c r="V108" s="127" t="s">
        <v>273</v>
      </c>
      <c r="W108" s="141"/>
      <c r="X108" s="142">
        <f t="shared" si="37"/>
        <v>1963.59</v>
      </c>
      <c r="Y108" s="141"/>
      <c r="Z108" s="142">
        <f t="shared" si="38"/>
        <v>0</v>
      </c>
      <c r="AA108" s="141"/>
      <c r="AB108" s="142">
        <f t="shared" si="44"/>
        <v>1963.59</v>
      </c>
      <c r="AC108" s="142"/>
      <c r="AD108" s="129"/>
      <c r="AE108" s="129"/>
      <c r="AF108" s="129"/>
      <c r="AG108" s="67"/>
    </row>
    <row r="109" spans="1:33" s="63" customFormat="1" ht="54.95" customHeight="1" x14ac:dyDescent="0.85">
      <c r="A109" s="126" t="s">
        <v>404</v>
      </c>
      <c r="B109" s="139">
        <f>CNT!N273</f>
        <v>25869.809999999998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  <c r="H109" s="139">
        <v>0</v>
      </c>
      <c r="I109" s="139">
        <f t="shared" si="43"/>
        <v>25869.809999999998</v>
      </c>
      <c r="J109" s="140"/>
      <c r="K109" s="140"/>
      <c r="L109" s="126" t="s">
        <v>404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f t="shared" si="45"/>
        <v>0</v>
      </c>
      <c r="U109" s="141"/>
      <c r="V109" s="126" t="s">
        <v>404</v>
      </c>
      <c r="W109" s="141"/>
      <c r="X109" s="142">
        <f t="shared" si="37"/>
        <v>25869.809999999998</v>
      </c>
      <c r="Y109" s="141"/>
      <c r="Z109" s="142">
        <f t="shared" si="38"/>
        <v>0</v>
      </c>
      <c r="AA109" s="141"/>
      <c r="AB109" s="142">
        <f t="shared" si="44"/>
        <v>25869.809999999998</v>
      </c>
      <c r="AC109" s="142"/>
      <c r="AD109" s="129"/>
      <c r="AE109" s="129"/>
      <c r="AF109" s="129"/>
      <c r="AG109" s="67"/>
    </row>
    <row r="110" spans="1:33" s="63" customFormat="1" ht="54.95" customHeight="1" x14ac:dyDescent="0.85">
      <c r="A110" s="126" t="s">
        <v>444</v>
      </c>
      <c r="B110" s="139">
        <f>CNT!N274</f>
        <v>5035.16</v>
      </c>
      <c r="C110" s="139">
        <v>0</v>
      </c>
      <c r="D110" s="139">
        <v>0</v>
      </c>
      <c r="E110" s="139">
        <v>0</v>
      </c>
      <c r="F110" s="139">
        <v>0</v>
      </c>
      <c r="G110" s="139">
        <v>0</v>
      </c>
      <c r="H110" s="139">
        <v>0</v>
      </c>
      <c r="I110" s="139">
        <f t="shared" si="43"/>
        <v>5035.16</v>
      </c>
      <c r="J110" s="140"/>
      <c r="K110" s="140"/>
      <c r="L110" s="126" t="s">
        <v>444</v>
      </c>
      <c r="M110" s="139">
        <v>0</v>
      </c>
      <c r="N110" s="139">
        <v>0</v>
      </c>
      <c r="O110" s="139">
        <v>0</v>
      </c>
      <c r="P110" s="139">
        <v>0</v>
      </c>
      <c r="Q110" s="139">
        <v>0</v>
      </c>
      <c r="R110" s="139">
        <v>0</v>
      </c>
      <c r="S110" s="139">
        <v>0</v>
      </c>
      <c r="T110" s="139">
        <f t="shared" si="45"/>
        <v>0</v>
      </c>
      <c r="U110" s="141"/>
      <c r="V110" s="126" t="s">
        <v>444</v>
      </c>
      <c r="W110" s="141"/>
      <c r="X110" s="142"/>
      <c r="Y110" s="141"/>
      <c r="Z110" s="142">
        <f t="shared" si="38"/>
        <v>0</v>
      </c>
      <c r="AA110" s="141"/>
      <c r="AB110" s="142">
        <f t="shared" si="44"/>
        <v>5035.16</v>
      </c>
      <c r="AC110" s="142"/>
      <c r="AD110" s="129"/>
      <c r="AE110" s="129"/>
      <c r="AF110" s="129"/>
      <c r="AG110" s="67"/>
    </row>
    <row r="111" spans="1:33" s="63" customFormat="1" ht="54.95" customHeight="1" x14ac:dyDescent="0.85">
      <c r="A111" s="126" t="s">
        <v>445</v>
      </c>
      <c r="B111" s="139">
        <f>CNT!N276</f>
        <v>25430.999999999996</v>
      </c>
      <c r="C111" s="139">
        <v>0</v>
      </c>
      <c r="D111" s="139">
        <v>0</v>
      </c>
      <c r="E111" s="139">
        <v>0</v>
      </c>
      <c r="F111" s="139">
        <v>0</v>
      </c>
      <c r="G111" s="139">
        <v>0</v>
      </c>
      <c r="H111" s="139">
        <v>0</v>
      </c>
      <c r="I111" s="139">
        <f t="shared" si="43"/>
        <v>25430.999999999996</v>
      </c>
      <c r="J111" s="140"/>
      <c r="K111" s="140"/>
      <c r="L111" s="126" t="s">
        <v>445</v>
      </c>
      <c r="M111" s="139">
        <v>0</v>
      </c>
      <c r="N111" s="139">
        <v>0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f t="shared" si="45"/>
        <v>0</v>
      </c>
      <c r="U111" s="141"/>
      <c r="V111" s="126" t="s">
        <v>445</v>
      </c>
      <c r="W111" s="141"/>
      <c r="X111" s="142"/>
      <c r="Y111" s="141"/>
      <c r="Z111" s="142">
        <f t="shared" si="38"/>
        <v>0</v>
      </c>
      <c r="AA111" s="141"/>
      <c r="AB111" s="142">
        <f t="shared" si="44"/>
        <v>25430.999999999996</v>
      </c>
      <c r="AC111" s="142"/>
      <c r="AD111" s="129"/>
      <c r="AE111" s="129"/>
      <c r="AF111" s="129"/>
      <c r="AG111" s="67"/>
    </row>
    <row r="112" spans="1:33" s="63" customFormat="1" ht="54.95" customHeight="1" x14ac:dyDescent="0.85">
      <c r="A112" s="126" t="s">
        <v>406</v>
      </c>
      <c r="B112" s="139">
        <f>CNT!N275</f>
        <v>22084.030000000002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f t="shared" si="43"/>
        <v>22084.030000000002</v>
      </c>
      <c r="J112" s="140"/>
      <c r="K112" s="140"/>
      <c r="L112" s="126" t="s">
        <v>406</v>
      </c>
      <c r="M112" s="139">
        <v>0</v>
      </c>
      <c r="N112" s="139">
        <v>0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41"/>
      <c r="V112" s="126" t="s">
        <v>406</v>
      </c>
      <c r="W112" s="141"/>
      <c r="X112" s="142">
        <f t="shared" si="37"/>
        <v>22084.030000000002</v>
      </c>
      <c r="Y112" s="141"/>
      <c r="Z112" s="142">
        <f t="shared" si="38"/>
        <v>0</v>
      </c>
      <c r="AA112" s="141"/>
      <c r="AB112" s="142"/>
      <c r="AC112" s="142"/>
      <c r="AD112" s="129"/>
      <c r="AE112" s="129"/>
      <c r="AF112" s="129"/>
      <c r="AG112" s="67"/>
    </row>
    <row r="113" spans="1:33" s="63" customFormat="1" ht="54.95" customHeight="1" x14ac:dyDescent="0.85">
      <c r="A113" s="126" t="s">
        <v>455</v>
      </c>
      <c r="B113" s="139">
        <f>CNT!N277</f>
        <v>3098.28</v>
      </c>
      <c r="C113" s="139">
        <v>0</v>
      </c>
      <c r="D113" s="139">
        <v>0</v>
      </c>
      <c r="E113" s="139">
        <v>0</v>
      </c>
      <c r="F113" s="139">
        <v>0</v>
      </c>
      <c r="G113" s="139">
        <v>0</v>
      </c>
      <c r="H113" s="139">
        <v>0</v>
      </c>
      <c r="I113" s="139">
        <f t="shared" si="43"/>
        <v>3098.28</v>
      </c>
      <c r="J113" s="140"/>
      <c r="K113" s="140"/>
      <c r="L113" s="126" t="s">
        <v>455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41"/>
      <c r="V113" s="126" t="s">
        <v>455</v>
      </c>
      <c r="W113" s="141"/>
      <c r="X113" s="142"/>
      <c r="Y113" s="141"/>
      <c r="Z113" s="142">
        <f t="shared" si="38"/>
        <v>0</v>
      </c>
      <c r="AA113" s="141"/>
      <c r="AB113" s="142"/>
      <c r="AC113" s="142"/>
      <c r="AD113" s="129"/>
      <c r="AE113" s="129"/>
      <c r="AF113" s="129"/>
      <c r="AG113" s="67"/>
    </row>
    <row r="114" spans="1:33" s="63" customFormat="1" ht="54.95" customHeight="1" x14ac:dyDescent="0.85">
      <c r="A114" s="137" t="s">
        <v>469</v>
      </c>
      <c r="B114" s="144">
        <f t="shared" ref="B114:I114" si="46">SUM(B101:B113)</f>
        <v>754239.5199999999</v>
      </c>
      <c r="C114" s="144">
        <f t="shared" si="46"/>
        <v>-350671.46</v>
      </c>
      <c r="D114" s="144">
        <f t="shared" si="46"/>
        <v>137046.60999999999</v>
      </c>
      <c r="E114" s="144">
        <f t="shared" si="46"/>
        <v>35023.849999999991</v>
      </c>
      <c r="F114" s="144">
        <f t="shared" si="46"/>
        <v>-36194.26</v>
      </c>
      <c r="G114" s="144">
        <f t="shared" si="46"/>
        <v>184131.49000000002</v>
      </c>
      <c r="H114" s="144">
        <f t="shared" si="46"/>
        <v>142500</v>
      </c>
      <c r="I114" s="144">
        <f t="shared" si="46"/>
        <v>866075.75000000012</v>
      </c>
      <c r="J114" s="158">
        <f>SUM(I101:I113)-I114</f>
        <v>0</v>
      </c>
      <c r="K114" s="140"/>
      <c r="L114" s="137" t="s">
        <v>469</v>
      </c>
      <c r="M114" s="144">
        <f>SUM(M101:M113)</f>
        <v>325097.06</v>
      </c>
      <c r="N114" s="144">
        <f>SUM(N101:N108)</f>
        <v>-309547.5</v>
      </c>
      <c r="O114" s="144">
        <f>SUM(O101:O108)</f>
        <v>-10000</v>
      </c>
      <c r="P114" s="144">
        <f>SUM(P101:P113)</f>
        <v>75031.069999999992</v>
      </c>
      <c r="Q114" s="144">
        <f>SUM(Q101:Q113)</f>
        <v>-46377.36</v>
      </c>
      <c r="R114" s="144">
        <f>SUM(R101:R113)</f>
        <v>343567.18</v>
      </c>
      <c r="S114" s="144">
        <f>SUM(S101:S113)</f>
        <v>100000</v>
      </c>
      <c r="T114" s="144">
        <f>SUM(M114:S114)</f>
        <v>477770.44999999995</v>
      </c>
      <c r="U114" s="154">
        <f>SUM(T101:T112)-T114</f>
        <v>0</v>
      </c>
      <c r="V114" s="137" t="s">
        <v>469</v>
      </c>
      <c r="W114" s="141"/>
      <c r="X114" s="149">
        <f t="shared" si="37"/>
        <v>866075.75000000012</v>
      </c>
      <c r="Y114" s="141"/>
      <c r="Z114" s="149">
        <f t="shared" si="38"/>
        <v>477770.44999999995</v>
      </c>
      <c r="AA114" s="141"/>
      <c r="AB114" s="149">
        <f>I114-T114</f>
        <v>388305.30000000016</v>
      </c>
      <c r="AC114" s="149"/>
      <c r="AD114" s="129"/>
      <c r="AE114" s="129"/>
      <c r="AF114" s="129"/>
      <c r="AG114" s="67"/>
    </row>
    <row r="115" spans="1:33" s="63" customFormat="1" ht="54.95" customHeight="1" x14ac:dyDescent="0.85">
      <c r="A115" s="137"/>
      <c r="B115" s="139"/>
      <c r="C115" s="139"/>
      <c r="D115" s="139"/>
      <c r="E115" s="139"/>
      <c r="F115" s="139"/>
      <c r="G115" s="139"/>
      <c r="H115" s="139"/>
      <c r="I115" s="139">
        <f t="shared" si="43"/>
        <v>0</v>
      </c>
      <c r="J115" s="140"/>
      <c r="K115" s="140"/>
      <c r="L115" s="138"/>
      <c r="M115" s="139"/>
      <c r="N115" s="139"/>
      <c r="O115" s="139"/>
      <c r="P115" s="139"/>
      <c r="Q115" s="139"/>
      <c r="R115" s="139"/>
      <c r="S115" s="139"/>
      <c r="T115" s="139">
        <f t="shared" si="45"/>
        <v>0</v>
      </c>
      <c r="U115" s="141"/>
      <c r="V115" s="138"/>
      <c r="W115" s="141"/>
      <c r="X115" s="142"/>
      <c r="Y115" s="141"/>
      <c r="Z115" s="142">
        <f t="shared" si="38"/>
        <v>0</v>
      </c>
      <c r="AA115" s="141"/>
      <c r="AB115" s="142"/>
      <c r="AC115" s="142"/>
      <c r="AD115" s="129"/>
      <c r="AE115" s="129"/>
      <c r="AF115" s="129"/>
      <c r="AG115" s="67"/>
    </row>
    <row r="116" spans="1:33" s="173" customFormat="1" ht="69.95" customHeight="1" thickBot="1" x14ac:dyDescent="1.1000000000000001">
      <c r="A116" s="183" t="s">
        <v>267</v>
      </c>
      <c r="B116" s="184">
        <f>B35-B98+B114</f>
        <v>-866177.09999820741</v>
      </c>
      <c r="C116" s="184">
        <f t="shared" ref="C116:H116" si="47">C35-C98+C114</f>
        <v>409024.82000001491</v>
      </c>
      <c r="D116" s="184">
        <f t="shared" si="47"/>
        <v>1266280.71</v>
      </c>
      <c r="E116" s="184">
        <f>E35-E98+E114</f>
        <v>20409.12999999999</v>
      </c>
      <c r="F116" s="184">
        <f t="shared" si="47"/>
        <v>-57152.549999999806</v>
      </c>
      <c r="G116" s="184">
        <f>G35-G98+G114</f>
        <v>97700.06</v>
      </c>
      <c r="H116" s="184">
        <f t="shared" si="47"/>
        <v>9032.8099999999977</v>
      </c>
      <c r="I116" s="184">
        <f t="shared" si="43"/>
        <v>879117.88000180759</v>
      </c>
      <c r="J116" s="179"/>
      <c r="K116" s="179"/>
      <c r="L116" s="185" t="s">
        <v>267</v>
      </c>
      <c r="M116" s="184">
        <f t="shared" ref="M116:S116" si="48">M35-M98+M114</f>
        <v>-817103.95999807352</v>
      </c>
      <c r="N116" s="184">
        <f t="shared" si="48"/>
        <v>191371.89999999671</v>
      </c>
      <c r="O116" s="184">
        <f t="shared" si="48"/>
        <v>703070.16</v>
      </c>
      <c r="P116" s="184">
        <f t="shared" si="48"/>
        <v>70543.56</v>
      </c>
      <c r="Q116" s="184">
        <f>Q35-Q98+Q114</f>
        <v>-98430.059999999954</v>
      </c>
      <c r="R116" s="184">
        <f>R35-R98+R114</f>
        <v>295643.14</v>
      </c>
      <c r="S116" s="184">
        <f t="shared" si="48"/>
        <v>96951.42</v>
      </c>
      <c r="T116" s="184">
        <f t="shared" si="45"/>
        <v>442046.16000192321</v>
      </c>
      <c r="V116" s="185" t="s">
        <v>267</v>
      </c>
      <c r="X116" s="186">
        <f t="shared" si="37"/>
        <v>879117.88000180759</v>
      </c>
      <c r="Z116" s="186">
        <f t="shared" si="38"/>
        <v>442046.16000192321</v>
      </c>
      <c r="AB116" s="186">
        <f>I116-T116</f>
        <v>437071.71999988437</v>
      </c>
      <c r="AC116" s="187"/>
      <c r="AD116" s="178"/>
      <c r="AE116" s="178"/>
      <c r="AF116" s="178"/>
      <c r="AG116" s="178"/>
    </row>
    <row r="117" spans="1:33" ht="39.950000000000003" customHeight="1" thickTop="1" x14ac:dyDescent="0.85">
      <c r="B117" s="139"/>
      <c r="C117" s="139"/>
      <c r="D117" s="139"/>
      <c r="E117" s="139"/>
      <c r="F117" s="139"/>
      <c r="G117" s="139"/>
      <c r="H117" s="139"/>
      <c r="I117" s="139"/>
      <c r="AE117" s="129"/>
      <c r="AG117" s="49"/>
    </row>
    <row r="118" spans="1:33" ht="39.950000000000003" hidden="1" customHeight="1" x14ac:dyDescent="0.85">
      <c r="AE118" s="129"/>
      <c r="AG118" s="49"/>
    </row>
    <row r="119" spans="1:33" s="63" customFormat="1" ht="39.950000000000003" hidden="1" customHeight="1" x14ac:dyDescent="0.85">
      <c r="A119" s="126" t="s">
        <v>332</v>
      </c>
      <c r="B119" s="139">
        <v>-866177.10000047239</v>
      </c>
      <c r="C119" s="167">
        <v>409024.82</v>
      </c>
      <c r="D119" s="167">
        <v>1266280.71</v>
      </c>
      <c r="E119" s="167">
        <v>20409.13</v>
      </c>
      <c r="F119" s="167">
        <v>-57152.55</v>
      </c>
      <c r="G119" s="167">
        <v>97700.06</v>
      </c>
      <c r="H119" s="167">
        <v>9032.81</v>
      </c>
      <c r="I119" s="139">
        <f>SUM(B119:H119)</f>
        <v>879117.87999952747</v>
      </c>
      <c r="J119" s="140"/>
      <c r="K119" s="140"/>
      <c r="L119" s="127"/>
      <c r="M119" s="139">
        <v>-817103.96</v>
      </c>
      <c r="N119" s="139">
        <v>191371.9</v>
      </c>
      <c r="O119" s="139">
        <v>703070.16</v>
      </c>
      <c r="P119" s="139">
        <v>70543.56</v>
      </c>
      <c r="Q119" s="139">
        <v>-98430.06</v>
      </c>
      <c r="R119" s="139">
        <v>295643.14</v>
      </c>
      <c r="S119" s="139">
        <v>96951.42</v>
      </c>
      <c r="T119" s="139">
        <f>SUM(M119:S119)</f>
        <v>442046.16000000009</v>
      </c>
      <c r="U119" s="141"/>
      <c r="V119" s="127"/>
      <c r="W119" s="141"/>
      <c r="X119" s="142"/>
      <c r="Y119" s="141"/>
      <c r="Z119" s="142"/>
      <c r="AA119" s="141"/>
      <c r="AB119" s="142"/>
      <c r="AC119" s="142"/>
      <c r="AD119" s="129"/>
      <c r="AE119" s="129"/>
      <c r="AF119" s="129"/>
      <c r="AG119" s="67"/>
    </row>
    <row r="120" spans="1:33" s="63" customFormat="1" ht="39.950000000000003" hidden="1" customHeight="1" x14ac:dyDescent="0.85">
      <c r="A120" s="126"/>
      <c r="B120" s="139">
        <f t="shared" ref="B120:I120" si="49">B116-B119</f>
        <v>2.2649765014648438E-6</v>
      </c>
      <c r="C120" s="139">
        <f t="shared" si="49"/>
        <v>1.4901161193847656E-8</v>
      </c>
      <c r="D120" s="139">
        <f t="shared" si="49"/>
        <v>0</v>
      </c>
      <c r="E120" s="139">
        <f t="shared" si="49"/>
        <v>0</v>
      </c>
      <c r="F120" s="139">
        <f t="shared" si="49"/>
        <v>1.964508555829525E-10</v>
      </c>
      <c r="G120" s="139">
        <f t="shared" si="49"/>
        <v>0</v>
      </c>
      <c r="H120" s="139">
        <f t="shared" si="49"/>
        <v>0</v>
      </c>
      <c r="I120" s="139">
        <f t="shared" si="49"/>
        <v>2.2801104933023453E-6</v>
      </c>
      <c r="J120" s="140"/>
      <c r="K120" s="140"/>
      <c r="L120" s="127"/>
      <c r="M120" s="139">
        <f>M116-M119</f>
        <v>1.9264407455921173E-6</v>
      </c>
      <c r="N120" s="139">
        <f t="shared" ref="N120:S120" si="50">N116-N119</f>
        <v>-3.2887328416109085E-9</v>
      </c>
      <c r="O120" s="139">
        <f t="shared" si="50"/>
        <v>0</v>
      </c>
      <c r="P120" s="139">
        <f t="shared" si="50"/>
        <v>0</v>
      </c>
      <c r="Q120" s="139">
        <f>Q116-Q119</f>
        <v>0</v>
      </c>
      <c r="R120" s="139">
        <f>R116-R119</f>
        <v>0</v>
      </c>
      <c r="S120" s="139">
        <f t="shared" si="50"/>
        <v>0</v>
      </c>
      <c r="T120" s="139">
        <f>T116-T119</f>
        <v>1.9231229089200497E-6</v>
      </c>
      <c r="U120" s="141"/>
      <c r="V120" s="127"/>
      <c r="W120" s="141"/>
      <c r="X120" s="142"/>
      <c r="Y120" s="141"/>
      <c r="Z120" s="142"/>
      <c r="AA120" s="141"/>
      <c r="AB120" s="142"/>
      <c r="AC120" s="142"/>
      <c r="AD120" s="129"/>
      <c r="AE120" s="129"/>
      <c r="AF120" s="129"/>
      <c r="AG120" s="67"/>
    </row>
    <row r="121" spans="1:33" s="63" customFormat="1" ht="39.950000000000003" customHeight="1" x14ac:dyDescent="0.85">
      <c r="A121" s="126"/>
      <c r="B121" s="139"/>
      <c r="C121" s="139"/>
      <c r="D121" s="139"/>
      <c r="E121" s="139"/>
      <c r="F121" s="139"/>
      <c r="G121" s="139"/>
      <c r="H121" s="139"/>
      <c r="I121" s="139">
        <f>I35-I49-I74-I96+I114-I116</f>
        <v>-1.1641532182693481E-9</v>
      </c>
      <c r="J121" s="140"/>
      <c r="K121" s="140"/>
      <c r="L121" s="127"/>
      <c r="M121" s="139"/>
      <c r="N121" s="139"/>
      <c r="O121" s="139"/>
      <c r="P121" s="139"/>
      <c r="Q121" s="139"/>
      <c r="R121" s="139"/>
      <c r="S121" s="139"/>
      <c r="T121" s="139">
        <f>T35-T49-T74-T96+T114-T116</f>
        <v>-5.8207660913467407E-10</v>
      </c>
      <c r="U121" s="141"/>
      <c r="V121" s="127"/>
      <c r="W121" s="141"/>
      <c r="X121" s="142"/>
      <c r="Y121" s="141"/>
      <c r="Z121" s="142"/>
      <c r="AA121" s="141"/>
      <c r="AB121" s="142"/>
      <c r="AC121" s="142"/>
      <c r="AD121" s="129"/>
      <c r="AE121" s="129"/>
      <c r="AF121" s="129"/>
      <c r="AG121" s="67"/>
    </row>
    <row r="122" spans="1:33" s="173" customFormat="1" ht="69.95" customHeight="1" x14ac:dyDescent="1.05">
      <c r="A122" s="173" t="s">
        <v>483</v>
      </c>
      <c r="B122" s="174"/>
      <c r="C122" s="174"/>
      <c r="D122" s="174"/>
      <c r="E122" s="174"/>
      <c r="F122" s="174"/>
      <c r="G122" s="174"/>
      <c r="H122" s="174"/>
      <c r="I122" s="174"/>
      <c r="J122" s="175"/>
      <c r="K122" s="175"/>
      <c r="M122" s="174"/>
      <c r="N122" s="174"/>
      <c r="O122" s="174"/>
      <c r="P122" s="174"/>
      <c r="Q122" s="174"/>
      <c r="R122" s="174" t="s">
        <v>424</v>
      </c>
      <c r="S122" s="174"/>
      <c r="T122" s="174"/>
      <c r="U122" s="176"/>
      <c r="W122" s="176"/>
      <c r="X122" s="177"/>
      <c r="Y122" s="176"/>
      <c r="Z122" s="177"/>
      <c r="AA122" s="176"/>
      <c r="AB122" s="177"/>
      <c r="AC122" s="177"/>
      <c r="AD122" s="178"/>
      <c r="AE122" s="178"/>
      <c r="AF122" s="178"/>
      <c r="AG122" s="178"/>
    </row>
    <row r="123" spans="1:33" s="173" customFormat="1" ht="69.95" customHeight="1" x14ac:dyDescent="1.05">
      <c r="A123" s="173" t="s">
        <v>484</v>
      </c>
      <c r="B123" s="174">
        <f>'Comp YTD 2018-2017 10.28.18'!B123</f>
        <v>-946748.73</v>
      </c>
      <c r="C123" s="174">
        <v>469372.32</v>
      </c>
      <c r="D123" s="174">
        <v>477376.41</v>
      </c>
      <c r="E123" s="174">
        <v>0</v>
      </c>
      <c r="F123" s="174">
        <v>0</v>
      </c>
      <c r="G123" s="174">
        <v>0</v>
      </c>
      <c r="H123" s="174">
        <v>0</v>
      </c>
      <c r="I123" s="174">
        <f>SUM(B123:H123)</f>
        <v>0</v>
      </c>
      <c r="J123" s="175"/>
      <c r="K123" s="175"/>
      <c r="M123" s="174"/>
      <c r="N123" s="174"/>
      <c r="O123" s="174"/>
      <c r="P123" s="174"/>
      <c r="Q123" s="174"/>
      <c r="R123" s="174" t="s">
        <v>426</v>
      </c>
      <c r="S123" s="174"/>
      <c r="T123" s="174"/>
      <c r="U123" s="176"/>
      <c r="W123" s="176"/>
      <c r="X123" s="177"/>
      <c r="Y123" s="176"/>
      <c r="Z123" s="177"/>
      <c r="AA123" s="176"/>
      <c r="AB123" s="177"/>
      <c r="AC123" s="177"/>
      <c r="AD123" s="178"/>
      <c r="AE123" s="178"/>
      <c r="AF123" s="178"/>
      <c r="AG123" s="178"/>
    </row>
    <row r="124" spans="1:33" s="173" customFormat="1" ht="69.95" customHeight="1" x14ac:dyDescent="1.05">
      <c r="A124" s="173" t="s">
        <v>485</v>
      </c>
      <c r="B124" s="174">
        <f>'Comp YTD 2018-2017 10.28.18'!B124</f>
        <v>-80026.16</v>
      </c>
      <c r="C124" s="174">
        <v>40004.019999999997</v>
      </c>
      <c r="D124" s="174">
        <v>40022.14</v>
      </c>
      <c r="E124" s="174">
        <v>0</v>
      </c>
      <c r="F124" s="174">
        <v>0</v>
      </c>
      <c r="G124" s="174">
        <v>0</v>
      </c>
      <c r="H124" s="174">
        <v>0</v>
      </c>
      <c r="I124" s="174">
        <f t="shared" ref="I124:I127" si="51">SUM(B124:H124)</f>
        <v>-7.2759576141834259E-12</v>
      </c>
      <c r="J124" s="175"/>
      <c r="K124" s="175"/>
      <c r="M124" s="174"/>
      <c r="N124" s="174"/>
      <c r="O124" s="174"/>
      <c r="P124" s="174"/>
      <c r="Q124" s="174"/>
      <c r="R124" s="174">
        <v>11000</v>
      </c>
      <c r="S124" s="174"/>
      <c r="T124" s="174"/>
      <c r="U124" s="176"/>
      <c r="W124" s="176"/>
      <c r="X124" s="177"/>
      <c r="Y124" s="176"/>
      <c r="Z124" s="177"/>
      <c r="AA124" s="176"/>
      <c r="AB124" s="177"/>
      <c r="AC124" s="177"/>
      <c r="AD124" s="178"/>
      <c r="AE124" s="178"/>
      <c r="AF124" s="178"/>
      <c r="AG124" s="178"/>
    </row>
    <row r="125" spans="1:33" s="173" customFormat="1" ht="69.95" customHeight="1" x14ac:dyDescent="1.05">
      <c r="A125" s="173" t="s">
        <v>486</v>
      </c>
      <c r="B125" s="174">
        <f>'Comp YTD 2018-2017 10.28.18'!B125</f>
        <v>-82165.47</v>
      </c>
      <c r="C125" s="174">
        <v>33457.300000000003</v>
      </c>
      <c r="D125" s="174">
        <v>48708.17</v>
      </c>
      <c r="E125" s="174">
        <v>0</v>
      </c>
      <c r="F125" s="174">
        <v>0</v>
      </c>
      <c r="G125" s="174">
        <v>0</v>
      </c>
      <c r="H125" s="174">
        <v>0</v>
      </c>
      <c r="I125" s="174">
        <f t="shared" si="51"/>
        <v>0</v>
      </c>
      <c r="J125" s="175"/>
      <c r="K125" s="175"/>
      <c r="M125" s="174"/>
      <c r="N125" s="174"/>
      <c r="O125" s="174"/>
      <c r="P125" s="174"/>
      <c r="Q125" s="174"/>
      <c r="R125" s="174" t="s">
        <v>425</v>
      </c>
      <c r="S125" s="174"/>
      <c r="T125" s="174"/>
      <c r="U125" s="176"/>
      <c r="W125" s="176"/>
      <c r="X125" s="177"/>
      <c r="Y125" s="176"/>
      <c r="Z125" s="177"/>
      <c r="AA125" s="176"/>
      <c r="AB125" s="177"/>
      <c r="AC125" s="177"/>
      <c r="AD125" s="178"/>
      <c r="AE125" s="178"/>
      <c r="AF125" s="178"/>
      <c r="AG125" s="178"/>
    </row>
    <row r="126" spans="1:33" s="173" customFormat="1" ht="69.95" customHeight="1" x14ac:dyDescent="1.05">
      <c r="A126" s="173" t="s">
        <v>499</v>
      </c>
      <c r="B126" s="174">
        <f>'Comp YTD 2018-2017 10.28.18'!B126</f>
        <v>-27912.41</v>
      </c>
      <c r="C126" s="174">
        <v>13656.46</v>
      </c>
      <c r="D126" s="174">
        <v>14255.95</v>
      </c>
      <c r="E126" s="174">
        <v>0</v>
      </c>
      <c r="F126" s="174">
        <v>0</v>
      </c>
      <c r="G126" s="174">
        <v>0</v>
      </c>
      <c r="H126" s="174">
        <v>0</v>
      </c>
      <c r="I126" s="174">
        <f t="shared" si="51"/>
        <v>0</v>
      </c>
      <c r="J126" s="175"/>
      <c r="K126" s="175"/>
      <c r="M126" s="174"/>
      <c r="N126" s="174"/>
      <c r="O126" s="174"/>
      <c r="P126" s="174"/>
      <c r="Q126" s="174"/>
      <c r="R126" s="174"/>
      <c r="S126" s="174"/>
      <c r="T126" s="174"/>
      <c r="U126" s="176"/>
      <c r="W126" s="176"/>
      <c r="X126" s="177"/>
      <c r="Y126" s="176"/>
      <c r="Z126" s="177"/>
      <c r="AA126" s="176"/>
      <c r="AB126" s="177"/>
      <c r="AC126" s="177"/>
      <c r="AD126" s="178"/>
      <c r="AE126" s="178"/>
      <c r="AF126" s="178"/>
      <c r="AG126" s="178"/>
    </row>
    <row r="127" spans="1:33" s="173" customFormat="1" ht="69.95" customHeight="1" x14ac:dyDescent="1.05">
      <c r="A127" s="173" t="s">
        <v>498</v>
      </c>
      <c r="B127" s="174">
        <f>-B48*0.35</f>
        <v>-15977.052</v>
      </c>
      <c r="C127" s="174">
        <f>B48*0.1</f>
        <v>4564.8720000000003</v>
      </c>
      <c r="D127" s="174">
        <f>B48*0.25</f>
        <v>11412.18</v>
      </c>
      <c r="E127" s="174">
        <v>0</v>
      </c>
      <c r="F127" s="174">
        <v>0</v>
      </c>
      <c r="G127" s="174">
        <v>0</v>
      </c>
      <c r="H127" s="174">
        <v>0</v>
      </c>
      <c r="I127" s="174">
        <f t="shared" si="51"/>
        <v>0</v>
      </c>
      <c r="J127" s="175"/>
      <c r="K127" s="175"/>
      <c r="M127" s="174"/>
      <c r="N127" s="174"/>
      <c r="O127" s="174"/>
      <c r="P127" s="174"/>
      <c r="Q127" s="174"/>
      <c r="R127" s="174"/>
      <c r="S127" s="174"/>
      <c r="T127" s="174"/>
      <c r="U127" s="176"/>
      <c r="W127" s="176"/>
      <c r="X127" s="177"/>
      <c r="Y127" s="176"/>
      <c r="Z127" s="177"/>
      <c r="AA127" s="176"/>
      <c r="AB127" s="177"/>
      <c r="AC127" s="177"/>
      <c r="AD127" s="178"/>
      <c r="AE127" s="178"/>
      <c r="AF127" s="178"/>
      <c r="AG127" s="178"/>
    </row>
    <row r="128" spans="1:33" s="173" customFormat="1" ht="69.95" customHeight="1" x14ac:dyDescent="1.05">
      <c r="A128" s="173" t="s">
        <v>495</v>
      </c>
      <c r="B128" s="174">
        <v>0</v>
      </c>
      <c r="C128" s="174">
        <f>5000*9</f>
        <v>45000</v>
      </c>
      <c r="D128" s="174">
        <v>0</v>
      </c>
      <c r="E128" s="174">
        <v>0</v>
      </c>
      <c r="F128" s="174">
        <v>0</v>
      </c>
      <c r="G128" s="174">
        <f>-5000*9</f>
        <v>-45000</v>
      </c>
      <c r="H128" s="174">
        <v>0</v>
      </c>
      <c r="I128" s="174">
        <f t="shared" ref="I128:I143" si="52">SUM(B128:H128)</f>
        <v>0</v>
      </c>
      <c r="J128" s="175"/>
      <c r="K128" s="175"/>
      <c r="M128" s="174"/>
      <c r="N128" s="174"/>
      <c r="O128" s="174"/>
      <c r="P128" s="174"/>
      <c r="Q128" s="174"/>
      <c r="R128" s="174"/>
      <c r="S128" s="174"/>
      <c r="T128" s="174"/>
      <c r="U128" s="176"/>
      <c r="W128" s="176"/>
      <c r="X128" s="177"/>
      <c r="Y128" s="176"/>
      <c r="Z128" s="177"/>
      <c r="AA128" s="176"/>
      <c r="AB128" s="177"/>
      <c r="AC128" s="177"/>
      <c r="AD128" s="178"/>
      <c r="AE128" s="178"/>
      <c r="AF128" s="178"/>
      <c r="AG128" s="178"/>
    </row>
    <row r="129" spans="1:33" s="173" customFormat="1" ht="69.95" customHeight="1" x14ac:dyDescent="1.05">
      <c r="A129" s="173" t="s">
        <v>487</v>
      </c>
      <c r="B129" s="174">
        <f>B71*-0.15</f>
        <v>-18056.969999999998</v>
      </c>
      <c r="C129" s="174">
        <f>B71*0.15</f>
        <v>18056.969999999998</v>
      </c>
      <c r="D129" s="174">
        <v>0</v>
      </c>
      <c r="E129" s="174">
        <v>0</v>
      </c>
      <c r="F129" s="174">
        <v>0</v>
      </c>
      <c r="G129" s="174">
        <v>0</v>
      </c>
      <c r="H129" s="174">
        <v>0</v>
      </c>
      <c r="I129" s="174">
        <f t="shared" si="52"/>
        <v>0</v>
      </c>
      <c r="J129" s="175"/>
      <c r="K129" s="175"/>
      <c r="M129" s="174"/>
      <c r="N129" s="174"/>
      <c r="O129" s="174"/>
      <c r="P129" s="174"/>
      <c r="Q129" s="174"/>
      <c r="R129" s="174"/>
      <c r="S129" s="174"/>
      <c r="T129" s="174"/>
      <c r="U129" s="176"/>
      <c r="W129" s="176"/>
      <c r="X129" s="177"/>
      <c r="Y129" s="176"/>
      <c r="Z129" s="177"/>
      <c r="AA129" s="176"/>
      <c r="AB129" s="177"/>
      <c r="AC129" s="177"/>
      <c r="AD129" s="178"/>
      <c r="AE129" s="178"/>
      <c r="AF129" s="178"/>
      <c r="AG129" s="178"/>
    </row>
    <row r="130" spans="1:33" s="173" customFormat="1" ht="69.95" customHeight="1" x14ac:dyDescent="1.05">
      <c r="A130" s="173" t="s">
        <v>488</v>
      </c>
      <c r="B130" s="174">
        <f>-B62*0.1</f>
        <v>-4557.8289999999997</v>
      </c>
      <c r="C130" s="174">
        <f>B62*0.1</f>
        <v>4557.8289999999997</v>
      </c>
      <c r="D130" s="174">
        <v>0</v>
      </c>
      <c r="E130" s="174">
        <v>0</v>
      </c>
      <c r="F130" s="174">
        <v>0</v>
      </c>
      <c r="G130" s="174">
        <v>0</v>
      </c>
      <c r="H130" s="174">
        <v>0</v>
      </c>
      <c r="I130" s="174">
        <f t="shared" si="52"/>
        <v>0</v>
      </c>
      <c r="J130" s="175"/>
      <c r="K130" s="175"/>
      <c r="M130" s="174"/>
      <c r="N130" s="174"/>
      <c r="O130" s="174"/>
      <c r="P130" s="174"/>
      <c r="Q130" s="174"/>
      <c r="R130" s="174"/>
      <c r="S130" s="174"/>
      <c r="T130" s="174"/>
      <c r="U130" s="176"/>
      <c r="W130" s="176"/>
      <c r="X130" s="177"/>
      <c r="Y130" s="176"/>
      <c r="Z130" s="177"/>
      <c r="AA130" s="176"/>
      <c r="AB130" s="177"/>
      <c r="AC130" s="177"/>
      <c r="AD130" s="178"/>
      <c r="AE130" s="178"/>
      <c r="AF130" s="178"/>
      <c r="AG130" s="178"/>
    </row>
    <row r="131" spans="1:33" s="173" customFormat="1" ht="69.95" customHeight="1" x14ac:dyDescent="1.05">
      <c r="A131" s="173" t="s">
        <v>489</v>
      </c>
      <c r="B131" s="174">
        <f>B70*-0.15</f>
        <v>-2299.5329999999999</v>
      </c>
      <c r="C131" s="174">
        <f>B70*0.15</f>
        <v>2299.5329999999999</v>
      </c>
      <c r="D131" s="174">
        <v>0</v>
      </c>
      <c r="E131" s="174">
        <v>0</v>
      </c>
      <c r="F131" s="174">
        <v>0</v>
      </c>
      <c r="G131" s="174">
        <v>0</v>
      </c>
      <c r="H131" s="174">
        <v>0</v>
      </c>
      <c r="I131" s="174">
        <f t="shared" si="52"/>
        <v>0</v>
      </c>
      <c r="J131" s="175"/>
      <c r="K131" s="175"/>
      <c r="M131" s="174"/>
      <c r="N131" s="174"/>
      <c r="O131" s="174"/>
      <c r="P131" s="174"/>
      <c r="Q131" s="174"/>
      <c r="R131" s="174"/>
      <c r="S131" s="174"/>
      <c r="T131" s="174"/>
      <c r="U131" s="176"/>
      <c r="W131" s="176"/>
      <c r="X131" s="177"/>
      <c r="Y131" s="176"/>
      <c r="Z131" s="177"/>
      <c r="AA131" s="176"/>
      <c r="AB131" s="177"/>
      <c r="AC131" s="177"/>
      <c r="AD131" s="178"/>
      <c r="AE131" s="178"/>
      <c r="AF131" s="178"/>
      <c r="AG131" s="178"/>
    </row>
    <row r="132" spans="1:33" s="173" customFormat="1" ht="69.95" customHeight="1" x14ac:dyDescent="1.05">
      <c r="A132" s="173" t="s">
        <v>496</v>
      </c>
      <c r="B132" s="174">
        <f>-B84*0.2</f>
        <v>-10750.686000000002</v>
      </c>
      <c r="C132" s="174">
        <f>B84*0.1</f>
        <v>5375.3430000000008</v>
      </c>
      <c r="D132" s="174">
        <f>B84*0.1</f>
        <v>5375.3430000000008</v>
      </c>
      <c r="E132" s="174">
        <v>0</v>
      </c>
      <c r="F132" s="174">
        <v>0</v>
      </c>
      <c r="G132" s="174">
        <v>0</v>
      </c>
      <c r="H132" s="174">
        <v>0</v>
      </c>
      <c r="I132" s="174">
        <f t="shared" si="52"/>
        <v>0</v>
      </c>
      <c r="J132" s="175"/>
      <c r="K132" s="175"/>
      <c r="M132" s="174"/>
      <c r="N132" s="174"/>
      <c r="O132" s="174"/>
      <c r="P132" s="174"/>
      <c r="Q132" s="174"/>
      <c r="R132" s="174"/>
      <c r="S132" s="174"/>
      <c r="T132" s="174"/>
      <c r="U132" s="176"/>
      <c r="W132" s="176"/>
      <c r="X132" s="177"/>
      <c r="Y132" s="176"/>
      <c r="Z132" s="177"/>
      <c r="AA132" s="176"/>
      <c r="AB132" s="177"/>
      <c r="AC132" s="177"/>
      <c r="AD132" s="178"/>
      <c r="AE132" s="178"/>
      <c r="AF132" s="178"/>
      <c r="AG132" s="178"/>
    </row>
    <row r="133" spans="1:33" s="173" customFormat="1" ht="69.95" customHeight="1" x14ac:dyDescent="1.05">
      <c r="A133" s="173" t="s">
        <v>497</v>
      </c>
      <c r="B133" s="174">
        <f>-B85*0.35</f>
        <v>-13773.375</v>
      </c>
      <c r="C133" s="174">
        <f>B85*0.1</f>
        <v>3935.25</v>
      </c>
      <c r="D133" s="174">
        <f>B85*0.25</f>
        <v>9838.125</v>
      </c>
      <c r="E133" s="174">
        <v>0</v>
      </c>
      <c r="F133" s="174">
        <v>0</v>
      </c>
      <c r="G133" s="174">
        <v>0</v>
      </c>
      <c r="H133" s="174">
        <v>0</v>
      </c>
      <c r="I133" s="174">
        <f t="shared" si="52"/>
        <v>0</v>
      </c>
      <c r="J133" s="175"/>
      <c r="K133" s="175"/>
      <c r="M133" s="174"/>
      <c r="N133" s="174"/>
      <c r="O133" s="174"/>
      <c r="P133" s="174"/>
      <c r="Q133" s="174"/>
      <c r="R133" s="174"/>
      <c r="S133" s="174"/>
      <c r="T133" s="174"/>
      <c r="U133" s="176"/>
      <c r="W133" s="176"/>
      <c r="X133" s="177"/>
      <c r="Y133" s="176"/>
      <c r="Z133" s="177"/>
      <c r="AA133" s="176"/>
      <c r="AB133" s="177"/>
      <c r="AC133" s="177"/>
      <c r="AD133" s="178"/>
      <c r="AE133" s="178"/>
      <c r="AF133" s="178"/>
      <c r="AG133" s="178"/>
    </row>
    <row r="134" spans="1:33" s="179" customFormat="1" ht="69.95" customHeight="1" x14ac:dyDescent="1.05">
      <c r="A134" s="179" t="s">
        <v>500</v>
      </c>
      <c r="B134" s="174">
        <v>-23420.78</v>
      </c>
      <c r="C134" s="174">
        <v>0</v>
      </c>
      <c r="D134" s="174">
        <v>23420.78</v>
      </c>
      <c r="E134" s="174">
        <v>0</v>
      </c>
      <c r="F134" s="174">
        <v>0</v>
      </c>
      <c r="G134" s="174">
        <v>0</v>
      </c>
      <c r="H134" s="174">
        <v>0</v>
      </c>
      <c r="I134" s="174">
        <f t="shared" si="52"/>
        <v>0</v>
      </c>
      <c r="J134" s="175"/>
      <c r="K134" s="175"/>
      <c r="M134" s="174"/>
      <c r="N134" s="174"/>
      <c r="O134" s="174"/>
      <c r="P134" s="174"/>
      <c r="Q134" s="174"/>
      <c r="R134" s="174"/>
      <c r="S134" s="174"/>
      <c r="T134" s="174"/>
      <c r="U134" s="175"/>
      <c r="W134" s="175"/>
      <c r="X134" s="174"/>
      <c r="Y134" s="175"/>
      <c r="Z134" s="174"/>
      <c r="AA134" s="175"/>
      <c r="AB134" s="174"/>
      <c r="AC134" s="174"/>
      <c r="AD134" s="180"/>
      <c r="AE134" s="180"/>
      <c r="AF134" s="180"/>
      <c r="AG134" s="180"/>
    </row>
    <row r="135" spans="1:33" s="173" customFormat="1" ht="69.95" customHeight="1" x14ac:dyDescent="1.05">
      <c r="A135" s="173" t="s">
        <v>490</v>
      </c>
      <c r="B135" s="174">
        <f>B102</f>
        <v>311113.75</v>
      </c>
      <c r="C135" s="174">
        <f>C103</f>
        <v>-311113.75</v>
      </c>
      <c r="D135" s="174">
        <v>0</v>
      </c>
      <c r="E135" s="174">
        <v>0</v>
      </c>
      <c r="F135" s="174">
        <v>0</v>
      </c>
      <c r="G135" s="174">
        <v>0</v>
      </c>
      <c r="H135" s="174">
        <v>0</v>
      </c>
      <c r="I135" s="174">
        <f t="shared" si="52"/>
        <v>0</v>
      </c>
      <c r="J135" s="175"/>
      <c r="K135" s="175"/>
      <c r="M135" s="174"/>
      <c r="N135" s="174"/>
      <c r="O135" s="174"/>
      <c r="P135" s="174"/>
      <c r="Q135" s="174"/>
      <c r="R135" s="174"/>
      <c r="S135" s="174"/>
      <c r="T135" s="174"/>
      <c r="U135" s="176"/>
      <c r="W135" s="176"/>
      <c r="X135" s="177"/>
      <c r="Y135" s="176"/>
      <c r="Z135" s="177"/>
      <c r="AA135" s="176"/>
      <c r="AB135" s="177"/>
      <c r="AC135" s="177"/>
      <c r="AD135" s="178"/>
      <c r="AE135" s="178"/>
      <c r="AF135" s="178"/>
      <c r="AG135" s="178"/>
    </row>
    <row r="136" spans="1:33" s="173" customFormat="1" ht="69.95" customHeight="1" x14ac:dyDescent="1.05">
      <c r="A136" s="173" t="s">
        <v>503</v>
      </c>
      <c r="B136" s="174">
        <f>-(721.82)*9</f>
        <v>-6496.38</v>
      </c>
      <c r="C136" s="174"/>
      <c r="D136" s="174">
        <f>(721.82)*9</f>
        <v>6496.38</v>
      </c>
      <c r="E136" s="174">
        <v>0</v>
      </c>
      <c r="F136" s="174">
        <v>0</v>
      </c>
      <c r="G136" s="174">
        <v>0</v>
      </c>
      <c r="H136" s="174">
        <v>0</v>
      </c>
      <c r="I136" s="174">
        <f t="shared" si="52"/>
        <v>0</v>
      </c>
      <c r="J136" s="175"/>
      <c r="K136" s="175"/>
      <c r="M136" s="174"/>
      <c r="N136" s="174"/>
      <c r="O136" s="174"/>
      <c r="P136" s="174"/>
      <c r="Q136" s="174"/>
      <c r="R136" s="174"/>
      <c r="S136" s="174"/>
      <c r="T136" s="174"/>
      <c r="U136" s="176"/>
      <c r="W136" s="176"/>
      <c r="X136" s="177"/>
      <c r="Y136" s="176"/>
      <c r="Z136" s="177"/>
      <c r="AA136" s="176"/>
      <c r="AB136" s="177"/>
      <c r="AC136" s="177"/>
      <c r="AD136" s="178"/>
      <c r="AE136" s="178"/>
      <c r="AF136" s="178"/>
      <c r="AG136" s="178"/>
    </row>
    <row r="137" spans="1:33" s="179" customFormat="1" ht="69.95" customHeight="1" x14ac:dyDescent="1.05">
      <c r="A137" s="179" t="s">
        <v>491</v>
      </c>
      <c r="B137" s="174">
        <v>-6690.64</v>
      </c>
      <c r="C137" s="174">
        <v>0</v>
      </c>
      <c r="D137" s="174">
        <v>6690.64</v>
      </c>
      <c r="E137" s="174">
        <v>0</v>
      </c>
      <c r="F137" s="174">
        <v>0</v>
      </c>
      <c r="G137" s="174">
        <v>0</v>
      </c>
      <c r="H137" s="174">
        <v>0</v>
      </c>
      <c r="I137" s="174">
        <f t="shared" si="52"/>
        <v>0</v>
      </c>
      <c r="J137" s="175"/>
      <c r="K137" s="175"/>
      <c r="M137" s="174"/>
      <c r="N137" s="174"/>
      <c r="O137" s="174"/>
      <c r="P137" s="174"/>
      <c r="Q137" s="174"/>
      <c r="R137" s="174"/>
      <c r="S137" s="174"/>
      <c r="T137" s="174"/>
      <c r="U137" s="175"/>
      <c r="W137" s="175"/>
      <c r="X137" s="174"/>
      <c r="Y137" s="175"/>
      <c r="Z137" s="174"/>
      <c r="AA137" s="175"/>
      <c r="AB137" s="174"/>
      <c r="AC137" s="174"/>
      <c r="AD137" s="180"/>
      <c r="AE137" s="180"/>
      <c r="AF137" s="180"/>
      <c r="AG137" s="180"/>
    </row>
    <row r="138" spans="1:33" s="179" customFormat="1" ht="69.95" customHeight="1" x14ac:dyDescent="1.05">
      <c r="A138" s="179" t="s">
        <v>492</v>
      </c>
      <c r="B138" s="174">
        <v>-7140.03</v>
      </c>
      <c r="C138" s="174">
        <v>7140.03</v>
      </c>
      <c r="D138" s="174">
        <v>0</v>
      </c>
      <c r="E138" s="174">
        <v>0</v>
      </c>
      <c r="F138" s="174">
        <v>0</v>
      </c>
      <c r="G138" s="174">
        <v>0</v>
      </c>
      <c r="H138" s="174">
        <v>0</v>
      </c>
      <c r="I138" s="174">
        <f t="shared" si="52"/>
        <v>0</v>
      </c>
      <c r="J138" s="175"/>
      <c r="K138" s="175"/>
      <c r="M138" s="174"/>
      <c r="N138" s="174"/>
      <c r="O138" s="174"/>
      <c r="P138" s="174"/>
      <c r="Q138" s="174"/>
      <c r="R138" s="174"/>
      <c r="S138" s="174"/>
      <c r="T138" s="174"/>
      <c r="U138" s="175"/>
      <c r="W138" s="175"/>
      <c r="X138" s="174"/>
      <c r="Y138" s="175"/>
      <c r="Z138" s="174"/>
      <c r="AA138" s="175"/>
      <c r="AB138" s="174"/>
      <c r="AC138" s="174"/>
      <c r="AD138" s="180"/>
      <c r="AE138" s="180"/>
      <c r="AF138" s="180"/>
      <c r="AG138" s="180"/>
    </row>
    <row r="139" spans="1:33" s="173" customFormat="1" ht="69.95" customHeight="1" x14ac:dyDescent="1.05">
      <c r="A139" s="173" t="s">
        <v>493</v>
      </c>
      <c r="B139" s="181">
        <f>SUM(B123:B138)</f>
        <v>-934902.29499999993</v>
      </c>
      <c r="C139" s="181">
        <f>SUM(C123:C138)</f>
        <v>336306.17700000003</v>
      </c>
      <c r="D139" s="181">
        <f>SUM(D123:D138)</f>
        <v>643596.11800000002</v>
      </c>
      <c r="E139" s="181">
        <f t="shared" ref="E139" si="53">SUM(E123:E138)</f>
        <v>0</v>
      </c>
      <c r="F139" s="181">
        <f t="shared" ref="F139" si="54">SUM(F123:F138)</f>
        <v>0</v>
      </c>
      <c r="G139" s="181">
        <f t="shared" ref="G139" si="55">SUM(G123:G138)</f>
        <v>-45000</v>
      </c>
      <c r="H139" s="181">
        <f t="shared" ref="H139" si="56">SUM(H123:H138)</f>
        <v>0</v>
      </c>
      <c r="I139" s="181">
        <f>SUM(I123:I138)</f>
        <v>-7.2759576141834259E-12</v>
      </c>
      <c r="J139" s="175"/>
      <c r="K139" s="175"/>
      <c r="M139" s="174"/>
      <c r="N139" s="174"/>
      <c r="O139" s="174"/>
      <c r="P139" s="174"/>
      <c r="Q139" s="174"/>
      <c r="R139" s="174"/>
      <c r="S139" s="174"/>
      <c r="T139" s="174"/>
      <c r="U139" s="176"/>
      <c r="W139" s="176"/>
      <c r="X139" s="177"/>
      <c r="Y139" s="176"/>
      <c r="Z139" s="177"/>
      <c r="AA139" s="176"/>
      <c r="AB139" s="177"/>
      <c r="AC139" s="177"/>
      <c r="AD139" s="178"/>
      <c r="AE139" s="178"/>
      <c r="AF139" s="178"/>
      <c r="AG139" s="178"/>
    </row>
    <row r="140" spans="1:33" s="173" customFormat="1" ht="69.95" customHeight="1" x14ac:dyDescent="1.05">
      <c r="B140" s="174"/>
      <c r="C140" s="174"/>
      <c r="D140" s="174"/>
      <c r="E140" s="174"/>
      <c r="F140" s="174"/>
      <c r="G140" s="174"/>
      <c r="H140" s="174"/>
      <c r="I140" s="174">
        <f t="shared" si="52"/>
        <v>0</v>
      </c>
      <c r="J140" s="175"/>
      <c r="K140" s="175"/>
      <c r="M140" s="174"/>
      <c r="N140" s="174"/>
      <c r="O140" s="174"/>
      <c r="P140" s="174"/>
      <c r="Q140" s="174"/>
      <c r="R140" s="174"/>
      <c r="S140" s="174"/>
      <c r="T140" s="174"/>
      <c r="U140" s="176"/>
      <c r="W140" s="176"/>
      <c r="X140" s="177"/>
      <c r="Y140" s="176"/>
      <c r="Z140" s="177"/>
      <c r="AA140" s="176"/>
      <c r="AB140" s="177"/>
      <c r="AC140" s="177"/>
      <c r="AD140" s="178"/>
      <c r="AE140" s="178"/>
      <c r="AF140" s="178"/>
      <c r="AG140" s="178"/>
    </row>
    <row r="141" spans="1:33" s="173" customFormat="1" ht="69.95" customHeight="1" thickBot="1" x14ac:dyDescent="1.1000000000000001">
      <c r="A141" s="173" t="s">
        <v>494</v>
      </c>
      <c r="B141" s="182">
        <f>B116-B139</f>
        <v>68725.195001792512</v>
      </c>
      <c r="C141" s="182">
        <f t="shared" ref="C141:I141" si="57">C116-C139</f>
        <v>72718.643000014883</v>
      </c>
      <c r="D141" s="182">
        <f t="shared" si="57"/>
        <v>622684.59199999995</v>
      </c>
      <c r="E141" s="182">
        <f t="shared" si="57"/>
        <v>20409.12999999999</v>
      </c>
      <c r="F141" s="182">
        <f t="shared" si="57"/>
        <v>-57152.549999999806</v>
      </c>
      <c r="G141" s="182">
        <f t="shared" si="57"/>
        <v>142700.06</v>
      </c>
      <c r="H141" s="182">
        <f t="shared" si="57"/>
        <v>9032.8099999999977</v>
      </c>
      <c r="I141" s="182">
        <f t="shared" si="57"/>
        <v>879117.88000180759</v>
      </c>
      <c r="J141" s="175"/>
      <c r="K141" s="175"/>
      <c r="M141" s="174"/>
      <c r="N141" s="174"/>
      <c r="O141" s="174"/>
      <c r="P141" s="174"/>
      <c r="Q141" s="174"/>
      <c r="R141" s="174"/>
      <c r="S141" s="174"/>
      <c r="T141" s="174"/>
      <c r="U141" s="176"/>
      <c r="W141" s="176"/>
      <c r="X141" s="177"/>
      <c r="Y141" s="176"/>
      <c r="Z141" s="177"/>
      <c r="AA141" s="176"/>
      <c r="AB141" s="177"/>
      <c r="AC141" s="177"/>
      <c r="AD141" s="178"/>
      <c r="AE141" s="178"/>
      <c r="AF141" s="178"/>
      <c r="AG141" s="178"/>
    </row>
    <row r="142" spans="1:33" s="173" customFormat="1" ht="69.95" customHeight="1" thickTop="1" x14ac:dyDescent="1.05">
      <c r="B142" s="174"/>
      <c r="C142" s="174"/>
      <c r="D142" s="174"/>
      <c r="E142" s="174"/>
      <c r="F142" s="174"/>
      <c r="G142" s="174"/>
      <c r="H142" s="174"/>
      <c r="I142" s="174">
        <f t="shared" si="52"/>
        <v>0</v>
      </c>
      <c r="J142" s="175"/>
      <c r="K142" s="175"/>
      <c r="M142" s="174"/>
      <c r="N142" s="174"/>
      <c r="O142" s="174"/>
      <c r="P142" s="174"/>
      <c r="Q142" s="174"/>
      <c r="R142" s="174"/>
      <c r="S142" s="174"/>
      <c r="T142" s="174"/>
      <c r="U142" s="176"/>
      <c r="W142" s="176"/>
      <c r="X142" s="177"/>
      <c r="Y142" s="176"/>
      <c r="Z142" s="177"/>
      <c r="AA142" s="176"/>
      <c r="AB142" s="177"/>
      <c r="AC142" s="177"/>
      <c r="AD142" s="178"/>
      <c r="AE142" s="178"/>
      <c r="AF142" s="178"/>
      <c r="AG142" s="178"/>
    </row>
    <row r="143" spans="1:33" s="63" customFormat="1" ht="54.95" hidden="1" customHeight="1" x14ac:dyDescent="0.85">
      <c r="A143" s="126" t="s">
        <v>501</v>
      </c>
      <c r="B143" s="139">
        <v>100000</v>
      </c>
      <c r="C143" s="139">
        <v>20000</v>
      </c>
      <c r="D143" s="139">
        <v>200000</v>
      </c>
      <c r="E143" s="139">
        <v>0</v>
      </c>
      <c r="F143" s="139">
        <v>57152.55</v>
      </c>
      <c r="G143" s="139">
        <v>100000</v>
      </c>
      <c r="H143" s="139">
        <v>100000</v>
      </c>
      <c r="I143" s="139">
        <f t="shared" si="52"/>
        <v>577152.55000000005</v>
      </c>
      <c r="J143" s="140"/>
      <c r="K143" s="140"/>
      <c r="L143" s="126"/>
      <c r="M143" s="139"/>
      <c r="N143" s="139"/>
      <c r="O143" s="139"/>
      <c r="P143" s="139"/>
      <c r="Q143" s="139"/>
      <c r="R143" s="139"/>
      <c r="S143" s="139"/>
      <c r="T143" s="139"/>
      <c r="U143" s="141"/>
      <c r="V143" s="126"/>
      <c r="W143" s="141"/>
      <c r="X143" s="142"/>
      <c r="Y143" s="141"/>
      <c r="Z143" s="142"/>
      <c r="AA143" s="141"/>
      <c r="AB143" s="142"/>
      <c r="AC143" s="142"/>
      <c r="AD143" s="129"/>
      <c r="AE143" s="129"/>
      <c r="AF143" s="129"/>
      <c r="AG143" s="67"/>
    </row>
    <row r="144" spans="1:33" hidden="1" x14ac:dyDescent="0.85"/>
    <row r="145" spans="1:9" ht="58.5" hidden="1" thickBot="1" x14ac:dyDescent="0.9">
      <c r="A145" s="126" t="s">
        <v>502</v>
      </c>
      <c r="B145" s="171">
        <f>B141+B143</f>
        <v>168725.19500179251</v>
      </c>
      <c r="C145" s="171">
        <f t="shared" ref="C145:I145" si="58">C141+C143</f>
        <v>92718.643000014883</v>
      </c>
      <c r="D145" s="171">
        <f t="shared" si="58"/>
        <v>822684.59199999995</v>
      </c>
      <c r="E145" s="171">
        <f t="shared" si="58"/>
        <v>20409.12999999999</v>
      </c>
      <c r="F145" s="171">
        <f t="shared" si="58"/>
        <v>1.964508555829525E-10</v>
      </c>
      <c r="G145" s="171">
        <f t="shared" si="58"/>
        <v>242700.06</v>
      </c>
      <c r="H145" s="171">
        <f t="shared" si="58"/>
        <v>109032.81</v>
      </c>
      <c r="I145" s="171">
        <f t="shared" si="58"/>
        <v>1456270.4300018076</v>
      </c>
    </row>
    <row r="146" spans="1:9" ht="58.5" hidden="1" thickTop="1" x14ac:dyDescent="0.85"/>
    <row r="149" spans="1:9" x14ac:dyDescent="0.85">
      <c r="B149" s="139"/>
    </row>
    <row r="150" spans="1:9" x14ac:dyDescent="0.85">
      <c r="B150" s="139"/>
    </row>
  </sheetData>
  <mergeCells count="11">
    <mergeCell ref="V5:AF8"/>
    <mergeCell ref="L8:U8"/>
    <mergeCell ref="A2:AF2"/>
    <mergeCell ref="A3:AF3"/>
    <mergeCell ref="A5:J5"/>
    <mergeCell ref="L5:U5"/>
    <mergeCell ref="A6:J6"/>
    <mergeCell ref="L6:U6"/>
    <mergeCell ref="A7:J7"/>
    <mergeCell ref="L7:U7"/>
    <mergeCell ref="A8:J8"/>
  </mergeCells>
  <pageMargins left="0.7" right="0.7" top="0.75" bottom="0.75" header="0.3" footer="0.3"/>
  <pageSetup scale="17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2" manualBreakCount="2">
    <brk id="10" min="4" max="115" man="1"/>
    <brk id="21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9490-56A1-4908-A841-6A8E67098F34}">
  <dimension ref="A2:AG150"/>
  <sheetViews>
    <sheetView tabSelected="1" zoomScale="25" zoomScaleNormal="25" zoomScaleSheetLayoutView="30" workbookViewId="0">
      <pane ySplit="14" topLeftCell="A117" activePane="bottomLeft" state="frozen"/>
      <selection activeCell="B82" sqref="B82"/>
      <selection pane="bottomLeft" activeCell="A127" sqref="A127"/>
    </sheetView>
  </sheetViews>
  <sheetFormatPr defaultRowHeight="57.75" x14ac:dyDescent="0.85"/>
  <cols>
    <col min="1" max="1" width="178.7109375" style="126" customWidth="1"/>
    <col min="2" max="2" width="72.5703125" style="127" customWidth="1"/>
    <col min="3" max="8" width="65.7109375" style="127" customWidth="1"/>
    <col min="9" max="9" width="72.5703125" style="127" customWidth="1"/>
    <col min="10" max="10" width="40.7109375" style="127" customWidth="1"/>
    <col min="11" max="11" width="11.42578125" style="127" customWidth="1"/>
    <col min="12" max="12" width="155.42578125" style="127" bestFit="1" customWidth="1"/>
    <col min="13" max="13" width="78.7109375" style="127" customWidth="1"/>
    <col min="14" max="14" width="73.28515625" style="127" bestFit="1" customWidth="1"/>
    <col min="15" max="15" width="57.7109375" style="127" customWidth="1"/>
    <col min="16" max="16" width="69.7109375" style="127" customWidth="1"/>
    <col min="17" max="17" width="54" style="127" customWidth="1"/>
    <col min="18" max="18" width="68.28515625" style="127" customWidth="1"/>
    <col min="19" max="19" width="72.140625" style="127" customWidth="1"/>
    <col min="20" max="20" width="80.7109375" style="127" customWidth="1"/>
    <col min="21" max="21" width="50.140625" style="126" customWidth="1"/>
    <col min="22" max="22" width="155.42578125" style="127" bestFit="1" customWidth="1"/>
    <col min="23" max="23" width="11.42578125" style="126" customWidth="1"/>
    <col min="24" max="24" width="80.7109375" style="126" customWidth="1"/>
    <col min="25" max="25" width="11.42578125" style="126" customWidth="1"/>
    <col min="26" max="26" width="80.7109375" style="126" customWidth="1"/>
    <col min="27" max="27" width="11.42578125" style="126" customWidth="1"/>
    <col min="28" max="28" width="80.7109375" style="128" customWidth="1"/>
    <col min="29" max="29" width="4.28515625" style="128" customWidth="1"/>
    <col min="30" max="30" width="80.7109375" style="129" customWidth="1"/>
    <col min="31" max="31" width="4.28515625" style="128" customWidth="1"/>
    <col min="32" max="32" width="50.7109375" style="129" customWidth="1"/>
  </cols>
  <sheetData>
    <row r="2" spans="1:32" ht="40.5" customHeight="1" x14ac:dyDescent="0.85">
      <c r="A2" s="226" t="s">
        <v>348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</row>
    <row r="3" spans="1:32" ht="40.5" customHeight="1" x14ac:dyDescent="0.85">
      <c r="A3" s="226" t="s">
        <v>471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</row>
    <row r="4" spans="1:32" ht="14.25" customHeight="1" thickBot="1" x14ac:dyDescent="0.9"/>
    <row r="5" spans="1:32" s="54" customFormat="1" ht="54.95" customHeight="1" x14ac:dyDescent="0.85">
      <c r="A5" s="227">
        <v>2018</v>
      </c>
      <c r="B5" s="228"/>
      <c r="C5" s="228"/>
      <c r="D5" s="228"/>
      <c r="E5" s="228"/>
      <c r="F5" s="228"/>
      <c r="G5" s="228"/>
      <c r="H5" s="228"/>
      <c r="I5" s="228"/>
      <c r="J5" s="229"/>
      <c r="K5" s="127"/>
      <c r="L5" s="227">
        <v>2017</v>
      </c>
      <c r="M5" s="228"/>
      <c r="N5" s="228"/>
      <c r="O5" s="228"/>
      <c r="P5" s="228"/>
      <c r="Q5" s="228"/>
      <c r="R5" s="228"/>
      <c r="S5" s="228"/>
      <c r="T5" s="228"/>
      <c r="U5" s="229"/>
      <c r="V5" s="214" t="s">
        <v>407</v>
      </c>
      <c r="W5" s="215"/>
      <c r="X5" s="215"/>
      <c r="Y5" s="215"/>
      <c r="Z5" s="215"/>
      <c r="AA5" s="215"/>
      <c r="AB5" s="215"/>
      <c r="AC5" s="215"/>
      <c r="AD5" s="215"/>
      <c r="AE5" s="215"/>
      <c r="AF5" s="216"/>
    </row>
    <row r="6" spans="1:32" s="54" customFormat="1" ht="54.95" customHeight="1" x14ac:dyDescent="0.85">
      <c r="A6" s="230" t="s">
        <v>408</v>
      </c>
      <c r="B6" s="231"/>
      <c r="C6" s="231"/>
      <c r="D6" s="231"/>
      <c r="E6" s="231"/>
      <c r="F6" s="231"/>
      <c r="G6" s="231"/>
      <c r="H6" s="231"/>
      <c r="I6" s="231"/>
      <c r="J6" s="232"/>
      <c r="K6" s="127"/>
      <c r="L6" s="230" t="s">
        <v>408</v>
      </c>
      <c r="M6" s="231"/>
      <c r="N6" s="231"/>
      <c r="O6" s="231"/>
      <c r="P6" s="231"/>
      <c r="Q6" s="231"/>
      <c r="R6" s="231"/>
      <c r="S6" s="231"/>
      <c r="T6" s="231"/>
      <c r="U6" s="232"/>
      <c r="V6" s="217"/>
      <c r="W6" s="218"/>
      <c r="X6" s="218"/>
      <c r="Y6" s="218"/>
      <c r="Z6" s="218"/>
      <c r="AA6" s="218"/>
      <c r="AB6" s="218"/>
      <c r="AC6" s="218"/>
      <c r="AD6" s="218"/>
      <c r="AE6" s="218"/>
      <c r="AF6" s="219"/>
    </row>
    <row r="7" spans="1:32" s="54" customFormat="1" ht="54.95" customHeight="1" x14ac:dyDescent="0.85">
      <c r="A7" s="230" t="s">
        <v>347</v>
      </c>
      <c r="B7" s="231"/>
      <c r="C7" s="231"/>
      <c r="D7" s="231"/>
      <c r="E7" s="231"/>
      <c r="F7" s="231"/>
      <c r="G7" s="231"/>
      <c r="H7" s="231"/>
      <c r="I7" s="231"/>
      <c r="J7" s="232"/>
      <c r="K7" s="127"/>
      <c r="L7" s="230" t="s">
        <v>347</v>
      </c>
      <c r="M7" s="231"/>
      <c r="N7" s="231"/>
      <c r="O7" s="231"/>
      <c r="P7" s="231"/>
      <c r="Q7" s="231"/>
      <c r="R7" s="231"/>
      <c r="S7" s="231"/>
      <c r="T7" s="231"/>
      <c r="U7" s="232"/>
      <c r="V7" s="217"/>
      <c r="W7" s="218"/>
      <c r="X7" s="218"/>
      <c r="Y7" s="218"/>
      <c r="Z7" s="218"/>
      <c r="AA7" s="218"/>
      <c r="AB7" s="218"/>
      <c r="AC7" s="218"/>
      <c r="AD7" s="218"/>
      <c r="AE7" s="218"/>
      <c r="AF7" s="219"/>
    </row>
    <row r="8" spans="1:32" s="54" customFormat="1" ht="54.95" customHeight="1" thickBot="1" x14ac:dyDescent="0.9">
      <c r="A8" s="223">
        <v>43373</v>
      </c>
      <c r="B8" s="224"/>
      <c r="C8" s="224"/>
      <c r="D8" s="224"/>
      <c r="E8" s="224"/>
      <c r="F8" s="224"/>
      <c r="G8" s="224"/>
      <c r="H8" s="224"/>
      <c r="I8" s="224"/>
      <c r="J8" s="225"/>
      <c r="K8" s="127"/>
      <c r="L8" s="223">
        <v>43008</v>
      </c>
      <c r="M8" s="224"/>
      <c r="N8" s="224"/>
      <c r="O8" s="224"/>
      <c r="P8" s="224"/>
      <c r="Q8" s="224"/>
      <c r="R8" s="224"/>
      <c r="S8" s="224"/>
      <c r="T8" s="224"/>
      <c r="U8" s="225"/>
      <c r="V8" s="220"/>
      <c r="W8" s="221"/>
      <c r="X8" s="221"/>
      <c r="Y8" s="221"/>
      <c r="Z8" s="221"/>
      <c r="AA8" s="221"/>
      <c r="AB8" s="221"/>
      <c r="AC8" s="221"/>
      <c r="AD8" s="221"/>
      <c r="AE8" s="221"/>
      <c r="AF8" s="222"/>
    </row>
    <row r="9" spans="1:32" s="63" customFormat="1" ht="54.95" customHeight="1" x14ac:dyDescent="0.85">
      <c r="A9" s="172"/>
      <c r="B9" s="131"/>
      <c r="C9" s="131"/>
      <c r="D9" s="131"/>
      <c r="E9" s="131"/>
      <c r="F9" s="131"/>
      <c r="G9" s="131"/>
      <c r="H9" s="131"/>
      <c r="I9" s="131"/>
      <c r="J9" s="131"/>
      <c r="K9" s="127"/>
      <c r="L9" s="131"/>
      <c r="M9" s="131"/>
      <c r="N9" s="131"/>
      <c r="O9" s="131"/>
      <c r="P9" s="131"/>
      <c r="Q9" s="131"/>
      <c r="R9" s="131"/>
      <c r="S9" s="131"/>
      <c r="T9" s="131"/>
      <c r="U9" s="172"/>
      <c r="V9" s="131"/>
      <c r="W9" s="126"/>
      <c r="X9" s="132"/>
      <c r="Y9" s="126"/>
      <c r="Z9" s="132"/>
      <c r="AA9" s="126"/>
      <c r="AB9" s="132"/>
      <c r="AC9" s="132"/>
      <c r="AD9" s="132"/>
      <c r="AE9" s="132"/>
      <c r="AF9" s="132"/>
    </row>
    <row r="10" spans="1:32" s="63" customFormat="1" ht="54.95" customHeight="1" x14ac:dyDescent="0.85">
      <c r="A10" s="126"/>
      <c r="B10" s="127"/>
      <c r="C10" s="127"/>
      <c r="D10" s="127"/>
      <c r="E10" s="127"/>
      <c r="F10" s="127"/>
      <c r="G10" s="127"/>
      <c r="H10" s="127"/>
      <c r="I10" s="127"/>
      <c r="J10" s="131">
        <v>2018</v>
      </c>
      <c r="K10" s="131"/>
      <c r="L10" s="133"/>
      <c r="M10" s="133"/>
      <c r="N10" s="133"/>
      <c r="O10" s="133"/>
      <c r="P10" s="133"/>
      <c r="Q10" s="133"/>
      <c r="R10" s="133"/>
      <c r="S10" s="133"/>
      <c r="T10" s="133"/>
      <c r="U10" s="172">
        <v>2017</v>
      </c>
      <c r="V10" s="133"/>
      <c r="W10" s="172"/>
      <c r="X10" s="128"/>
      <c r="Y10" s="172"/>
      <c r="Z10" s="128"/>
      <c r="AA10" s="172"/>
      <c r="AB10" s="128"/>
      <c r="AC10" s="128"/>
      <c r="AD10" s="129"/>
      <c r="AE10" s="128"/>
      <c r="AF10" s="129"/>
    </row>
    <row r="11" spans="1:32" s="63" customFormat="1" ht="54.95" customHeight="1" x14ac:dyDescent="0.85">
      <c r="A11" s="126"/>
      <c r="B11" s="127"/>
      <c r="C11" s="127"/>
      <c r="D11" s="127"/>
      <c r="E11" s="127"/>
      <c r="F11" s="127"/>
      <c r="G11" s="127"/>
      <c r="H11" s="127"/>
      <c r="I11" s="127"/>
      <c r="J11" s="131" t="s">
        <v>346</v>
      </c>
      <c r="K11" s="131"/>
      <c r="L11" s="133"/>
      <c r="M11" s="133"/>
      <c r="N11" s="133"/>
      <c r="O11" s="133"/>
      <c r="P11" s="133"/>
      <c r="Q11" s="133"/>
      <c r="R11" s="133"/>
      <c r="S11" s="133"/>
      <c r="T11" s="133"/>
      <c r="U11" s="172" t="s">
        <v>346</v>
      </c>
      <c r="V11" s="133"/>
      <c r="W11" s="172"/>
      <c r="X11" s="128"/>
      <c r="Y11" s="172"/>
      <c r="Z11" s="128"/>
      <c r="AA11" s="172"/>
      <c r="AB11" s="128"/>
      <c r="AC11" s="128"/>
      <c r="AD11" s="172" t="s">
        <v>341</v>
      </c>
      <c r="AE11" s="128"/>
      <c r="AF11" s="129"/>
    </row>
    <row r="12" spans="1:32" s="63" customFormat="1" ht="54.95" customHeight="1" x14ac:dyDescent="0.85">
      <c r="A12" s="126"/>
      <c r="B12" s="127"/>
      <c r="C12" s="127"/>
      <c r="D12" s="127"/>
      <c r="E12" s="127"/>
      <c r="F12" s="127"/>
      <c r="G12" s="127"/>
      <c r="H12" s="127"/>
      <c r="I12" s="127"/>
      <c r="J12" s="131" t="s">
        <v>344</v>
      </c>
      <c r="K12" s="131"/>
      <c r="L12" s="127"/>
      <c r="M12" s="127"/>
      <c r="N12" s="127"/>
      <c r="O12" s="127"/>
      <c r="P12" s="127"/>
      <c r="Q12" s="127"/>
      <c r="R12" s="127"/>
      <c r="S12" s="127"/>
      <c r="T12" s="127"/>
      <c r="U12" s="172" t="s">
        <v>344</v>
      </c>
      <c r="V12" s="127"/>
      <c r="W12" s="172"/>
      <c r="X12" s="172"/>
      <c r="Y12" s="172"/>
      <c r="Z12" s="172"/>
      <c r="AA12" s="172"/>
      <c r="AB12" s="172" t="s">
        <v>341</v>
      </c>
      <c r="AC12" s="172"/>
      <c r="AD12" s="129" t="s">
        <v>344</v>
      </c>
      <c r="AE12" s="172"/>
      <c r="AF12" s="172" t="s">
        <v>343</v>
      </c>
    </row>
    <row r="13" spans="1:32" s="63" customFormat="1" ht="54.95" customHeight="1" x14ac:dyDescent="0.85">
      <c r="A13" s="126"/>
      <c r="B13" s="127"/>
      <c r="C13" s="127"/>
      <c r="D13" s="127"/>
      <c r="E13" s="127"/>
      <c r="F13" s="127"/>
      <c r="G13" s="127"/>
      <c r="H13" s="127"/>
      <c r="I13" s="131" t="s">
        <v>207</v>
      </c>
      <c r="J13" s="131" t="s">
        <v>207</v>
      </c>
      <c r="K13" s="131"/>
      <c r="L13" s="127"/>
      <c r="M13" s="127"/>
      <c r="N13" s="127"/>
      <c r="O13" s="127"/>
      <c r="P13" s="127"/>
      <c r="Q13" s="127"/>
      <c r="R13" s="127"/>
      <c r="S13" s="127"/>
      <c r="T13" s="131" t="s">
        <v>207</v>
      </c>
      <c r="U13" s="172" t="s">
        <v>207</v>
      </c>
      <c r="V13" s="127"/>
      <c r="W13" s="172"/>
      <c r="X13" s="172">
        <v>2018</v>
      </c>
      <c r="Y13" s="172"/>
      <c r="Z13" s="172">
        <v>2017</v>
      </c>
      <c r="AA13" s="172"/>
      <c r="AB13" s="172" t="s">
        <v>342</v>
      </c>
      <c r="AC13" s="172"/>
      <c r="AD13" s="172" t="s">
        <v>342</v>
      </c>
      <c r="AE13" s="172"/>
      <c r="AF13" s="172" t="s">
        <v>345</v>
      </c>
    </row>
    <row r="14" spans="1:32" s="63" customFormat="1" ht="54.95" customHeight="1" x14ac:dyDescent="0.85">
      <c r="A14" s="126"/>
      <c r="B14" s="134" t="s">
        <v>212</v>
      </c>
      <c r="C14" s="134" t="s">
        <v>214</v>
      </c>
      <c r="D14" s="134" t="s">
        <v>213</v>
      </c>
      <c r="E14" s="134" t="s">
        <v>215</v>
      </c>
      <c r="F14" s="134" t="s">
        <v>216</v>
      </c>
      <c r="G14" s="134" t="s">
        <v>409</v>
      </c>
      <c r="H14" s="134" t="s">
        <v>421</v>
      </c>
      <c r="I14" s="134">
        <v>2018</v>
      </c>
      <c r="J14" s="135" t="s">
        <v>340</v>
      </c>
      <c r="K14" s="135"/>
      <c r="L14" s="127"/>
      <c r="M14" s="134" t="s">
        <v>212</v>
      </c>
      <c r="N14" s="134" t="s">
        <v>214</v>
      </c>
      <c r="O14" s="134" t="s">
        <v>213</v>
      </c>
      <c r="P14" s="134" t="s">
        <v>215</v>
      </c>
      <c r="Q14" s="134" t="s">
        <v>216</v>
      </c>
      <c r="R14" s="134" t="s">
        <v>409</v>
      </c>
      <c r="S14" s="134" t="s">
        <v>421</v>
      </c>
      <c r="T14" s="134">
        <v>2017</v>
      </c>
      <c r="U14" s="135" t="s">
        <v>340</v>
      </c>
      <c r="V14" s="127"/>
      <c r="W14" s="135"/>
      <c r="X14" s="136"/>
      <c r="Y14" s="135"/>
      <c r="Z14" s="136"/>
      <c r="AA14" s="135"/>
      <c r="AB14" s="136" t="s">
        <v>339</v>
      </c>
      <c r="AC14" s="136"/>
      <c r="AD14" s="136" t="s">
        <v>340</v>
      </c>
      <c r="AE14" s="136"/>
      <c r="AF14" s="136" t="s">
        <v>340</v>
      </c>
    </row>
    <row r="15" spans="1:32" s="63" customFormat="1" ht="54.95" customHeight="1" x14ac:dyDescent="0.85">
      <c r="A15" s="137" t="s">
        <v>62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38" t="s">
        <v>62</v>
      </c>
      <c r="M15" s="127"/>
      <c r="N15" s="127"/>
      <c r="O15" s="127"/>
      <c r="P15" s="127"/>
      <c r="Q15" s="127"/>
      <c r="R15" s="127"/>
      <c r="S15" s="127"/>
      <c r="T15" s="127"/>
      <c r="U15" s="126"/>
      <c r="V15" s="138" t="s">
        <v>62</v>
      </c>
      <c r="W15" s="126"/>
      <c r="X15" s="126"/>
      <c r="Y15" s="126"/>
      <c r="Z15" s="126"/>
      <c r="AA15" s="126"/>
      <c r="AB15" s="126"/>
      <c r="AC15" s="126"/>
      <c r="AD15" s="129"/>
      <c r="AE15" s="126"/>
      <c r="AF15" s="129"/>
    </row>
    <row r="16" spans="1:32" s="63" customFormat="1" ht="54.95" customHeight="1" x14ac:dyDescent="0.85">
      <c r="A16" s="127" t="s">
        <v>217</v>
      </c>
      <c r="B16" s="139">
        <f>CNT!N105+CNT!N116</f>
        <v>987640134.21000004</v>
      </c>
      <c r="C16" s="139">
        <f>BPM!K8+BPM!K15</f>
        <v>57867472.350000001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f t="shared" ref="I16:I49" si="0">SUM(B16:H16)</f>
        <v>1045507606.5600001</v>
      </c>
      <c r="J16" s="140">
        <f>I16/$I$23</f>
        <v>0.24990452083606465</v>
      </c>
      <c r="K16" s="140"/>
      <c r="L16" s="127" t="s">
        <v>217</v>
      </c>
      <c r="M16" s="139">
        <f>1401448405.97+-33730913.42</f>
        <v>1367717492.55</v>
      </c>
      <c r="N16" s="139">
        <f>28903208.77-79187.92</f>
        <v>28824020.849999998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f>SUM(M16:S16)</f>
        <v>1396541513.3999999</v>
      </c>
      <c r="U16" s="141">
        <f>T16/$T$23</f>
        <v>0.49973432480410579</v>
      </c>
      <c r="V16" s="127" t="s">
        <v>217</v>
      </c>
      <c r="W16" s="141"/>
      <c r="X16" s="142">
        <f>I16</f>
        <v>1045507606.5600001</v>
      </c>
      <c r="Y16" s="141"/>
      <c r="Z16" s="142">
        <f>T16</f>
        <v>1396541513.3999999</v>
      </c>
      <c r="AA16" s="141"/>
      <c r="AB16" s="142">
        <f>I16-T16</f>
        <v>-351033906.83999979</v>
      </c>
      <c r="AC16" s="142"/>
      <c r="AD16" s="141">
        <f>I16/T16</f>
        <v>0.74864054990719342</v>
      </c>
      <c r="AE16" s="142"/>
      <c r="AF16" s="141">
        <f>AD16-1</f>
        <v>-0.25135945009280658</v>
      </c>
    </row>
    <row r="17" spans="1:32" s="63" customFormat="1" ht="54.95" customHeight="1" x14ac:dyDescent="0.85">
      <c r="A17" s="126" t="s">
        <v>218</v>
      </c>
      <c r="B17" s="139">
        <f>CNT!N106+CNT!N117</f>
        <v>3095980605.7100005</v>
      </c>
      <c r="C17" s="139">
        <f>BPM!K9+BPM!K16</f>
        <v>2741915.1799999997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f t="shared" si="0"/>
        <v>3098722520.8900003</v>
      </c>
      <c r="J17" s="140">
        <f t="shared" ref="J17:J22" si="1">I17/$I$23</f>
        <v>0.74067827142345821</v>
      </c>
      <c r="K17" s="140"/>
      <c r="L17" s="127" t="s">
        <v>218</v>
      </c>
      <c r="M17" s="139">
        <f>1378948171.55+-46277983.36</f>
        <v>1332670188.1900001</v>
      </c>
      <c r="N17" s="139">
        <f>6232136.35-1431.24</f>
        <v>6230705.1099999994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f t="shared" ref="T17:T93" si="2">SUM(M17:S17)</f>
        <v>1338900893.3</v>
      </c>
      <c r="U17" s="141">
        <f t="shared" ref="U17:U22" si="3">T17/$T$23</f>
        <v>0.47910837413198065</v>
      </c>
      <c r="V17" s="127" t="s">
        <v>218</v>
      </c>
      <c r="W17" s="141"/>
      <c r="X17" s="142">
        <f t="shared" ref="X17:X80" si="4">I17</f>
        <v>3098722520.8900003</v>
      </c>
      <c r="Y17" s="141"/>
      <c r="Z17" s="142">
        <f t="shared" ref="Z17:Z80" si="5">T17</f>
        <v>1338900893.3</v>
      </c>
      <c r="AA17" s="141"/>
      <c r="AB17" s="142">
        <f t="shared" ref="AB17:AB23" si="6">I17-T17</f>
        <v>1759821627.5900004</v>
      </c>
      <c r="AC17" s="142"/>
      <c r="AD17" s="141">
        <f t="shared" ref="AD17:AD22" si="7">I17/T17</f>
        <v>2.3143778127241021</v>
      </c>
      <c r="AE17" s="142"/>
      <c r="AF17" s="141">
        <f t="shared" ref="AF17:AF89" si="8">AD17-1</f>
        <v>1.3143778127241021</v>
      </c>
    </row>
    <row r="18" spans="1:32" s="63" customFormat="1" ht="54.95" customHeight="1" x14ac:dyDescent="0.85">
      <c r="A18" s="126" t="s">
        <v>219</v>
      </c>
      <c r="B18" s="139">
        <f>CNT!N107+CNT!N118</f>
        <v>13281836.700000001</v>
      </c>
      <c r="C18" s="139">
        <f>BPM!K10</f>
        <v>275361.21000000002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f t="shared" si="0"/>
        <v>13557197.910000002</v>
      </c>
      <c r="J18" s="140">
        <f t="shared" si="1"/>
        <v>3.2405360098007236E-3</v>
      </c>
      <c r="K18" s="140"/>
      <c r="L18" s="127" t="s">
        <v>219</v>
      </c>
      <c r="M18" s="139">
        <f>18438504.08+-15873.1</f>
        <v>18422630.979999997</v>
      </c>
      <c r="N18" s="139">
        <v>1823263.51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f t="shared" si="2"/>
        <v>20245894.489999998</v>
      </c>
      <c r="U18" s="141">
        <f t="shared" si="3"/>
        <v>7.244731585803868E-3</v>
      </c>
      <c r="V18" s="127" t="s">
        <v>219</v>
      </c>
      <c r="W18" s="141"/>
      <c r="X18" s="142">
        <f t="shared" si="4"/>
        <v>13557197.910000002</v>
      </c>
      <c r="Y18" s="141"/>
      <c r="Z18" s="142">
        <f t="shared" si="5"/>
        <v>20245894.489999998</v>
      </c>
      <c r="AA18" s="141"/>
      <c r="AB18" s="142">
        <f t="shared" si="6"/>
        <v>-6688696.5799999963</v>
      </c>
      <c r="AC18" s="142"/>
      <c r="AD18" s="141">
        <f t="shared" si="7"/>
        <v>0.6696270158227029</v>
      </c>
      <c r="AE18" s="142"/>
      <c r="AF18" s="141">
        <f t="shared" si="8"/>
        <v>-0.3303729841772971</v>
      </c>
    </row>
    <row r="19" spans="1:32" s="63" customFormat="1" ht="54.95" customHeight="1" x14ac:dyDescent="0.85">
      <c r="A19" s="127" t="s">
        <v>427</v>
      </c>
      <c r="B19" s="139">
        <f>CNT!N108+CNT!N119</f>
        <v>11807404.91</v>
      </c>
      <c r="C19" s="139">
        <f>BPM!K11</f>
        <v>21067.5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f t="shared" si="0"/>
        <v>11828472.41</v>
      </c>
      <c r="J19" s="140">
        <f t="shared" si="1"/>
        <v>2.8273239824334281E-3</v>
      </c>
      <c r="K19" s="140"/>
      <c r="L19" s="127" t="s">
        <v>427</v>
      </c>
      <c r="M19" s="139">
        <f>31789098.68+-68810</f>
        <v>31720288.68</v>
      </c>
      <c r="N19" s="139">
        <v>11928.98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f t="shared" si="2"/>
        <v>31732217.66</v>
      </c>
      <c r="U19" s="141">
        <f t="shared" si="3"/>
        <v>1.1354963826496032E-2</v>
      </c>
      <c r="V19" s="127" t="s">
        <v>427</v>
      </c>
      <c r="W19" s="141"/>
      <c r="X19" s="142">
        <f t="shared" si="4"/>
        <v>11828472.41</v>
      </c>
      <c r="Y19" s="141"/>
      <c r="Z19" s="142">
        <f t="shared" si="5"/>
        <v>31732217.66</v>
      </c>
      <c r="AA19" s="141"/>
      <c r="AB19" s="142">
        <f t="shared" si="6"/>
        <v>-19903745.25</v>
      </c>
      <c r="AC19" s="142"/>
      <c r="AD19" s="141">
        <f t="shared" si="7"/>
        <v>0.37275908468604652</v>
      </c>
      <c r="AE19" s="142"/>
      <c r="AF19" s="141">
        <f t="shared" si="8"/>
        <v>-0.62724091531395354</v>
      </c>
    </row>
    <row r="20" spans="1:32" s="63" customFormat="1" ht="54.95" customHeight="1" x14ac:dyDescent="0.85">
      <c r="A20" s="126" t="s">
        <v>220</v>
      </c>
      <c r="B20" s="139">
        <f>CNT!N112+CNT!N122</f>
        <v>5022730.9700000007</v>
      </c>
      <c r="C20" s="139">
        <f>0</f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f t="shared" si="0"/>
        <v>5022730.9700000007</v>
      </c>
      <c r="J20" s="140">
        <f t="shared" si="1"/>
        <v>1.2005681914417313E-3</v>
      </c>
      <c r="K20" s="140"/>
      <c r="L20" s="127" t="s">
        <v>220</v>
      </c>
      <c r="M20" s="139">
        <f>1572053+-4425</f>
        <v>1567628</v>
      </c>
      <c r="N20" s="139">
        <f>32977-2300</f>
        <v>30677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f t="shared" si="2"/>
        <v>1598305</v>
      </c>
      <c r="U20" s="141">
        <f t="shared" si="3"/>
        <v>5.7193277990101057E-4</v>
      </c>
      <c r="V20" s="127" t="s">
        <v>220</v>
      </c>
      <c r="W20" s="141"/>
      <c r="X20" s="142">
        <f t="shared" si="4"/>
        <v>5022730.9700000007</v>
      </c>
      <c r="Y20" s="141"/>
      <c r="Z20" s="142">
        <f t="shared" si="5"/>
        <v>1598305</v>
      </c>
      <c r="AA20" s="141"/>
      <c r="AB20" s="142">
        <f t="shared" si="6"/>
        <v>3424425.9700000007</v>
      </c>
      <c r="AC20" s="142"/>
      <c r="AD20" s="141">
        <f t="shared" si="7"/>
        <v>3.1425359803041353</v>
      </c>
      <c r="AE20" s="142"/>
      <c r="AF20" s="141">
        <f t="shared" si="8"/>
        <v>2.1425359803041353</v>
      </c>
    </row>
    <row r="21" spans="1:32" s="63" customFormat="1" ht="54.95" customHeight="1" x14ac:dyDescent="0.85">
      <c r="A21" s="126" t="s">
        <v>221</v>
      </c>
      <c r="B21" s="139">
        <f>CNT!N123+CNT!N125+CNT!N124+CNT!N126</f>
        <v>2622625.92</v>
      </c>
      <c r="C21" s="139">
        <f>BPM!K12</f>
        <v>2039.82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f t="shared" si="0"/>
        <v>2624665.7399999998</v>
      </c>
      <c r="J21" s="140">
        <f t="shared" si="1"/>
        <v>6.2736591297281297E-4</v>
      </c>
      <c r="K21" s="140"/>
      <c r="L21" s="127" t="s">
        <v>221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f t="shared" si="2"/>
        <v>0</v>
      </c>
      <c r="U21" s="141">
        <f t="shared" si="3"/>
        <v>0</v>
      </c>
      <c r="V21" s="127" t="s">
        <v>221</v>
      </c>
      <c r="W21" s="141"/>
      <c r="X21" s="142">
        <f t="shared" si="4"/>
        <v>2624665.7399999998</v>
      </c>
      <c r="Y21" s="141"/>
      <c r="Z21" s="142">
        <f t="shared" si="5"/>
        <v>0</v>
      </c>
      <c r="AA21" s="141"/>
      <c r="AB21" s="142">
        <f t="shared" si="6"/>
        <v>2624665.7399999998</v>
      </c>
      <c r="AC21" s="142"/>
      <c r="AD21" s="143">
        <v>0</v>
      </c>
      <c r="AE21" s="142"/>
      <c r="AF21" s="143">
        <v>0</v>
      </c>
    </row>
    <row r="22" spans="1:32" s="63" customFormat="1" ht="54.95" customHeight="1" x14ac:dyDescent="0.85">
      <c r="A22" s="126" t="s">
        <v>222</v>
      </c>
      <c r="B22" s="139">
        <f>CNT!N110+CNT!N111+CNT!N113+CNT!N114+CNT!N115+CNT!N109+CNT!N121</f>
        <v>751779.69</v>
      </c>
      <c r="C22" s="139">
        <f>BPM!K14+BPM!K13</f>
        <v>2611630.5</v>
      </c>
      <c r="D22" s="139">
        <f>DEP!K17</f>
        <v>2454254.9000000004</v>
      </c>
      <c r="E22" s="139">
        <v>0</v>
      </c>
      <c r="F22" s="139">
        <f>'BSC (Dome)'!K14</f>
        <v>547363.97000000009</v>
      </c>
      <c r="G22" s="139">
        <v>0</v>
      </c>
      <c r="H22" s="139">
        <v>0</v>
      </c>
      <c r="I22" s="139">
        <f t="shared" si="0"/>
        <v>6365029.0599999996</v>
      </c>
      <c r="J22" s="140">
        <f t="shared" si="1"/>
        <v>1.5214136438285607E-3</v>
      </c>
      <c r="K22" s="140"/>
      <c r="L22" s="127" t="s">
        <v>222</v>
      </c>
      <c r="M22" s="139">
        <f>415+1294974.51+20000+386524.32+51735.58+187966.6+-1807.5</f>
        <v>1939808.5100000002</v>
      </c>
      <c r="N22" s="139">
        <f>192+57651.07+1319010.58</f>
        <v>1376853.6500000001</v>
      </c>
      <c r="O22" s="139">
        <v>1680196.53</v>
      </c>
      <c r="P22" s="139">
        <v>0</v>
      </c>
      <c r="Q22" s="139">
        <v>552239.02</v>
      </c>
      <c r="R22" s="139">
        <v>0</v>
      </c>
      <c r="S22" s="139">
        <v>0</v>
      </c>
      <c r="T22" s="139">
        <f>SUM(M22:S22)</f>
        <v>5549097.7100000009</v>
      </c>
      <c r="U22" s="141">
        <f t="shared" si="3"/>
        <v>1.9856728717126157E-3</v>
      </c>
      <c r="V22" s="127" t="s">
        <v>222</v>
      </c>
      <c r="W22" s="141"/>
      <c r="X22" s="142">
        <f t="shared" si="4"/>
        <v>6365029.0599999996</v>
      </c>
      <c r="Y22" s="141"/>
      <c r="Z22" s="142">
        <f t="shared" si="5"/>
        <v>5549097.7100000009</v>
      </c>
      <c r="AA22" s="141"/>
      <c r="AB22" s="142">
        <f t="shared" si="6"/>
        <v>815931.3499999987</v>
      </c>
      <c r="AC22" s="142"/>
      <c r="AD22" s="141">
        <f t="shared" si="7"/>
        <v>1.1470385624188257</v>
      </c>
      <c r="AE22" s="142"/>
      <c r="AF22" s="141">
        <f t="shared" si="8"/>
        <v>0.14703856241882574</v>
      </c>
    </row>
    <row r="23" spans="1:32" s="63" customFormat="1" ht="54.95" customHeight="1" x14ac:dyDescent="0.85">
      <c r="A23" s="137" t="s">
        <v>223</v>
      </c>
      <c r="B23" s="144">
        <f>SUM(B16:B22)</f>
        <v>4117107118.1100001</v>
      </c>
      <c r="C23" s="144">
        <f>SUM(C16:C22)</f>
        <v>63519486.560000002</v>
      </c>
      <c r="D23" s="144">
        <f t="shared" ref="D23:H23" si="9">SUM(D16:D22)</f>
        <v>2454254.9000000004</v>
      </c>
      <c r="E23" s="144">
        <f t="shared" si="9"/>
        <v>0</v>
      </c>
      <c r="F23" s="144">
        <f>SUM(F16:F22)</f>
        <v>547363.97000000009</v>
      </c>
      <c r="G23" s="144">
        <f>SUM(G16:G22)</f>
        <v>0</v>
      </c>
      <c r="H23" s="144">
        <f t="shared" si="9"/>
        <v>0</v>
      </c>
      <c r="I23" s="144">
        <f t="shared" si="0"/>
        <v>4183628223.54</v>
      </c>
      <c r="J23" s="145">
        <f>SUM(J16:J22)</f>
        <v>1.0000000000000002</v>
      </c>
      <c r="K23" s="146"/>
      <c r="L23" s="138" t="s">
        <v>223</v>
      </c>
      <c r="M23" s="144">
        <f>SUM(M16:M22)</f>
        <v>2754038036.9099998</v>
      </c>
      <c r="N23" s="144">
        <f t="shared" ref="N23:S23" si="10">SUM(N16:N22)</f>
        <v>38297449.099999987</v>
      </c>
      <c r="O23" s="144">
        <f t="shared" si="10"/>
        <v>1680196.53</v>
      </c>
      <c r="P23" s="144">
        <f t="shared" si="10"/>
        <v>0</v>
      </c>
      <c r="Q23" s="144">
        <f>SUM(Q16:Q22)</f>
        <v>552239.02</v>
      </c>
      <c r="R23" s="144">
        <f>SUM(R16:R22)</f>
        <v>0</v>
      </c>
      <c r="S23" s="144">
        <f t="shared" si="10"/>
        <v>0</v>
      </c>
      <c r="T23" s="144">
        <f t="shared" si="2"/>
        <v>2794567921.5599999</v>
      </c>
      <c r="U23" s="147">
        <f>SUM(U16:U22)</f>
        <v>0.99999999999999989</v>
      </c>
      <c r="V23" s="138" t="s">
        <v>223</v>
      </c>
      <c r="W23" s="148"/>
      <c r="X23" s="149">
        <f t="shared" si="4"/>
        <v>4183628223.54</v>
      </c>
      <c r="Y23" s="148"/>
      <c r="Z23" s="149">
        <f t="shared" si="5"/>
        <v>2794567921.5599999</v>
      </c>
      <c r="AA23" s="148"/>
      <c r="AB23" s="149">
        <f t="shared" si="6"/>
        <v>1389060301.98</v>
      </c>
      <c r="AC23" s="149"/>
      <c r="AD23" s="147">
        <f>I23/T23</f>
        <v>1.4970572700214031</v>
      </c>
      <c r="AE23" s="149"/>
      <c r="AF23" s="147">
        <f t="shared" si="8"/>
        <v>0.4970572700214031</v>
      </c>
    </row>
    <row r="24" spans="1:32" s="63" customFormat="1" ht="54.95" customHeight="1" x14ac:dyDescent="0.85">
      <c r="A24" s="126"/>
      <c r="B24" s="139"/>
      <c r="C24" s="139"/>
      <c r="D24" s="139"/>
      <c r="E24" s="139"/>
      <c r="F24" s="139"/>
      <c r="G24" s="139"/>
      <c r="H24" s="139"/>
      <c r="I24" s="139">
        <f t="shared" si="0"/>
        <v>0</v>
      </c>
      <c r="J24" s="127"/>
      <c r="K24" s="127"/>
      <c r="L24" s="127"/>
      <c r="M24" s="139"/>
      <c r="N24" s="139"/>
      <c r="O24" s="139"/>
      <c r="P24" s="139"/>
      <c r="Q24" s="139"/>
      <c r="R24" s="139"/>
      <c r="S24" s="139"/>
      <c r="T24" s="139">
        <f t="shared" si="2"/>
        <v>0</v>
      </c>
      <c r="U24" s="126"/>
      <c r="V24" s="127"/>
      <c r="W24" s="126"/>
      <c r="X24" s="142"/>
      <c r="Y24" s="126"/>
      <c r="Z24" s="142">
        <f t="shared" si="5"/>
        <v>0</v>
      </c>
      <c r="AA24" s="126"/>
      <c r="AB24" s="142"/>
      <c r="AC24" s="142"/>
      <c r="AD24" s="150"/>
      <c r="AE24" s="142"/>
      <c r="AF24" s="150"/>
    </row>
    <row r="25" spans="1:32" s="63" customFormat="1" ht="54.95" customHeight="1" x14ac:dyDescent="0.85">
      <c r="A25" s="137" t="s">
        <v>208</v>
      </c>
      <c r="B25" s="139"/>
      <c r="C25" s="139"/>
      <c r="D25" s="139"/>
      <c r="E25" s="139"/>
      <c r="F25" s="139"/>
      <c r="G25" s="139"/>
      <c r="H25" s="139"/>
      <c r="I25" s="139">
        <f t="shared" si="0"/>
        <v>0</v>
      </c>
      <c r="J25" s="127"/>
      <c r="K25" s="127"/>
      <c r="L25" s="138" t="s">
        <v>208</v>
      </c>
      <c r="M25" s="139"/>
      <c r="N25" s="139"/>
      <c r="O25" s="139"/>
      <c r="P25" s="139"/>
      <c r="Q25" s="139"/>
      <c r="R25" s="139"/>
      <c r="S25" s="139"/>
      <c r="T25" s="139">
        <f t="shared" si="2"/>
        <v>0</v>
      </c>
      <c r="U25" s="126"/>
      <c r="V25" s="138" t="s">
        <v>208</v>
      </c>
      <c r="W25" s="126"/>
      <c r="X25" s="142"/>
      <c r="Y25" s="126"/>
      <c r="Z25" s="142">
        <f t="shared" si="5"/>
        <v>0</v>
      </c>
      <c r="AA25" s="126"/>
      <c r="AB25" s="142"/>
      <c r="AC25" s="142"/>
      <c r="AD25" s="150"/>
      <c r="AE25" s="142"/>
      <c r="AF25" s="150"/>
    </row>
    <row r="26" spans="1:32" s="63" customFormat="1" ht="54.95" customHeight="1" x14ac:dyDescent="0.85">
      <c r="A26" s="126" t="s">
        <v>217</v>
      </c>
      <c r="B26" s="139">
        <f>CNT!N131+CNT!N136+CNT!N148+CNT!N152+CNT!N153+CNT!N157+CNT!N161+CNT!N168</f>
        <v>1004400301.8899999</v>
      </c>
      <c r="C26" s="139">
        <f>BPM!K20+BPM!K31</f>
        <v>57705401.129999995</v>
      </c>
      <c r="D26" s="139">
        <v>0</v>
      </c>
      <c r="E26" s="139">
        <v>0</v>
      </c>
      <c r="F26" s="139">
        <v>0</v>
      </c>
      <c r="G26" s="139">
        <v>0</v>
      </c>
      <c r="H26" s="139">
        <v>0</v>
      </c>
      <c r="I26" s="139">
        <f t="shared" si="0"/>
        <v>1062105703.0199999</v>
      </c>
      <c r="J26" s="140">
        <f>I26/$I$33</f>
        <v>0.25436495017164118</v>
      </c>
      <c r="K26" s="140"/>
      <c r="L26" s="127" t="s">
        <v>217</v>
      </c>
      <c r="M26" s="139">
        <f>1362886644.91+294837140.99+-2594673018.01+-295913828.8+2586538353.1+-851593.54+2442343.61</f>
        <v>1355266042.2599998</v>
      </c>
      <c r="N26" s="139">
        <f>28518484.54+606.81+14337.65</f>
        <v>28533428.999999996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f t="shared" si="2"/>
        <v>1383799471.2599998</v>
      </c>
      <c r="U26" s="141">
        <f>T26/$T$33</f>
        <v>0.49642234805915786</v>
      </c>
      <c r="V26" s="127" t="s">
        <v>217</v>
      </c>
      <c r="W26" s="141"/>
      <c r="X26" s="142">
        <f t="shared" si="4"/>
        <v>1062105703.0199999</v>
      </c>
      <c r="Y26" s="141"/>
      <c r="Z26" s="142">
        <f t="shared" si="5"/>
        <v>1383799471.2599998</v>
      </c>
      <c r="AA26" s="141"/>
      <c r="AB26" s="142">
        <f>I26-T26</f>
        <v>-321693768.23999989</v>
      </c>
      <c r="AC26" s="142"/>
      <c r="AD26" s="141">
        <f>I26/T26</f>
        <v>0.76752862324258153</v>
      </c>
      <c r="AE26" s="142"/>
      <c r="AF26" s="141">
        <f t="shared" si="8"/>
        <v>-0.23247137675741847</v>
      </c>
    </row>
    <row r="27" spans="1:32" s="63" customFormat="1" ht="54.95" customHeight="1" x14ac:dyDescent="0.85">
      <c r="A27" s="126" t="s">
        <v>218</v>
      </c>
      <c r="B27" s="139">
        <f>CNT!N132+CNT!N137+CNT!N149+CNT!N154+CNT!N158+CNT!N162+CNT!N165+CNT!N169</f>
        <v>3091078805.7099991</v>
      </c>
      <c r="C27" s="139">
        <f>BPM!K21+BPM!K32</f>
        <v>2518888.9</v>
      </c>
      <c r="D27" s="139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f t="shared" si="0"/>
        <v>3093597694.6099992</v>
      </c>
      <c r="J27" s="140">
        <f t="shared" ref="J27:J32" si="11">I27/$I$33</f>
        <v>0.74088936835862074</v>
      </c>
      <c r="K27" s="140"/>
      <c r="L27" s="127" t="s">
        <v>218</v>
      </c>
      <c r="M27" s="139">
        <f>1331870709.1+717950801.68+-715682100.11+6772900937.69+584217.48+-6770619534.22+-2691428.5</f>
        <v>1334313603.119998</v>
      </c>
      <c r="N27" s="139">
        <f>6147408.13+156.76+-92990.65</f>
        <v>6054574.2399999993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f t="shared" si="2"/>
        <v>1340368177.359998</v>
      </c>
      <c r="U27" s="141">
        <f t="shared" ref="U27:U32" si="12">T27/$T$33</f>
        <v>0.48084186451015426</v>
      </c>
      <c r="V27" s="127" t="s">
        <v>218</v>
      </c>
      <c r="W27" s="141"/>
      <c r="X27" s="142">
        <f t="shared" si="4"/>
        <v>3093597694.6099992</v>
      </c>
      <c r="Y27" s="141"/>
      <c r="Z27" s="142">
        <f t="shared" si="5"/>
        <v>1340368177.359998</v>
      </c>
      <c r="AA27" s="141"/>
      <c r="AB27" s="142">
        <f t="shared" ref="AB27:AB32" si="13">I27-T27</f>
        <v>1753229517.2500012</v>
      </c>
      <c r="AC27" s="142"/>
      <c r="AD27" s="141">
        <f t="shared" ref="AD27:AD32" si="14">I27/T27</f>
        <v>2.3080208459612783</v>
      </c>
      <c r="AE27" s="142"/>
      <c r="AF27" s="141">
        <f t="shared" si="8"/>
        <v>1.3080208459612783</v>
      </c>
    </row>
    <row r="28" spans="1:32" s="63" customFormat="1" ht="54.95" customHeight="1" x14ac:dyDescent="0.85">
      <c r="A28" s="126" t="s">
        <v>219</v>
      </c>
      <c r="B28" s="139">
        <f>CNT!N133+CNT!N138+CNT!N150+CNT!N155+CNT!N159+CNT!N163+CNT!N167+CNT!N170</f>
        <v>12587660.74</v>
      </c>
      <c r="C28" s="139">
        <f>BPM!K22+BPM!K33</f>
        <v>256268.82</v>
      </c>
      <c r="D28" s="139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f t="shared" si="0"/>
        <v>12843929.560000001</v>
      </c>
      <c r="J28" s="140">
        <f t="shared" si="11"/>
        <v>3.0760078712014504E-3</v>
      </c>
      <c r="K28" s="140"/>
      <c r="L28" s="127" t="s">
        <v>219</v>
      </c>
      <c r="M28" s="139">
        <f>18359498.66+6151280+-6244582.5+5794396.9+-16403.49+-5903503.5+-82329.81</f>
        <v>18058356.260000005</v>
      </c>
      <c r="N28" s="139">
        <f>1754656.42+2641.2</f>
        <v>1757297.6199999999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f t="shared" si="2"/>
        <v>19815653.880000006</v>
      </c>
      <c r="U28" s="141">
        <f t="shared" si="12"/>
        <v>7.1086408339788411E-3</v>
      </c>
      <c r="V28" s="127" t="s">
        <v>219</v>
      </c>
      <c r="W28" s="141"/>
      <c r="X28" s="142">
        <f t="shared" si="4"/>
        <v>12843929.560000001</v>
      </c>
      <c r="Y28" s="141"/>
      <c r="Z28" s="142">
        <f t="shared" si="5"/>
        <v>19815653.880000006</v>
      </c>
      <c r="AA28" s="141"/>
      <c r="AB28" s="142">
        <f>I28-T28</f>
        <v>-6971724.3200000059</v>
      </c>
      <c r="AC28" s="142"/>
      <c r="AD28" s="141">
        <f t="shared" si="14"/>
        <v>0.64817086722348405</v>
      </c>
      <c r="AE28" s="142"/>
      <c r="AF28" s="141">
        <f t="shared" si="8"/>
        <v>-0.35182913277651595</v>
      </c>
    </row>
    <row r="29" spans="1:32" s="63" customFormat="1" ht="54.95" customHeight="1" x14ac:dyDescent="0.85">
      <c r="A29" s="126" t="s">
        <v>427</v>
      </c>
      <c r="B29" s="139">
        <f>CNT!N134+CNT!N139+CNT!N151+CNT!N156+CNT!N160+CNT!N164+CNT!N171+CNT!N172</f>
        <v>12058066.880000003</v>
      </c>
      <c r="C29" s="139">
        <f>BPM!K23</f>
        <v>13142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f t="shared" si="0"/>
        <v>12071208.880000003</v>
      </c>
      <c r="J29" s="140">
        <f t="shared" si="11"/>
        <v>2.8909480822313736E-3</v>
      </c>
      <c r="K29" s="140"/>
      <c r="L29" s="127" t="s">
        <v>427</v>
      </c>
      <c r="M29" s="139">
        <f>31216421.82+153873.75+-157755+2326124.63+-93508.88+876786.34+-2698078.23</f>
        <v>31623864.430000003</v>
      </c>
      <c r="N29" s="139">
        <f>11092.65-65</f>
        <v>11027.65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f t="shared" si="2"/>
        <v>31634892.080000002</v>
      </c>
      <c r="U29" s="141">
        <f t="shared" si="12"/>
        <v>1.1348658337506336E-2</v>
      </c>
      <c r="V29" s="127" t="s">
        <v>427</v>
      </c>
      <c r="W29" s="141"/>
      <c r="X29" s="142">
        <f t="shared" si="4"/>
        <v>12071208.880000003</v>
      </c>
      <c r="Y29" s="141"/>
      <c r="Z29" s="142">
        <f t="shared" si="5"/>
        <v>31634892.080000002</v>
      </c>
      <c r="AA29" s="141"/>
      <c r="AB29" s="142">
        <f t="shared" si="13"/>
        <v>-19563683.199999999</v>
      </c>
      <c r="AC29" s="142"/>
      <c r="AD29" s="141">
        <f t="shared" si="14"/>
        <v>0.38157894926506108</v>
      </c>
      <c r="AE29" s="142"/>
      <c r="AF29" s="141">
        <f t="shared" si="8"/>
        <v>-0.61842105073493892</v>
      </c>
    </row>
    <row r="30" spans="1:32" s="63" customFormat="1" ht="54.95" customHeight="1" x14ac:dyDescent="0.85">
      <c r="A30" s="126" t="s">
        <v>220</v>
      </c>
      <c r="B30" s="139">
        <f>CNT!N135+CNT!N142+CNT!N166+CNT!N177</f>
        <v>4877108.4499999993</v>
      </c>
      <c r="C30" s="139">
        <f>0</f>
        <v>0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f t="shared" si="0"/>
        <v>4877108.4499999993</v>
      </c>
      <c r="J30" s="140">
        <f t="shared" si="11"/>
        <v>1.1680244671867462E-3</v>
      </c>
      <c r="K30" s="140"/>
      <c r="L30" s="127" t="s">
        <v>220</v>
      </c>
      <c r="M30" s="139">
        <f>1487266.02+24000</f>
        <v>1511266.02</v>
      </c>
      <c r="N30" s="139">
        <f>28517+168</f>
        <v>28685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f t="shared" si="2"/>
        <v>1539951.02</v>
      </c>
      <c r="U30" s="141">
        <f t="shared" si="12"/>
        <v>5.5243994315767506E-4</v>
      </c>
      <c r="V30" s="127" t="s">
        <v>220</v>
      </c>
      <c r="W30" s="141"/>
      <c r="X30" s="142">
        <f t="shared" si="4"/>
        <v>4877108.4499999993</v>
      </c>
      <c r="Y30" s="141"/>
      <c r="Z30" s="142">
        <f t="shared" si="5"/>
        <v>1539951.02</v>
      </c>
      <c r="AA30" s="141"/>
      <c r="AB30" s="142">
        <f t="shared" si="13"/>
        <v>3337157.4299999992</v>
      </c>
      <c r="AC30" s="142"/>
      <c r="AD30" s="141">
        <f t="shared" si="14"/>
        <v>3.1670542677389824</v>
      </c>
      <c r="AE30" s="142"/>
      <c r="AF30" s="141">
        <f t="shared" si="8"/>
        <v>2.1670542677389824</v>
      </c>
    </row>
    <row r="31" spans="1:32" s="63" customFormat="1" ht="54.95" customHeight="1" x14ac:dyDescent="0.85">
      <c r="A31" s="126" t="s">
        <v>221</v>
      </c>
      <c r="B31" s="139">
        <f>CNT!N188+CNT!N189+CNT!N190+CNT!N191+CNT!N192+CNT!N193+CNT!N194+CNT!N195</f>
        <v>2496097.4699999997</v>
      </c>
      <c r="C31" s="139">
        <f>BPM!K25</f>
        <v>916.55</v>
      </c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f t="shared" si="0"/>
        <v>2497014.0199999996</v>
      </c>
      <c r="J31" s="140">
        <f t="shared" si="11"/>
        <v>5.9801283899445288E-4</v>
      </c>
      <c r="K31" s="140"/>
      <c r="L31" s="127" t="s">
        <v>221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f t="shared" si="2"/>
        <v>0</v>
      </c>
      <c r="U31" s="141">
        <f t="shared" si="12"/>
        <v>0</v>
      </c>
      <c r="V31" s="127" t="s">
        <v>221</v>
      </c>
      <c r="W31" s="141"/>
      <c r="X31" s="142">
        <f t="shared" si="4"/>
        <v>2497014.0199999996</v>
      </c>
      <c r="Y31" s="141"/>
      <c r="Z31" s="142">
        <f t="shared" si="5"/>
        <v>0</v>
      </c>
      <c r="AA31" s="141"/>
      <c r="AB31" s="142">
        <f t="shared" si="13"/>
        <v>2497014.0199999996</v>
      </c>
      <c r="AC31" s="142"/>
      <c r="AD31" s="143">
        <v>0</v>
      </c>
      <c r="AE31" s="142"/>
      <c r="AF31" s="143">
        <v>0</v>
      </c>
    </row>
    <row r="32" spans="1:32" s="63" customFormat="1" ht="54.95" customHeight="1" x14ac:dyDescent="0.85">
      <c r="A32" s="126" t="s">
        <v>222</v>
      </c>
      <c r="B32" s="139">
        <f>CNT!N129+CNT!N140+CNT!N141+CNT!N143+CNT!N146+CNT!N147+CNT!N176+CNT!N174+CNT!N175+CNT!N178+CNT!N179+CNT!N180+CNT!N181+CNT!N182+CNT!N183+CNT!N184+CNT!N185+CNT!N186+CNT!N187+CNT!N173</f>
        <v>-14954112.650000002</v>
      </c>
      <c r="C32" s="139">
        <f>BPM!K24+BPM!K26+BPM!K27+BPM!K28+BPM!K29+BPM!K30+BPM!K34+BPM!K35</f>
        <v>2200693.41</v>
      </c>
      <c r="D32" s="139">
        <f>DEP!K23</f>
        <v>278193.64</v>
      </c>
      <c r="E32" s="139">
        <v>0</v>
      </c>
      <c r="F32" s="139">
        <f>'BSC (Dome)'!K18</f>
        <v>1648.2199999999998</v>
      </c>
      <c r="G32" s="139">
        <v>0</v>
      </c>
      <c r="H32" s="139">
        <v>0</v>
      </c>
      <c r="I32" s="139">
        <f t="shared" si="0"/>
        <v>-12473577.380000001</v>
      </c>
      <c r="J32" s="140">
        <f t="shared" si="11"/>
        <v>-2.9873117898756496E-3</v>
      </c>
      <c r="K32" s="140"/>
      <c r="L32" s="127" t="s">
        <v>222</v>
      </c>
      <c r="M32" s="139">
        <f>60.6+1171791.88+1360884.47+39494.92+1250+9+58116.69+202006.97+5638770.42+232883.38+4852+21448.66+127438.37+272.72-1169.28+651.51-292.5-15426.72</f>
        <v>8843043.0899999999</v>
      </c>
      <c r="N32" s="139">
        <f>57304.44+199486.37-6668.6+2936.98+820.8+692303.95+390154.17</f>
        <v>1336338.1099999999</v>
      </c>
      <c r="O32" s="139">
        <v>206226.66</v>
      </c>
      <c r="P32" s="139">
        <v>0</v>
      </c>
      <c r="Q32" s="139">
        <v>918.27</v>
      </c>
      <c r="R32" s="139">
        <v>0</v>
      </c>
      <c r="S32" s="139">
        <v>0</v>
      </c>
      <c r="T32" s="139">
        <f t="shared" si="2"/>
        <v>10386526.129999999</v>
      </c>
      <c r="U32" s="141">
        <f t="shared" si="12"/>
        <v>3.7260483160450821E-3</v>
      </c>
      <c r="V32" s="127" t="s">
        <v>222</v>
      </c>
      <c r="W32" s="141"/>
      <c r="X32" s="142">
        <f t="shared" si="4"/>
        <v>-12473577.380000001</v>
      </c>
      <c r="Y32" s="141"/>
      <c r="Z32" s="142">
        <f t="shared" si="5"/>
        <v>10386526.129999999</v>
      </c>
      <c r="AA32" s="141"/>
      <c r="AB32" s="142">
        <f t="shared" si="13"/>
        <v>-22860103.509999998</v>
      </c>
      <c r="AC32" s="142"/>
      <c r="AD32" s="141">
        <f t="shared" si="14"/>
        <v>-1.2009383333636308</v>
      </c>
      <c r="AE32" s="142"/>
      <c r="AF32" s="141">
        <f t="shared" si="8"/>
        <v>-2.2009383333636308</v>
      </c>
    </row>
    <row r="33" spans="1:32" s="63" customFormat="1" ht="54.95" customHeight="1" x14ac:dyDescent="0.85">
      <c r="A33" s="137" t="s">
        <v>224</v>
      </c>
      <c r="B33" s="144">
        <f>SUM(B26:B32)</f>
        <v>4112543928.4899983</v>
      </c>
      <c r="C33" s="144">
        <f t="shared" ref="C33:H33" si="15">SUM(C26:C32)</f>
        <v>62695310.809999987</v>
      </c>
      <c r="D33" s="144">
        <f t="shared" si="15"/>
        <v>278193.64</v>
      </c>
      <c r="E33" s="144">
        <f t="shared" si="15"/>
        <v>0</v>
      </c>
      <c r="F33" s="144">
        <f>SUM(F26:F32)</f>
        <v>1648.2199999999998</v>
      </c>
      <c r="G33" s="144">
        <f>SUM(G26:G32)</f>
        <v>0</v>
      </c>
      <c r="H33" s="144">
        <f t="shared" si="15"/>
        <v>0</v>
      </c>
      <c r="I33" s="144">
        <f t="shared" si="0"/>
        <v>4175519081.1599979</v>
      </c>
      <c r="J33" s="145">
        <f>SUM(J26:J32)</f>
        <v>1.0000000000000004</v>
      </c>
      <c r="K33" s="146"/>
      <c r="L33" s="138" t="s">
        <v>224</v>
      </c>
      <c r="M33" s="144">
        <f>SUM(M26:M32)</f>
        <v>2749616175.1799979</v>
      </c>
      <c r="N33" s="144">
        <f t="shared" ref="N33:S33" si="16">SUM(N26:N32)</f>
        <v>37721351.61999999</v>
      </c>
      <c r="O33" s="144">
        <f t="shared" si="16"/>
        <v>206226.66</v>
      </c>
      <c r="P33" s="144">
        <f t="shared" si="16"/>
        <v>0</v>
      </c>
      <c r="Q33" s="144">
        <f>SUM(Q26:Q32)</f>
        <v>918.27</v>
      </c>
      <c r="R33" s="144">
        <f>SUM(R26:R32)</f>
        <v>0</v>
      </c>
      <c r="S33" s="144">
        <f t="shared" si="16"/>
        <v>0</v>
      </c>
      <c r="T33" s="144">
        <f t="shared" si="2"/>
        <v>2787544671.7299976</v>
      </c>
      <c r="U33" s="147">
        <f>SUM(U26:U32)</f>
        <v>1</v>
      </c>
      <c r="V33" s="138" t="s">
        <v>224</v>
      </c>
      <c r="W33" s="148"/>
      <c r="X33" s="149">
        <f t="shared" si="4"/>
        <v>4175519081.1599979</v>
      </c>
      <c r="Y33" s="148"/>
      <c r="Z33" s="149">
        <f t="shared" si="5"/>
        <v>2787544671.7299976</v>
      </c>
      <c r="AA33" s="148"/>
      <c r="AB33" s="149">
        <f>SUM(AB26:AB32)</f>
        <v>1387974409.4300013</v>
      </c>
      <c r="AC33" s="149"/>
      <c r="AD33" s="147">
        <f>I33/T33</f>
        <v>1.4979200597235989</v>
      </c>
      <c r="AE33" s="149"/>
      <c r="AF33" s="147">
        <f t="shared" si="8"/>
        <v>0.49792005972359887</v>
      </c>
    </row>
    <row r="34" spans="1:32" s="63" customFormat="1" ht="54.95" customHeight="1" x14ac:dyDescent="0.85">
      <c r="A34" s="126"/>
      <c r="B34" s="139"/>
      <c r="C34" s="139"/>
      <c r="D34" s="139"/>
      <c r="E34" s="139"/>
      <c r="F34" s="139"/>
      <c r="G34" s="139"/>
      <c r="H34" s="139"/>
      <c r="I34" s="139"/>
      <c r="J34" s="127"/>
      <c r="K34" s="127"/>
      <c r="L34" s="127"/>
      <c r="M34" s="139"/>
      <c r="N34" s="139"/>
      <c r="O34" s="139"/>
      <c r="P34" s="139"/>
      <c r="Q34" s="139"/>
      <c r="R34" s="139"/>
      <c r="S34" s="139"/>
      <c r="T34" s="139"/>
      <c r="U34" s="126"/>
      <c r="V34" s="127"/>
      <c r="W34" s="126"/>
      <c r="X34" s="142"/>
      <c r="Y34" s="126"/>
      <c r="Z34" s="142"/>
      <c r="AA34" s="126"/>
      <c r="AB34" s="142"/>
      <c r="AC34" s="142"/>
      <c r="AD34" s="141"/>
      <c r="AE34" s="142"/>
      <c r="AF34" s="141"/>
    </row>
    <row r="35" spans="1:32" s="63" customFormat="1" ht="54.95" customHeight="1" thickBot="1" x14ac:dyDescent="0.9">
      <c r="A35" s="137" t="s">
        <v>211</v>
      </c>
      <c r="B35" s="151">
        <f>B23-B33</f>
        <v>4563189.6200017929</v>
      </c>
      <c r="C35" s="151">
        <f t="shared" ref="C35:H35" si="17">C23-C33</f>
        <v>824175.7500000149</v>
      </c>
      <c r="D35" s="151">
        <f t="shared" si="17"/>
        <v>2176061.2600000002</v>
      </c>
      <c r="E35" s="151">
        <f t="shared" si="17"/>
        <v>0</v>
      </c>
      <c r="F35" s="151">
        <f>F23-F33</f>
        <v>545715.75000000012</v>
      </c>
      <c r="G35" s="151">
        <f>G23-G33</f>
        <v>0</v>
      </c>
      <c r="H35" s="151">
        <f t="shared" si="17"/>
        <v>0</v>
      </c>
      <c r="I35" s="151">
        <f t="shared" si="0"/>
        <v>8109142.3800018076</v>
      </c>
      <c r="J35" s="127"/>
      <c r="K35" s="127"/>
      <c r="L35" s="138" t="s">
        <v>211</v>
      </c>
      <c r="M35" s="151">
        <f>M23-M33</f>
        <v>4421861.7300019264</v>
      </c>
      <c r="N35" s="151">
        <f t="shared" ref="N35:S35" si="18">N23-N33</f>
        <v>576097.47999999672</v>
      </c>
      <c r="O35" s="151">
        <f t="shared" si="18"/>
        <v>1473969.87</v>
      </c>
      <c r="P35" s="151">
        <f t="shared" si="18"/>
        <v>0</v>
      </c>
      <c r="Q35" s="151">
        <f>Q23-Q33</f>
        <v>551320.75</v>
      </c>
      <c r="R35" s="151">
        <f>R23-R33</f>
        <v>0</v>
      </c>
      <c r="S35" s="151">
        <f t="shared" si="18"/>
        <v>0</v>
      </c>
      <c r="T35" s="151">
        <f t="shared" si="2"/>
        <v>7023249.8300019233</v>
      </c>
      <c r="U35" s="126"/>
      <c r="V35" s="138" t="s">
        <v>211</v>
      </c>
      <c r="W35" s="126"/>
      <c r="X35" s="152">
        <f t="shared" si="4"/>
        <v>8109142.3800018076</v>
      </c>
      <c r="Y35" s="126"/>
      <c r="Z35" s="152">
        <f t="shared" si="5"/>
        <v>7023249.8300019233</v>
      </c>
      <c r="AA35" s="126"/>
      <c r="AB35" s="152">
        <f>I35-T35</f>
        <v>1085892.5499998843</v>
      </c>
      <c r="AC35" s="152"/>
      <c r="AD35" s="153">
        <f>I35/T35</f>
        <v>1.154613971634779</v>
      </c>
      <c r="AE35" s="152"/>
      <c r="AF35" s="153">
        <f t="shared" si="8"/>
        <v>0.15461397163477897</v>
      </c>
    </row>
    <row r="36" spans="1:32" s="63" customFormat="1" ht="54.95" customHeight="1" x14ac:dyDescent="0.85">
      <c r="A36" s="126"/>
      <c r="B36" s="139"/>
      <c r="C36" s="139"/>
      <c r="D36" s="139"/>
      <c r="E36" s="139"/>
      <c r="F36" s="139"/>
      <c r="G36" s="139"/>
      <c r="H36" s="139"/>
      <c r="I36" s="139">
        <f t="shared" si="0"/>
        <v>0</v>
      </c>
      <c r="J36" s="127"/>
      <c r="K36" s="127"/>
      <c r="L36" s="127"/>
      <c r="M36" s="139"/>
      <c r="N36" s="139"/>
      <c r="O36" s="139"/>
      <c r="P36" s="139"/>
      <c r="Q36" s="139"/>
      <c r="R36" s="139"/>
      <c r="S36" s="139"/>
      <c r="T36" s="139">
        <f t="shared" si="2"/>
        <v>0</v>
      </c>
      <c r="U36" s="126"/>
      <c r="V36" s="127"/>
      <c r="W36" s="126"/>
      <c r="X36" s="142"/>
      <c r="Y36" s="126"/>
      <c r="Z36" s="142">
        <f t="shared" si="5"/>
        <v>0</v>
      </c>
      <c r="AA36" s="126"/>
      <c r="AB36" s="142"/>
      <c r="AC36" s="142"/>
      <c r="AD36" s="150"/>
      <c r="AE36" s="142"/>
      <c r="AF36" s="150"/>
    </row>
    <row r="37" spans="1:32" s="63" customFormat="1" ht="54.95" customHeight="1" x14ac:dyDescent="0.85">
      <c r="A37" s="137" t="s">
        <v>209</v>
      </c>
      <c r="B37" s="139"/>
      <c r="C37" s="139"/>
      <c r="D37" s="139"/>
      <c r="E37" s="139"/>
      <c r="F37" s="139"/>
      <c r="G37" s="139"/>
      <c r="H37" s="139"/>
      <c r="I37" s="139">
        <f t="shared" si="0"/>
        <v>0</v>
      </c>
      <c r="J37" s="127"/>
      <c r="K37" s="127"/>
      <c r="L37" s="138" t="s">
        <v>209</v>
      </c>
      <c r="M37" s="139"/>
      <c r="N37" s="139"/>
      <c r="O37" s="139"/>
      <c r="P37" s="139"/>
      <c r="Q37" s="139"/>
      <c r="R37" s="139"/>
      <c r="S37" s="139"/>
      <c r="T37" s="139">
        <f t="shared" si="2"/>
        <v>0</v>
      </c>
      <c r="U37" s="126"/>
      <c r="V37" s="138" t="s">
        <v>209</v>
      </c>
      <c r="W37" s="126"/>
      <c r="X37" s="142"/>
      <c r="Y37" s="126"/>
      <c r="Z37" s="142">
        <f t="shared" si="5"/>
        <v>0</v>
      </c>
      <c r="AA37" s="126"/>
      <c r="AB37" s="142"/>
      <c r="AC37" s="142"/>
      <c r="AD37" s="150"/>
      <c r="AE37" s="142"/>
      <c r="AF37" s="150"/>
    </row>
    <row r="38" spans="1:32" s="63" customFormat="1" ht="54.95" customHeight="1" x14ac:dyDescent="0.85">
      <c r="A38" s="126"/>
      <c r="B38" s="139"/>
      <c r="C38" s="139"/>
      <c r="D38" s="139"/>
      <c r="E38" s="139"/>
      <c r="F38" s="139"/>
      <c r="G38" s="139"/>
      <c r="H38" s="139"/>
      <c r="I38" s="139">
        <f t="shared" si="0"/>
        <v>0</v>
      </c>
      <c r="J38" s="127"/>
      <c r="K38" s="127"/>
      <c r="L38" s="127"/>
      <c r="M38" s="139"/>
      <c r="N38" s="139"/>
      <c r="O38" s="139"/>
      <c r="P38" s="139"/>
      <c r="Q38" s="139"/>
      <c r="R38" s="139"/>
      <c r="S38" s="139"/>
      <c r="T38" s="139">
        <f t="shared" si="2"/>
        <v>0</v>
      </c>
      <c r="U38" s="126"/>
      <c r="V38" s="127"/>
      <c r="W38" s="126"/>
      <c r="X38" s="142"/>
      <c r="Y38" s="126"/>
      <c r="Z38" s="142">
        <f t="shared" si="5"/>
        <v>0</v>
      </c>
      <c r="AA38" s="126"/>
      <c r="AB38" s="142"/>
      <c r="AC38" s="142"/>
      <c r="AD38" s="150"/>
      <c r="AE38" s="142"/>
      <c r="AF38" s="150"/>
    </row>
    <row r="39" spans="1:32" s="63" customFormat="1" ht="54.95" customHeight="1" x14ac:dyDescent="0.85">
      <c r="A39" s="137" t="s">
        <v>225</v>
      </c>
      <c r="B39" s="139"/>
      <c r="C39" s="139"/>
      <c r="D39" s="139"/>
      <c r="E39" s="139"/>
      <c r="F39" s="139"/>
      <c r="G39" s="139"/>
      <c r="H39" s="139"/>
      <c r="I39" s="139">
        <f t="shared" si="0"/>
        <v>0</v>
      </c>
      <c r="J39" s="127"/>
      <c r="K39" s="127"/>
      <c r="L39" s="138" t="s">
        <v>225</v>
      </c>
      <c r="M39" s="139"/>
      <c r="N39" s="139"/>
      <c r="O39" s="139"/>
      <c r="P39" s="139"/>
      <c r="Q39" s="139"/>
      <c r="R39" s="139"/>
      <c r="S39" s="139"/>
      <c r="T39" s="139">
        <f t="shared" si="2"/>
        <v>0</v>
      </c>
      <c r="U39" s="126"/>
      <c r="V39" s="138" t="s">
        <v>225</v>
      </c>
      <c r="W39" s="126"/>
      <c r="X39" s="142"/>
      <c r="Y39" s="126"/>
      <c r="Z39" s="142">
        <f t="shared" si="5"/>
        <v>0</v>
      </c>
      <c r="AA39" s="126"/>
      <c r="AB39" s="142"/>
      <c r="AC39" s="142"/>
      <c r="AD39" s="150"/>
      <c r="AE39" s="142"/>
      <c r="AF39" s="150"/>
    </row>
    <row r="40" spans="1:32" s="63" customFormat="1" ht="54.95" customHeight="1" x14ac:dyDescent="0.85">
      <c r="A40" s="126" t="s">
        <v>226</v>
      </c>
      <c r="B40" s="139">
        <f>CNT!N199</f>
        <v>2797645.5</v>
      </c>
      <c r="C40" s="139">
        <v>0</v>
      </c>
      <c r="D40" s="139">
        <f>DEP!K29</f>
        <v>78047.460000000006</v>
      </c>
      <c r="E40" s="139">
        <v>0</v>
      </c>
      <c r="F40" s="139">
        <f>'BSC (Dome)'!K24+'BSC (Dome)'!K31</f>
        <v>228303.50999999998</v>
      </c>
      <c r="G40" s="139">
        <v>0</v>
      </c>
      <c r="H40" s="139">
        <v>0</v>
      </c>
      <c r="I40" s="139">
        <f t="shared" si="0"/>
        <v>3103996.4699999997</v>
      </c>
      <c r="J40" s="140">
        <f>I40/$I$49</f>
        <v>0.7959906556437597</v>
      </c>
      <c r="K40" s="140"/>
      <c r="L40" s="127" t="s">
        <v>226</v>
      </c>
      <c r="M40" s="139">
        <f>2894234.42</f>
        <v>2894234.42</v>
      </c>
      <c r="N40" s="139">
        <v>0</v>
      </c>
      <c r="O40" s="139">
        <v>112094.25</v>
      </c>
      <c r="P40" s="139">
        <v>0</v>
      </c>
      <c r="Q40" s="139">
        <f>181500.67+46238</f>
        <v>227738.67</v>
      </c>
      <c r="R40" s="139">
        <v>0</v>
      </c>
      <c r="S40" s="139">
        <v>0</v>
      </c>
      <c r="T40" s="139">
        <f t="shared" si="2"/>
        <v>3234067.34</v>
      </c>
      <c r="U40" s="141">
        <f>T40/$T$49</f>
        <v>0.77143876110526055</v>
      </c>
      <c r="V40" s="127" t="s">
        <v>226</v>
      </c>
      <c r="W40" s="141"/>
      <c r="X40" s="142">
        <f t="shared" si="4"/>
        <v>3103996.4699999997</v>
      </c>
      <c r="Y40" s="141"/>
      <c r="Z40" s="142">
        <f t="shared" si="5"/>
        <v>3234067.34</v>
      </c>
      <c r="AA40" s="141"/>
      <c r="AB40" s="142">
        <f>I40-T40</f>
        <v>-130070.87000000011</v>
      </c>
      <c r="AC40" s="142"/>
      <c r="AD40" s="141">
        <f>I40/T40</f>
        <v>0.95978102608092253</v>
      </c>
      <c r="AE40" s="142"/>
      <c r="AF40" s="141">
        <f t="shared" si="8"/>
        <v>-4.0218973919077472E-2</v>
      </c>
    </row>
    <row r="41" spans="1:32" s="63" customFormat="1" ht="54.95" customHeight="1" x14ac:dyDescent="0.85">
      <c r="A41" s="126" t="s">
        <v>227</v>
      </c>
      <c r="B41" s="139">
        <f>CNT!N201</f>
        <v>26017</v>
      </c>
      <c r="C41" s="139">
        <v>0</v>
      </c>
      <c r="D41" s="139">
        <v>0</v>
      </c>
      <c r="E41" s="139">
        <v>0</v>
      </c>
      <c r="F41" s="139">
        <v>0</v>
      </c>
      <c r="G41" s="139">
        <v>0</v>
      </c>
      <c r="H41" s="139">
        <v>0</v>
      </c>
      <c r="I41" s="139">
        <f t="shared" si="0"/>
        <v>26017</v>
      </c>
      <c r="J41" s="140">
        <f t="shared" ref="J41:J48" si="19">I41/$I$49</f>
        <v>6.6718145745454727E-3</v>
      </c>
      <c r="K41" s="140"/>
      <c r="L41" s="127" t="s">
        <v>227</v>
      </c>
      <c r="M41" s="139">
        <v>35293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f t="shared" si="2"/>
        <v>35293</v>
      </c>
      <c r="U41" s="141">
        <f t="shared" ref="U41:U48" si="20">T41/$T$49</f>
        <v>8.4186213004729706E-3</v>
      </c>
      <c r="V41" s="127" t="s">
        <v>227</v>
      </c>
      <c r="W41" s="141"/>
      <c r="X41" s="142">
        <f t="shared" si="4"/>
        <v>26017</v>
      </c>
      <c r="Y41" s="141"/>
      <c r="Z41" s="142">
        <f t="shared" si="5"/>
        <v>35293</v>
      </c>
      <c r="AA41" s="141"/>
      <c r="AB41" s="142">
        <f t="shared" ref="AB41:AB48" si="21">I41-T41</f>
        <v>-9276</v>
      </c>
      <c r="AC41" s="142"/>
      <c r="AD41" s="141">
        <f t="shared" ref="AD41:AD48" si="22">I41/T41</f>
        <v>0.73717167710310827</v>
      </c>
      <c r="AE41" s="142"/>
      <c r="AF41" s="141">
        <f t="shared" si="8"/>
        <v>-0.26282832289689173</v>
      </c>
    </row>
    <row r="42" spans="1:32" s="63" customFormat="1" ht="54.95" customHeight="1" x14ac:dyDescent="0.85">
      <c r="A42" s="126" t="s">
        <v>228</v>
      </c>
      <c r="B42" s="139">
        <f>CNT!N202</f>
        <v>234558.68999999997</v>
      </c>
      <c r="C42" s="139">
        <v>0</v>
      </c>
      <c r="D42" s="139">
        <f>DEP!K30</f>
        <v>8076.880000000001</v>
      </c>
      <c r="E42" s="139">
        <v>0</v>
      </c>
      <c r="F42" s="139">
        <f>'BSC (Dome)'!K25</f>
        <v>15186.350000000002</v>
      </c>
      <c r="G42" s="139">
        <v>0</v>
      </c>
      <c r="H42" s="139">
        <v>0</v>
      </c>
      <c r="I42" s="139">
        <f t="shared" si="0"/>
        <v>257821.91999999998</v>
      </c>
      <c r="J42" s="140">
        <f t="shared" si="19"/>
        <v>6.6116002747945449E-2</v>
      </c>
      <c r="K42" s="140"/>
      <c r="L42" s="127" t="s">
        <v>228</v>
      </c>
      <c r="M42" s="139">
        <v>236561.39</v>
      </c>
      <c r="N42" s="139">
        <v>0</v>
      </c>
      <c r="O42" s="139">
        <v>9171.99</v>
      </c>
      <c r="P42" s="139">
        <v>0</v>
      </c>
      <c r="Q42" s="139">
        <v>15307.81</v>
      </c>
      <c r="R42" s="139">
        <v>0</v>
      </c>
      <c r="S42" s="139">
        <v>0</v>
      </c>
      <c r="T42" s="139">
        <f t="shared" si="2"/>
        <v>261041.19</v>
      </c>
      <c r="U42" s="141">
        <f t="shared" si="20"/>
        <v>6.2267501273193318E-2</v>
      </c>
      <c r="V42" s="127" t="s">
        <v>228</v>
      </c>
      <c r="W42" s="141"/>
      <c r="X42" s="142">
        <f t="shared" si="4"/>
        <v>257821.91999999998</v>
      </c>
      <c r="Y42" s="141"/>
      <c r="Z42" s="142">
        <f t="shared" si="5"/>
        <v>261041.19</v>
      </c>
      <c r="AA42" s="141"/>
      <c r="AB42" s="142">
        <f t="shared" si="21"/>
        <v>-3219.2700000000186</v>
      </c>
      <c r="AC42" s="142"/>
      <c r="AD42" s="141">
        <f t="shared" si="22"/>
        <v>0.98766757843848318</v>
      </c>
      <c r="AE42" s="142"/>
      <c r="AF42" s="141">
        <f t="shared" si="8"/>
        <v>-1.2332421561516815E-2</v>
      </c>
    </row>
    <row r="43" spans="1:32" s="63" customFormat="1" ht="54.95" customHeight="1" x14ac:dyDescent="0.85">
      <c r="A43" s="126" t="s">
        <v>229</v>
      </c>
      <c r="B43" s="139">
        <f>CNT!N203</f>
        <v>241692.67</v>
      </c>
      <c r="C43" s="139">
        <v>0</v>
      </c>
      <c r="D43" s="139">
        <f>DEP!K31</f>
        <v>28097.99</v>
      </c>
      <c r="E43" s="139">
        <v>0</v>
      </c>
      <c r="F43" s="139">
        <f>'BSC (Dome)'!K26</f>
        <v>44795.31</v>
      </c>
      <c r="G43" s="139">
        <v>0</v>
      </c>
      <c r="H43" s="139">
        <v>0</v>
      </c>
      <c r="I43" s="139">
        <f t="shared" si="0"/>
        <v>314585.97000000003</v>
      </c>
      <c r="J43" s="140">
        <f t="shared" si="19"/>
        <v>8.0672608663317255E-2</v>
      </c>
      <c r="K43" s="140"/>
      <c r="L43" s="127" t="s">
        <v>229</v>
      </c>
      <c r="M43" s="139">
        <v>324070.93</v>
      </c>
      <c r="N43" s="139">
        <v>0</v>
      </c>
      <c r="O43" s="139">
        <v>39220.35</v>
      </c>
      <c r="P43" s="139">
        <v>0</v>
      </c>
      <c r="Q43" s="139">
        <v>43916.33</v>
      </c>
      <c r="R43" s="139">
        <v>0</v>
      </c>
      <c r="S43" s="139">
        <v>0</v>
      </c>
      <c r="T43" s="139">
        <f t="shared" si="2"/>
        <v>407207.61</v>
      </c>
      <c r="U43" s="141">
        <f t="shared" si="20"/>
        <v>9.7133331234541986E-2</v>
      </c>
      <c r="V43" s="127" t="s">
        <v>229</v>
      </c>
      <c r="W43" s="141"/>
      <c r="X43" s="142">
        <f t="shared" si="4"/>
        <v>314585.97000000003</v>
      </c>
      <c r="Y43" s="141"/>
      <c r="Z43" s="142">
        <f t="shared" si="5"/>
        <v>407207.61</v>
      </c>
      <c r="AA43" s="141"/>
      <c r="AB43" s="142">
        <f t="shared" si="21"/>
        <v>-92621.639999999956</v>
      </c>
      <c r="AC43" s="142"/>
      <c r="AD43" s="141">
        <f t="shared" si="22"/>
        <v>0.77254442764466025</v>
      </c>
      <c r="AE43" s="142"/>
      <c r="AF43" s="141">
        <f t="shared" si="8"/>
        <v>-0.22745557235533975</v>
      </c>
    </row>
    <row r="44" spans="1:32" s="63" customFormat="1" ht="54.95" customHeight="1" x14ac:dyDescent="0.85">
      <c r="A44" s="126" t="s">
        <v>230</v>
      </c>
      <c r="B44" s="139">
        <f>CNT!N204</f>
        <v>36031.53</v>
      </c>
      <c r="C44" s="139">
        <v>0</v>
      </c>
      <c r="D44" s="139">
        <f>DEP!K32</f>
        <v>1952.82</v>
      </c>
      <c r="E44" s="139">
        <v>0</v>
      </c>
      <c r="F44" s="139">
        <f>'BSC (Dome)'!K27</f>
        <v>2753.04</v>
      </c>
      <c r="G44" s="139">
        <v>0</v>
      </c>
      <c r="H44" s="139">
        <v>0</v>
      </c>
      <c r="I44" s="139">
        <f t="shared" si="0"/>
        <v>40737.39</v>
      </c>
      <c r="J44" s="140">
        <f t="shared" si="19"/>
        <v>1.0446719926622708E-2</v>
      </c>
      <c r="K44" s="140"/>
      <c r="L44" s="127" t="s">
        <v>230</v>
      </c>
      <c r="M44" s="139">
        <v>50484.15</v>
      </c>
      <c r="N44" s="139">
        <v>0</v>
      </c>
      <c r="O44" s="139">
        <v>4116.4799999999996</v>
      </c>
      <c r="P44" s="139">
        <v>0</v>
      </c>
      <c r="Q44" s="139">
        <v>0</v>
      </c>
      <c r="R44" s="139">
        <v>0</v>
      </c>
      <c r="S44" s="139">
        <v>0</v>
      </c>
      <c r="T44" s="139">
        <f t="shared" si="2"/>
        <v>54600.630000000005</v>
      </c>
      <c r="U44" s="141">
        <f t="shared" si="20"/>
        <v>1.3024169856267349E-2</v>
      </c>
      <c r="V44" s="127" t="s">
        <v>230</v>
      </c>
      <c r="W44" s="141"/>
      <c r="X44" s="142">
        <f t="shared" si="4"/>
        <v>40737.39</v>
      </c>
      <c r="Y44" s="141"/>
      <c r="Z44" s="142">
        <f t="shared" si="5"/>
        <v>54600.630000000005</v>
      </c>
      <c r="AA44" s="141"/>
      <c r="AB44" s="142">
        <f t="shared" si="21"/>
        <v>-13863.240000000005</v>
      </c>
      <c r="AC44" s="142"/>
      <c r="AD44" s="141">
        <f t="shared" si="22"/>
        <v>0.74609743513948457</v>
      </c>
      <c r="AE44" s="142"/>
      <c r="AF44" s="141">
        <f t="shared" si="8"/>
        <v>-0.25390256486051543</v>
      </c>
    </row>
    <row r="45" spans="1:32" s="63" customFormat="1" ht="54.95" customHeight="1" x14ac:dyDescent="0.85">
      <c r="A45" s="126" t="s">
        <v>231</v>
      </c>
      <c r="B45" s="139">
        <f>CNT!N205</f>
        <v>80235</v>
      </c>
      <c r="C45" s="139">
        <v>0</v>
      </c>
      <c r="D45" s="139">
        <f>DEP!K33</f>
        <v>2800</v>
      </c>
      <c r="E45" s="139">
        <v>0</v>
      </c>
      <c r="F45" s="139">
        <f>'BSC (Dome)'!K29</f>
        <v>4250</v>
      </c>
      <c r="G45" s="139">
        <v>0</v>
      </c>
      <c r="H45" s="139">
        <v>0</v>
      </c>
      <c r="I45" s="139">
        <f t="shared" si="0"/>
        <v>87285</v>
      </c>
      <c r="J45" s="140">
        <f t="shared" si="19"/>
        <v>2.2383416041019392E-2</v>
      </c>
      <c r="K45" s="140"/>
      <c r="L45" s="127" t="s">
        <v>231</v>
      </c>
      <c r="M45" s="139">
        <v>103212</v>
      </c>
      <c r="N45" s="139">
        <v>0</v>
      </c>
      <c r="O45" s="139">
        <v>4095</v>
      </c>
      <c r="P45" s="139">
        <v>0</v>
      </c>
      <c r="Q45" s="139">
        <v>20907</v>
      </c>
      <c r="R45" s="139">
        <v>0</v>
      </c>
      <c r="S45" s="139">
        <v>0</v>
      </c>
      <c r="T45" s="139">
        <f t="shared" si="2"/>
        <v>128214</v>
      </c>
      <c r="U45" s="141">
        <f t="shared" si="20"/>
        <v>3.0583546635843978E-2</v>
      </c>
      <c r="V45" s="127" t="s">
        <v>231</v>
      </c>
      <c r="W45" s="141"/>
      <c r="X45" s="142">
        <f t="shared" si="4"/>
        <v>87285</v>
      </c>
      <c r="Y45" s="141"/>
      <c r="Z45" s="142">
        <f t="shared" si="5"/>
        <v>128214</v>
      </c>
      <c r="AA45" s="141"/>
      <c r="AB45" s="142">
        <f t="shared" si="21"/>
        <v>-40929</v>
      </c>
      <c r="AC45" s="142"/>
      <c r="AD45" s="141">
        <f t="shared" si="22"/>
        <v>0.6807758903083907</v>
      </c>
      <c r="AE45" s="142"/>
      <c r="AF45" s="141">
        <f t="shared" si="8"/>
        <v>-0.3192241096916093</v>
      </c>
    </row>
    <row r="46" spans="1:32" s="63" customFormat="1" ht="54.95" customHeight="1" x14ac:dyDescent="0.85">
      <c r="A46" s="126" t="s">
        <v>308</v>
      </c>
      <c r="B46" s="139">
        <f>CNT!N207+CNT!N206</f>
        <v>12577.039999999999</v>
      </c>
      <c r="C46" s="139">
        <v>0</v>
      </c>
      <c r="D46" s="139">
        <f>DEP!K34</f>
        <v>1481.01</v>
      </c>
      <c r="E46" s="139">
        <v>0</v>
      </c>
      <c r="F46" s="139">
        <f>'BSC (Dome)'!K28+'BSC (Dome)'!K30</f>
        <v>2646.5699999999997</v>
      </c>
      <c r="G46" s="139">
        <v>0</v>
      </c>
      <c r="H46" s="139">
        <v>0</v>
      </c>
      <c r="I46" s="139">
        <f t="shared" si="0"/>
        <v>16704.62</v>
      </c>
      <c r="J46" s="140">
        <f t="shared" si="19"/>
        <v>4.2837424444879804E-3</v>
      </c>
      <c r="K46" s="140"/>
      <c r="L46" s="127" t="s">
        <v>308</v>
      </c>
      <c r="M46" s="139">
        <f>4612.45+21275.67</f>
        <v>25888.12</v>
      </c>
      <c r="N46" s="139">
        <v>0</v>
      </c>
      <c r="O46" s="139">
        <v>103.09</v>
      </c>
      <c r="P46" s="139">
        <v>0</v>
      </c>
      <c r="Q46" s="139">
        <v>0</v>
      </c>
      <c r="R46" s="139">
        <v>0</v>
      </c>
      <c r="S46" s="139">
        <v>0</v>
      </c>
      <c r="T46" s="139">
        <f t="shared" si="2"/>
        <v>25991.21</v>
      </c>
      <c r="U46" s="141">
        <f t="shared" si="20"/>
        <v>6.1998173612633116E-3</v>
      </c>
      <c r="V46" s="127" t="s">
        <v>308</v>
      </c>
      <c r="W46" s="141"/>
      <c r="X46" s="142">
        <f t="shared" si="4"/>
        <v>16704.62</v>
      </c>
      <c r="Y46" s="141"/>
      <c r="Z46" s="142">
        <f t="shared" si="5"/>
        <v>25991.21</v>
      </c>
      <c r="AA46" s="141"/>
      <c r="AB46" s="142">
        <f t="shared" si="21"/>
        <v>-9286.59</v>
      </c>
      <c r="AC46" s="142"/>
      <c r="AD46" s="141">
        <f t="shared" si="22"/>
        <v>0.64270266755568517</v>
      </c>
      <c r="AE46" s="142"/>
      <c r="AF46" s="141">
        <f t="shared" si="8"/>
        <v>-0.35729733244431483</v>
      </c>
    </row>
    <row r="47" spans="1:32" s="63" customFormat="1" ht="54.95" customHeight="1" x14ac:dyDescent="0.85">
      <c r="A47" s="126" t="s">
        <v>232</v>
      </c>
      <c r="B47" s="139">
        <f>CNT!N208+CNT!N209</f>
        <v>6741.74</v>
      </c>
      <c r="C47" s="139">
        <v>0</v>
      </c>
      <c r="D47" s="139">
        <v>0</v>
      </c>
      <c r="E47" s="139">
        <v>0</v>
      </c>
      <c r="F47" s="139">
        <v>0</v>
      </c>
      <c r="G47" s="139">
        <v>0</v>
      </c>
      <c r="H47" s="139">
        <v>0</v>
      </c>
      <c r="I47" s="139">
        <f t="shared" si="0"/>
        <v>6741.74</v>
      </c>
      <c r="J47" s="140">
        <f t="shared" si="19"/>
        <v>1.7288557170233383E-3</v>
      </c>
      <c r="K47" s="140"/>
      <c r="L47" s="127" t="s">
        <v>232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f t="shared" si="2"/>
        <v>0</v>
      </c>
      <c r="U47" s="141">
        <f t="shared" si="20"/>
        <v>0</v>
      </c>
      <c r="V47" s="127" t="s">
        <v>232</v>
      </c>
      <c r="W47" s="141"/>
      <c r="X47" s="142">
        <f t="shared" si="4"/>
        <v>6741.74</v>
      </c>
      <c r="Y47" s="141"/>
      <c r="Z47" s="142">
        <f t="shared" si="5"/>
        <v>0</v>
      </c>
      <c r="AA47" s="141"/>
      <c r="AB47" s="142">
        <f t="shared" si="21"/>
        <v>6741.74</v>
      </c>
      <c r="AC47" s="142"/>
      <c r="AD47" s="141" t="e">
        <f t="shared" si="22"/>
        <v>#DIV/0!</v>
      </c>
      <c r="AE47" s="142"/>
      <c r="AF47" s="141" t="e">
        <f t="shared" si="8"/>
        <v>#DIV/0!</v>
      </c>
    </row>
    <row r="48" spans="1:32" s="63" customFormat="1" ht="54.95" customHeight="1" x14ac:dyDescent="0.85">
      <c r="A48" s="126" t="s">
        <v>247</v>
      </c>
      <c r="B48" s="139">
        <f>CNT!N234</f>
        <v>45648.72</v>
      </c>
      <c r="C48" s="139">
        <v>0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f t="shared" si="0"/>
        <v>45648.72</v>
      </c>
      <c r="J48" s="140">
        <f t="shared" si="19"/>
        <v>1.1706184241278603E-2</v>
      </c>
      <c r="K48" s="140"/>
      <c r="L48" s="127" t="s">
        <v>247</v>
      </c>
      <c r="M48" s="139">
        <v>45839.16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f t="shared" si="2"/>
        <v>45839.16</v>
      </c>
      <c r="U48" s="141">
        <f t="shared" si="20"/>
        <v>1.0934251233156394E-2</v>
      </c>
      <c r="V48" s="127" t="s">
        <v>247</v>
      </c>
      <c r="W48" s="141"/>
      <c r="X48" s="142">
        <f t="shared" si="4"/>
        <v>45648.72</v>
      </c>
      <c r="Y48" s="141"/>
      <c r="Z48" s="142">
        <f t="shared" si="5"/>
        <v>45839.16</v>
      </c>
      <c r="AA48" s="141"/>
      <c r="AB48" s="142">
        <f t="shared" si="21"/>
        <v>-190.44000000000233</v>
      </c>
      <c r="AC48" s="142"/>
      <c r="AD48" s="141">
        <f t="shared" si="22"/>
        <v>0.99584547360815512</v>
      </c>
      <c r="AE48" s="142"/>
      <c r="AF48" s="141">
        <f t="shared" si="8"/>
        <v>-4.1545263918448816E-3</v>
      </c>
    </row>
    <row r="49" spans="1:32" s="63" customFormat="1" ht="54.95" customHeight="1" x14ac:dyDescent="0.85">
      <c r="A49" s="137" t="s">
        <v>233</v>
      </c>
      <c r="B49" s="144">
        <f t="shared" ref="B49:H49" si="23">SUM(B40:B48)</f>
        <v>3481147.89</v>
      </c>
      <c r="C49" s="144">
        <f t="shared" si="23"/>
        <v>0</v>
      </c>
      <c r="D49" s="144">
        <f t="shared" si="23"/>
        <v>120456.16000000002</v>
      </c>
      <c r="E49" s="144">
        <f t="shared" si="23"/>
        <v>0</v>
      </c>
      <c r="F49" s="144">
        <f>SUM(F40:F48)</f>
        <v>297934.77999999997</v>
      </c>
      <c r="G49" s="144">
        <f t="shared" si="23"/>
        <v>0</v>
      </c>
      <c r="H49" s="144">
        <f t="shared" si="23"/>
        <v>0</v>
      </c>
      <c r="I49" s="144">
        <f t="shared" si="0"/>
        <v>3899538.83</v>
      </c>
      <c r="J49" s="145">
        <f>SUM(J40:J48)</f>
        <v>0.99999999999999978</v>
      </c>
      <c r="K49" s="146"/>
      <c r="L49" s="138" t="s">
        <v>233</v>
      </c>
      <c r="M49" s="144">
        <f t="shared" ref="M49:S49" si="24">SUM(M40:M48)</f>
        <v>3715583.1700000004</v>
      </c>
      <c r="N49" s="144">
        <f t="shared" si="24"/>
        <v>0</v>
      </c>
      <c r="O49" s="144">
        <f t="shared" si="24"/>
        <v>168801.16</v>
      </c>
      <c r="P49" s="144">
        <f t="shared" si="24"/>
        <v>0</v>
      </c>
      <c r="Q49" s="144">
        <f t="shared" si="24"/>
        <v>307869.81</v>
      </c>
      <c r="R49" s="144">
        <f>SUM(R40:R48)</f>
        <v>0</v>
      </c>
      <c r="S49" s="144">
        <f t="shared" si="24"/>
        <v>0</v>
      </c>
      <c r="T49" s="144">
        <f t="shared" si="2"/>
        <v>4192254.1400000006</v>
      </c>
      <c r="U49" s="147">
        <f>SUM(U40:U48)</f>
        <v>0.99999999999999989</v>
      </c>
      <c r="V49" s="138" t="s">
        <v>233</v>
      </c>
      <c r="W49" s="148"/>
      <c r="X49" s="149">
        <f t="shared" si="4"/>
        <v>3899538.83</v>
      </c>
      <c r="Y49" s="148"/>
      <c r="Z49" s="149">
        <f t="shared" si="5"/>
        <v>4192254.1400000006</v>
      </c>
      <c r="AA49" s="148"/>
      <c r="AB49" s="149">
        <f>I49-T49</f>
        <v>-292715.31000000052</v>
      </c>
      <c r="AC49" s="149"/>
      <c r="AD49" s="147">
        <f>I49/T49</f>
        <v>0.93017710753575633</v>
      </c>
      <c r="AE49" s="149"/>
      <c r="AF49" s="147">
        <f t="shared" si="8"/>
        <v>-6.9822892464243669E-2</v>
      </c>
    </row>
    <row r="50" spans="1:32" s="63" customFormat="1" ht="54.95" customHeight="1" x14ac:dyDescent="0.85">
      <c r="A50" s="126"/>
      <c r="B50" s="139"/>
      <c r="C50" s="139"/>
      <c r="D50" s="139"/>
      <c r="E50" s="139"/>
      <c r="F50" s="139"/>
      <c r="G50" s="139"/>
      <c r="H50" s="139"/>
      <c r="I50" s="139"/>
      <c r="J50" s="127"/>
      <c r="K50" s="127"/>
      <c r="L50" s="127"/>
      <c r="M50" s="139"/>
      <c r="N50" s="139"/>
      <c r="O50" s="139"/>
      <c r="P50" s="139"/>
      <c r="Q50" s="139"/>
      <c r="R50" s="139"/>
      <c r="S50" s="139"/>
      <c r="T50" s="139"/>
      <c r="U50" s="126"/>
      <c r="V50" s="127"/>
      <c r="W50" s="126"/>
      <c r="X50" s="142"/>
      <c r="Y50" s="126"/>
      <c r="Z50" s="142">
        <f t="shared" si="5"/>
        <v>0</v>
      </c>
      <c r="AA50" s="126"/>
      <c r="AB50" s="142"/>
      <c r="AC50" s="142"/>
      <c r="AD50" s="150"/>
      <c r="AE50" s="142"/>
      <c r="AF50" s="150"/>
    </row>
    <row r="51" spans="1:32" s="63" customFormat="1" ht="54.95" customHeight="1" x14ac:dyDescent="0.85">
      <c r="A51" s="137" t="s">
        <v>234</v>
      </c>
      <c r="B51" s="139"/>
      <c r="C51" s="139"/>
      <c r="D51" s="139"/>
      <c r="E51" s="139"/>
      <c r="F51" s="139"/>
      <c r="G51" s="139"/>
      <c r="H51" s="139"/>
      <c r="I51" s="139"/>
      <c r="J51" s="127"/>
      <c r="K51" s="127"/>
      <c r="L51" s="138" t="s">
        <v>234</v>
      </c>
      <c r="M51" s="139"/>
      <c r="N51" s="139"/>
      <c r="O51" s="139"/>
      <c r="P51" s="139"/>
      <c r="Q51" s="139"/>
      <c r="R51" s="139"/>
      <c r="S51" s="139"/>
      <c r="T51" s="139"/>
      <c r="U51" s="126"/>
      <c r="V51" s="138" t="s">
        <v>234</v>
      </c>
      <c r="W51" s="126"/>
      <c r="X51" s="142"/>
      <c r="Y51" s="126"/>
      <c r="Z51" s="142">
        <f t="shared" si="5"/>
        <v>0</v>
      </c>
      <c r="AA51" s="126"/>
      <c r="AB51" s="142"/>
      <c r="AC51" s="142"/>
      <c r="AD51" s="150"/>
      <c r="AE51" s="142"/>
      <c r="AF51" s="150"/>
    </row>
    <row r="52" spans="1:32" s="63" customFormat="1" ht="54.95" customHeight="1" x14ac:dyDescent="0.85">
      <c r="A52" s="126" t="s">
        <v>235</v>
      </c>
      <c r="B52" s="139">
        <f>CNT!N212+CNT!N213+CNT!N230</f>
        <v>387800</v>
      </c>
      <c r="C52" s="139">
        <v>0</v>
      </c>
      <c r="D52" s="139">
        <f>DEP!K38</f>
        <v>337500</v>
      </c>
      <c r="E52" s="139">
        <v>0</v>
      </c>
      <c r="F52" s="139">
        <f>'BSC (Dome)'!K35</f>
        <v>9000</v>
      </c>
      <c r="G52" s="139">
        <v>0</v>
      </c>
      <c r="H52" s="139">
        <v>0</v>
      </c>
      <c r="I52" s="139">
        <f t="shared" ref="I52:I74" si="25">SUM(B52:H52)</f>
        <v>734300</v>
      </c>
      <c r="J52" s="140">
        <f t="shared" ref="J52:J73" si="26">I52/$I$74</f>
        <v>0.22135869120587071</v>
      </c>
      <c r="K52" s="140"/>
      <c r="L52" s="127" t="s">
        <v>235</v>
      </c>
      <c r="M52" s="139">
        <v>265300</v>
      </c>
      <c r="N52" s="139">
        <v>0</v>
      </c>
      <c r="O52" s="139">
        <v>225000</v>
      </c>
      <c r="P52" s="139">
        <v>0</v>
      </c>
      <c r="Q52" s="139">
        <v>9000</v>
      </c>
      <c r="R52" s="139">
        <v>0</v>
      </c>
      <c r="S52" s="139">
        <v>0</v>
      </c>
      <c r="T52" s="139">
        <f t="shared" si="2"/>
        <v>499300</v>
      </c>
      <c r="U52" s="141">
        <f t="shared" ref="U52:U69" si="27">T52/$T$74</f>
        <v>0.24266270928322159</v>
      </c>
      <c r="V52" s="127" t="s">
        <v>235</v>
      </c>
      <c r="W52" s="141"/>
      <c r="X52" s="142">
        <f t="shared" si="4"/>
        <v>734300</v>
      </c>
      <c r="Y52" s="141"/>
      <c r="Z52" s="142">
        <f t="shared" si="5"/>
        <v>499300</v>
      </c>
      <c r="AA52" s="141"/>
      <c r="AB52" s="142">
        <f>I52-T52</f>
        <v>235000</v>
      </c>
      <c r="AC52" s="142"/>
      <c r="AD52" s="141">
        <f>I52/T52</f>
        <v>1.4706589224914881</v>
      </c>
      <c r="AE52" s="142"/>
      <c r="AF52" s="141">
        <f t="shared" si="8"/>
        <v>0.47065892249148811</v>
      </c>
    </row>
    <row r="53" spans="1:32" s="63" customFormat="1" ht="54.95" customHeight="1" x14ac:dyDescent="0.85">
      <c r="A53" s="126" t="s">
        <v>236</v>
      </c>
      <c r="B53" s="139">
        <f>CNT!N214</f>
        <v>893.98000000000138</v>
      </c>
      <c r="C53" s="139">
        <v>0</v>
      </c>
      <c r="D53" s="139">
        <f>DEP!K39</f>
        <v>62173.06</v>
      </c>
      <c r="E53" s="139">
        <v>0</v>
      </c>
      <c r="F53" s="139">
        <f>'BSC (Dome)'!K37</f>
        <v>5384.5</v>
      </c>
      <c r="G53" s="139">
        <v>0</v>
      </c>
      <c r="H53" s="139">
        <v>0</v>
      </c>
      <c r="I53" s="139">
        <f t="shared" si="25"/>
        <v>68451.540000000008</v>
      </c>
      <c r="J53" s="140">
        <f t="shared" si="26"/>
        <v>2.0635085531017717E-2</v>
      </c>
      <c r="K53" s="140"/>
      <c r="L53" s="127" t="s">
        <v>236</v>
      </c>
      <c r="M53" s="139">
        <v>68157.75</v>
      </c>
      <c r="N53" s="139">
        <v>0</v>
      </c>
      <c r="O53" s="139">
        <v>52131.88</v>
      </c>
      <c r="P53" s="139">
        <v>0</v>
      </c>
      <c r="Q53" s="139">
        <v>35511.370000000003</v>
      </c>
      <c r="R53" s="139">
        <v>0</v>
      </c>
      <c r="S53" s="139">
        <v>0</v>
      </c>
      <c r="T53" s="139">
        <f t="shared" si="2"/>
        <v>155801</v>
      </c>
      <c r="U53" s="141">
        <f t="shared" si="27"/>
        <v>7.5720193809403577E-2</v>
      </c>
      <c r="V53" s="127" t="s">
        <v>236</v>
      </c>
      <c r="W53" s="141"/>
      <c r="X53" s="142">
        <f t="shared" si="4"/>
        <v>68451.540000000008</v>
      </c>
      <c r="Y53" s="141"/>
      <c r="Z53" s="142">
        <f t="shared" si="5"/>
        <v>155801</v>
      </c>
      <c r="AA53" s="141"/>
      <c r="AB53" s="142">
        <f t="shared" ref="AB53:AB73" si="28">I53-T53</f>
        <v>-87349.459999999992</v>
      </c>
      <c r="AC53" s="142"/>
      <c r="AD53" s="141">
        <f t="shared" ref="AD53:AD71" si="29">I53/T53</f>
        <v>0.43935237899628377</v>
      </c>
      <c r="AE53" s="142"/>
      <c r="AF53" s="141">
        <f t="shared" si="8"/>
        <v>-0.56064762100371623</v>
      </c>
    </row>
    <row r="54" spans="1:32" s="63" customFormat="1" ht="54.95" customHeight="1" x14ac:dyDescent="0.85">
      <c r="A54" s="126" t="s">
        <v>237</v>
      </c>
      <c r="B54" s="139">
        <f>CNT!N215</f>
        <v>8811.7099999999991</v>
      </c>
      <c r="C54" s="139">
        <v>0</v>
      </c>
      <c r="D54" s="139">
        <v>0</v>
      </c>
      <c r="E54" s="139">
        <v>0</v>
      </c>
      <c r="F54" s="139">
        <f>'BSC (Dome)'!K36</f>
        <v>60025.37</v>
      </c>
      <c r="G54" s="139">
        <v>0</v>
      </c>
      <c r="H54" s="139">
        <v>0</v>
      </c>
      <c r="I54" s="139">
        <f t="shared" si="25"/>
        <v>68837.08</v>
      </c>
      <c r="J54" s="140">
        <f t="shared" si="26"/>
        <v>2.0751308641200897E-2</v>
      </c>
      <c r="K54" s="140"/>
      <c r="L54" s="127" t="s">
        <v>237</v>
      </c>
      <c r="M54" s="139">
        <v>7035.48</v>
      </c>
      <c r="N54" s="139">
        <v>0</v>
      </c>
      <c r="O54" s="139">
        <v>0</v>
      </c>
      <c r="P54" s="139">
        <v>0</v>
      </c>
      <c r="Q54" s="139">
        <v>69140.490000000005</v>
      </c>
      <c r="R54" s="139">
        <v>0</v>
      </c>
      <c r="S54" s="139">
        <v>0</v>
      </c>
      <c r="T54" s="139">
        <f t="shared" si="2"/>
        <v>76175.97</v>
      </c>
      <c r="U54" s="141">
        <f t="shared" si="27"/>
        <v>3.7021965276341696E-2</v>
      </c>
      <c r="V54" s="127" t="s">
        <v>237</v>
      </c>
      <c r="W54" s="141"/>
      <c r="X54" s="142">
        <f t="shared" si="4"/>
        <v>68837.08</v>
      </c>
      <c r="Y54" s="141"/>
      <c r="Z54" s="142">
        <f t="shared" si="5"/>
        <v>76175.97</v>
      </c>
      <c r="AA54" s="141"/>
      <c r="AB54" s="142">
        <f t="shared" si="28"/>
        <v>-7338.8899999999994</v>
      </c>
      <c r="AC54" s="142"/>
      <c r="AD54" s="141">
        <f t="shared" si="29"/>
        <v>0.90365872597355834</v>
      </c>
      <c r="AE54" s="142"/>
      <c r="AF54" s="141">
        <f t="shared" si="8"/>
        <v>-9.6341274026441659E-2</v>
      </c>
    </row>
    <row r="55" spans="1:32" s="63" customFormat="1" ht="54.95" customHeight="1" x14ac:dyDescent="0.85">
      <c r="A55" s="126" t="s">
        <v>338</v>
      </c>
      <c r="B55" s="139">
        <f>CNT!N216</f>
        <v>579.03</v>
      </c>
      <c r="C55" s="139">
        <v>0</v>
      </c>
      <c r="D55" s="139">
        <v>0</v>
      </c>
      <c r="E55" s="139">
        <v>0</v>
      </c>
      <c r="F55" s="139">
        <f>'BSC (Dome)'!K38</f>
        <v>2032.02</v>
      </c>
      <c r="G55" s="139">
        <v>0</v>
      </c>
      <c r="H55" s="139">
        <v>0</v>
      </c>
      <c r="I55" s="139">
        <f t="shared" si="25"/>
        <v>2611.0500000000002</v>
      </c>
      <c r="J55" s="140">
        <f t="shared" si="26"/>
        <v>7.8711509011723921E-4</v>
      </c>
      <c r="K55" s="140"/>
      <c r="L55" s="127" t="s">
        <v>338</v>
      </c>
      <c r="M55" s="139">
        <v>1186.8699999999999</v>
      </c>
      <c r="N55" s="139">
        <v>0</v>
      </c>
      <c r="O55" s="139">
        <v>0</v>
      </c>
      <c r="P55" s="139">
        <v>0</v>
      </c>
      <c r="Q55" s="139">
        <v>1166.22</v>
      </c>
      <c r="R55" s="139">
        <v>0</v>
      </c>
      <c r="S55" s="139">
        <v>0</v>
      </c>
      <c r="T55" s="139">
        <f t="shared" si="2"/>
        <v>2353.09</v>
      </c>
      <c r="U55" s="141">
        <f t="shared" si="27"/>
        <v>1.1436154508056397E-3</v>
      </c>
      <c r="V55" s="127" t="s">
        <v>338</v>
      </c>
      <c r="W55" s="141"/>
      <c r="X55" s="142">
        <f t="shared" si="4"/>
        <v>2611.0500000000002</v>
      </c>
      <c r="Y55" s="141"/>
      <c r="Z55" s="142">
        <f t="shared" si="5"/>
        <v>2353.09</v>
      </c>
      <c r="AA55" s="141"/>
      <c r="AB55" s="142">
        <f t="shared" si="28"/>
        <v>257.96000000000004</v>
      </c>
      <c r="AC55" s="142"/>
      <c r="AD55" s="141">
        <f t="shared" si="29"/>
        <v>1.109626066151316</v>
      </c>
      <c r="AE55" s="142"/>
      <c r="AF55" s="141">
        <f t="shared" si="8"/>
        <v>0.10962606615131598</v>
      </c>
    </row>
    <row r="56" spans="1:32" s="63" customFormat="1" ht="54.95" customHeight="1" x14ac:dyDescent="0.85">
      <c r="A56" s="126" t="s">
        <v>291</v>
      </c>
      <c r="B56" s="139">
        <f>CNT!N217</f>
        <v>178.45</v>
      </c>
      <c r="C56" s="139">
        <v>0</v>
      </c>
      <c r="D56" s="139">
        <f>DEP!K40</f>
        <v>1350</v>
      </c>
      <c r="E56" s="139">
        <v>0</v>
      </c>
      <c r="F56" s="139">
        <f>'BSC (Dome)'!K39</f>
        <v>5749.14</v>
      </c>
      <c r="G56" s="139">
        <v>0</v>
      </c>
      <c r="H56" s="139">
        <v>0</v>
      </c>
      <c r="I56" s="139">
        <f t="shared" si="25"/>
        <v>7277.59</v>
      </c>
      <c r="J56" s="140">
        <f t="shared" si="26"/>
        <v>2.1938687151476679E-3</v>
      </c>
      <c r="K56" s="140"/>
      <c r="L56" s="127" t="s">
        <v>291</v>
      </c>
      <c r="M56" s="139">
        <v>0</v>
      </c>
      <c r="N56" s="139">
        <v>0</v>
      </c>
      <c r="O56" s="139">
        <v>1143.5</v>
      </c>
      <c r="P56" s="139">
        <v>0</v>
      </c>
      <c r="Q56" s="139">
        <v>4218.58</v>
      </c>
      <c r="R56" s="139">
        <v>0</v>
      </c>
      <c r="S56" s="139">
        <v>0</v>
      </c>
      <c r="T56" s="139">
        <f t="shared" si="2"/>
        <v>5362.08</v>
      </c>
      <c r="U56" s="141">
        <f t="shared" si="27"/>
        <v>2.6060021233594568E-3</v>
      </c>
      <c r="V56" s="127" t="s">
        <v>291</v>
      </c>
      <c r="W56" s="141"/>
      <c r="X56" s="142">
        <f t="shared" si="4"/>
        <v>7277.59</v>
      </c>
      <c r="Y56" s="141"/>
      <c r="Z56" s="142">
        <f t="shared" si="5"/>
        <v>5362.08</v>
      </c>
      <c r="AA56" s="141"/>
      <c r="AB56" s="142">
        <f t="shared" si="28"/>
        <v>1915.5100000000002</v>
      </c>
      <c r="AC56" s="142"/>
      <c r="AD56" s="141">
        <f t="shared" si="29"/>
        <v>1.3572326410646616</v>
      </c>
      <c r="AE56" s="142"/>
      <c r="AF56" s="141">
        <f t="shared" si="8"/>
        <v>0.35723264106466157</v>
      </c>
    </row>
    <row r="57" spans="1:32" s="63" customFormat="1" ht="54.95" customHeight="1" x14ac:dyDescent="0.85">
      <c r="A57" s="127" t="s">
        <v>451</v>
      </c>
      <c r="B57" s="170">
        <f>CNT!N218</f>
        <v>19715</v>
      </c>
      <c r="C57" s="139">
        <v>0</v>
      </c>
      <c r="D57" s="139">
        <f>DEP!K41</f>
        <v>19724.2</v>
      </c>
      <c r="E57" s="139">
        <v>0</v>
      </c>
      <c r="F57" s="139">
        <v>0</v>
      </c>
      <c r="G57" s="139">
        <v>0</v>
      </c>
      <c r="H57" s="139">
        <v>0</v>
      </c>
      <c r="I57" s="139">
        <f t="shared" si="25"/>
        <v>39439.199999999997</v>
      </c>
      <c r="J57" s="140">
        <f t="shared" si="26"/>
        <v>1.1889159327531765E-2</v>
      </c>
      <c r="K57" s="140"/>
      <c r="L57" s="127" t="s">
        <v>451</v>
      </c>
      <c r="M57" s="139">
        <v>9589</v>
      </c>
      <c r="N57" s="139">
        <v>0</v>
      </c>
      <c r="O57" s="139">
        <v>5293</v>
      </c>
      <c r="P57" s="139">
        <v>0</v>
      </c>
      <c r="Q57" s="139">
        <v>0</v>
      </c>
      <c r="R57" s="139">
        <v>0</v>
      </c>
      <c r="S57" s="139">
        <v>0</v>
      </c>
      <c r="T57" s="139">
        <f t="shared" si="2"/>
        <v>14882</v>
      </c>
      <c r="U57" s="141">
        <f t="shared" si="27"/>
        <v>7.2327387133044336E-3</v>
      </c>
      <c r="V57" s="127" t="s">
        <v>451</v>
      </c>
      <c r="W57" s="141"/>
      <c r="X57" s="142">
        <f t="shared" si="4"/>
        <v>39439.199999999997</v>
      </c>
      <c r="Y57" s="141"/>
      <c r="Z57" s="142">
        <f t="shared" si="5"/>
        <v>14882</v>
      </c>
      <c r="AA57" s="141"/>
      <c r="AB57" s="142">
        <f t="shared" si="28"/>
        <v>24557.199999999997</v>
      </c>
      <c r="AC57" s="142"/>
      <c r="AD57" s="141">
        <f t="shared" si="29"/>
        <v>2.6501276710119606</v>
      </c>
      <c r="AE57" s="142"/>
      <c r="AF57" s="141">
        <f t="shared" si="8"/>
        <v>1.6501276710119606</v>
      </c>
    </row>
    <row r="58" spans="1:32" s="63" customFormat="1" ht="54.95" customHeight="1" x14ac:dyDescent="0.85">
      <c r="A58" s="126" t="s">
        <v>376</v>
      </c>
      <c r="B58" s="139">
        <f>CNT!N219+CNT!N227</f>
        <v>102062.59999999999</v>
      </c>
      <c r="C58" s="139">
        <v>0</v>
      </c>
      <c r="D58" s="139">
        <f>DEP!K42</f>
        <v>26534.739999999998</v>
      </c>
      <c r="E58" s="139">
        <v>0</v>
      </c>
      <c r="F58" s="139">
        <f>'BSC (Dome)'!K41</f>
        <v>2914.58</v>
      </c>
      <c r="G58" s="139">
        <v>0</v>
      </c>
      <c r="H58" s="139">
        <v>0</v>
      </c>
      <c r="I58" s="139">
        <f t="shared" si="25"/>
        <v>131511.91999999998</v>
      </c>
      <c r="J58" s="140">
        <f t="shared" si="26"/>
        <v>3.9644976833952295E-2</v>
      </c>
      <c r="K58" s="140"/>
      <c r="L58" s="127" t="s">
        <v>238</v>
      </c>
      <c r="M58" s="139">
        <v>123797.52</v>
      </c>
      <c r="N58" s="139">
        <v>0</v>
      </c>
      <c r="O58" s="139">
        <v>0</v>
      </c>
      <c r="P58" s="139">
        <v>0</v>
      </c>
      <c r="Q58" s="139">
        <v>712.05</v>
      </c>
      <c r="R58" s="139">
        <v>0</v>
      </c>
      <c r="S58" s="139">
        <v>0</v>
      </c>
      <c r="T58" s="139">
        <f t="shared" si="2"/>
        <v>124509.57</v>
      </c>
      <c r="U58" s="141">
        <f t="shared" si="27"/>
        <v>6.0512376502881896E-2</v>
      </c>
      <c r="V58" s="127" t="s">
        <v>238</v>
      </c>
      <c r="W58" s="141"/>
      <c r="X58" s="142">
        <f t="shared" si="4"/>
        <v>131511.91999999998</v>
      </c>
      <c r="Y58" s="141"/>
      <c r="Z58" s="142">
        <f t="shared" si="5"/>
        <v>124509.57</v>
      </c>
      <c r="AA58" s="141"/>
      <c r="AB58" s="142">
        <f t="shared" si="28"/>
        <v>7002.3499999999767</v>
      </c>
      <c r="AC58" s="142"/>
      <c r="AD58" s="141">
        <f t="shared" si="29"/>
        <v>1.0562394521160099</v>
      </c>
      <c r="AE58" s="142"/>
      <c r="AF58" s="141">
        <f t="shared" si="8"/>
        <v>5.6239452116009891E-2</v>
      </c>
    </row>
    <row r="59" spans="1:32" s="63" customFormat="1" ht="54.95" customHeight="1" x14ac:dyDescent="0.85">
      <c r="A59" s="126" t="s">
        <v>377</v>
      </c>
      <c r="B59" s="139"/>
      <c r="C59" s="139">
        <f>BPM!K42</f>
        <v>2719.73</v>
      </c>
      <c r="D59" s="139">
        <v>0</v>
      </c>
      <c r="E59" s="139">
        <v>0</v>
      </c>
      <c r="F59" s="139">
        <f>'BSC (Dome)'!K42+'BSC (Dome)'!K48</f>
        <v>11135.36</v>
      </c>
      <c r="G59" s="139">
        <v>0</v>
      </c>
      <c r="H59" s="139">
        <v>0</v>
      </c>
      <c r="I59" s="139">
        <f t="shared" si="25"/>
        <v>13855.09</v>
      </c>
      <c r="J59" s="140">
        <f t="shared" si="26"/>
        <v>4.1766915279035097E-3</v>
      </c>
      <c r="K59" s="140"/>
      <c r="L59" s="127" t="s">
        <v>377</v>
      </c>
      <c r="M59" s="139">
        <v>0</v>
      </c>
      <c r="N59" s="139">
        <v>9446.11</v>
      </c>
      <c r="O59" s="139">
        <v>29252.34</v>
      </c>
      <c r="P59" s="139">
        <v>0</v>
      </c>
      <c r="Q59" s="139">
        <f>6182.53+4360.11+862.3</f>
        <v>11404.939999999999</v>
      </c>
      <c r="R59" s="139">
        <v>0</v>
      </c>
      <c r="S59" s="139">
        <v>0</v>
      </c>
      <c r="T59" s="139">
        <f t="shared" si="2"/>
        <v>50103.39</v>
      </c>
      <c r="U59" s="141">
        <f t="shared" si="27"/>
        <v>2.4350539478617809E-2</v>
      </c>
      <c r="V59" s="127" t="s">
        <v>377</v>
      </c>
      <c r="W59" s="141"/>
      <c r="X59" s="142">
        <f t="shared" si="4"/>
        <v>13855.09</v>
      </c>
      <c r="Y59" s="141"/>
      <c r="Z59" s="142">
        <f t="shared" si="5"/>
        <v>50103.39</v>
      </c>
      <c r="AA59" s="141"/>
      <c r="AB59" s="142">
        <f>I59-T59</f>
        <v>-36248.300000000003</v>
      </c>
      <c r="AC59" s="142"/>
      <c r="AD59" s="141">
        <f t="shared" si="29"/>
        <v>0.27652999128402289</v>
      </c>
      <c r="AE59" s="142"/>
      <c r="AF59" s="141">
        <f t="shared" si="8"/>
        <v>-0.72347000871597711</v>
      </c>
    </row>
    <row r="60" spans="1:32" s="63" customFormat="1" ht="54.95" customHeight="1" x14ac:dyDescent="0.85">
      <c r="A60" s="126" t="s">
        <v>240</v>
      </c>
      <c r="B60" s="139">
        <f>CNT!N220</f>
        <v>79598.200000000012</v>
      </c>
      <c r="C60" s="139">
        <v>0</v>
      </c>
      <c r="D60" s="139">
        <f>DEP!K43</f>
        <v>47875.950000000012</v>
      </c>
      <c r="E60" s="139">
        <v>0</v>
      </c>
      <c r="F60" s="139">
        <f>'BSC (Dome)'!K44</f>
        <v>486.66999999999996</v>
      </c>
      <c r="G60" s="139">
        <v>0</v>
      </c>
      <c r="H60" s="139">
        <v>0</v>
      </c>
      <c r="I60" s="139">
        <f t="shared" si="25"/>
        <v>127960.82000000002</v>
      </c>
      <c r="J60" s="140">
        <f t="shared" si="26"/>
        <v>3.8574478606604942E-2</v>
      </c>
      <c r="K60" s="140"/>
      <c r="L60" s="127" t="s">
        <v>240</v>
      </c>
      <c r="M60" s="139">
        <v>82144.95</v>
      </c>
      <c r="N60" s="139">
        <v>0</v>
      </c>
      <c r="O60" s="139">
        <v>38853</v>
      </c>
      <c r="P60" s="139">
        <v>0</v>
      </c>
      <c r="Q60" s="139">
        <v>756.98</v>
      </c>
      <c r="R60" s="139">
        <v>0</v>
      </c>
      <c r="S60" s="139">
        <v>0</v>
      </c>
      <c r="T60" s="139">
        <f t="shared" si="2"/>
        <v>121754.93</v>
      </c>
      <c r="U60" s="141">
        <f t="shared" si="27"/>
        <v>5.9173605412355286E-2</v>
      </c>
      <c r="V60" s="127" t="s">
        <v>240</v>
      </c>
      <c r="W60" s="141"/>
      <c r="X60" s="142">
        <f t="shared" si="4"/>
        <v>127960.82000000002</v>
      </c>
      <c r="Y60" s="141"/>
      <c r="Z60" s="142">
        <f t="shared" si="5"/>
        <v>121754.93</v>
      </c>
      <c r="AA60" s="141"/>
      <c r="AB60" s="142">
        <f t="shared" si="28"/>
        <v>6205.8900000000285</v>
      </c>
      <c r="AC60" s="142"/>
      <c r="AD60" s="141">
        <f t="shared" si="29"/>
        <v>1.050970338531672</v>
      </c>
      <c r="AE60" s="142"/>
      <c r="AF60" s="141">
        <f t="shared" si="8"/>
        <v>5.0970338531671988E-2</v>
      </c>
    </row>
    <row r="61" spans="1:32" s="63" customFormat="1" ht="54.95" customHeight="1" x14ac:dyDescent="0.85">
      <c r="A61" s="126" t="s">
        <v>241</v>
      </c>
      <c r="B61" s="139">
        <f>CNT!N221</f>
        <v>33500</v>
      </c>
      <c r="C61" s="139">
        <v>0</v>
      </c>
      <c r="D61" s="139">
        <f>DEP!K44</f>
        <v>11805.94</v>
      </c>
      <c r="E61" s="139">
        <v>0</v>
      </c>
      <c r="F61" s="139">
        <v>0</v>
      </c>
      <c r="G61" s="139">
        <v>0</v>
      </c>
      <c r="H61" s="139">
        <v>0</v>
      </c>
      <c r="I61" s="139">
        <f t="shared" si="25"/>
        <v>45305.94</v>
      </c>
      <c r="J61" s="140">
        <f t="shared" si="26"/>
        <v>1.3657719708908765E-2</v>
      </c>
      <c r="K61" s="140"/>
      <c r="L61" s="127" t="s">
        <v>241</v>
      </c>
      <c r="M61" s="139">
        <v>26602.55</v>
      </c>
      <c r="N61" s="139">
        <v>0</v>
      </c>
      <c r="O61" s="139">
        <v>15556.47</v>
      </c>
      <c r="P61" s="139">
        <v>0</v>
      </c>
      <c r="Q61" s="139">
        <v>0</v>
      </c>
      <c r="R61" s="139">
        <v>0</v>
      </c>
      <c r="S61" s="139">
        <v>0</v>
      </c>
      <c r="T61" s="139">
        <f t="shared" si="2"/>
        <v>42159.02</v>
      </c>
      <c r="U61" s="141">
        <f t="shared" si="27"/>
        <v>2.0489529368967602E-2</v>
      </c>
      <c r="V61" s="127" t="s">
        <v>241</v>
      </c>
      <c r="W61" s="141"/>
      <c r="X61" s="142">
        <f t="shared" si="4"/>
        <v>45305.94</v>
      </c>
      <c r="Y61" s="141"/>
      <c r="Z61" s="142">
        <f t="shared" si="5"/>
        <v>42159.02</v>
      </c>
      <c r="AA61" s="141"/>
      <c r="AB61" s="142">
        <f t="shared" si="28"/>
        <v>3146.9200000000055</v>
      </c>
      <c r="AC61" s="142"/>
      <c r="AD61" s="141">
        <f t="shared" si="29"/>
        <v>1.0746440500751679</v>
      </c>
      <c r="AE61" s="142"/>
      <c r="AF61" s="141">
        <f t="shared" si="8"/>
        <v>7.4644050075167945E-2</v>
      </c>
    </row>
    <row r="62" spans="1:32" s="63" customFormat="1" ht="54.95" customHeight="1" x14ac:dyDescent="0.85">
      <c r="A62" s="126" t="s">
        <v>239</v>
      </c>
      <c r="B62" s="139">
        <f>CNT!N222</f>
        <v>45578.289999999994</v>
      </c>
      <c r="C62" s="139">
        <v>0</v>
      </c>
      <c r="D62" s="139">
        <f>DEP!K45</f>
        <v>149035.41</v>
      </c>
      <c r="E62" s="139">
        <v>0</v>
      </c>
      <c r="F62" s="139">
        <f>'BSC (Dome)'!K46</f>
        <v>21818</v>
      </c>
      <c r="G62" s="139">
        <v>0</v>
      </c>
      <c r="H62" s="139">
        <v>0</v>
      </c>
      <c r="I62" s="139">
        <f t="shared" si="25"/>
        <v>216431.7</v>
      </c>
      <c r="J62" s="140">
        <f t="shared" si="26"/>
        <v>6.5244502039304986E-2</v>
      </c>
      <c r="K62" s="140"/>
      <c r="L62" s="127" t="s">
        <v>239</v>
      </c>
      <c r="M62" s="139">
        <v>41179.35</v>
      </c>
      <c r="N62" s="139">
        <v>0</v>
      </c>
      <c r="O62" s="139">
        <v>0</v>
      </c>
      <c r="P62" s="139">
        <v>0</v>
      </c>
      <c r="Q62" s="139">
        <v>23420</v>
      </c>
      <c r="R62" s="139">
        <v>0</v>
      </c>
      <c r="S62" s="139">
        <v>0</v>
      </c>
      <c r="T62" s="139">
        <f t="shared" si="2"/>
        <v>64599.35</v>
      </c>
      <c r="U62" s="141">
        <f t="shared" si="27"/>
        <v>3.1395660502573766E-2</v>
      </c>
      <c r="V62" s="127" t="s">
        <v>239</v>
      </c>
      <c r="W62" s="141"/>
      <c r="X62" s="142">
        <f t="shared" si="4"/>
        <v>216431.7</v>
      </c>
      <c r="Y62" s="141"/>
      <c r="Z62" s="142">
        <f t="shared" si="5"/>
        <v>64599.35</v>
      </c>
      <c r="AA62" s="141"/>
      <c r="AB62" s="142">
        <f t="shared" si="28"/>
        <v>151832.35</v>
      </c>
      <c r="AC62" s="142"/>
      <c r="AD62" s="141">
        <f t="shared" si="29"/>
        <v>3.3503696244621657</v>
      </c>
      <c r="AE62" s="142"/>
      <c r="AF62" s="141">
        <f t="shared" si="8"/>
        <v>2.3503696244621657</v>
      </c>
    </row>
    <row r="63" spans="1:32" s="63" customFormat="1" ht="54.95" customHeight="1" x14ac:dyDescent="0.85">
      <c r="A63" s="126" t="s">
        <v>361</v>
      </c>
      <c r="B63" s="139">
        <v>0</v>
      </c>
      <c r="C63" s="139">
        <v>0</v>
      </c>
      <c r="D63" s="139">
        <v>0</v>
      </c>
      <c r="E63" s="139">
        <v>0</v>
      </c>
      <c r="F63" s="139">
        <f>'BSC (Dome)'!K43</f>
        <v>13379.36</v>
      </c>
      <c r="G63" s="139">
        <v>0</v>
      </c>
      <c r="H63" s="139">
        <v>0</v>
      </c>
      <c r="I63" s="139">
        <f t="shared" si="25"/>
        <v>13379.36</v>
      </c>
      <c r="J63" s="140">
        <f t="shared" si="26"/>
        <v>4.0332801563014824E-3</v>
      </c>
      <c r="K63" s="140"/>
      <c r="L63" s="127" t="s">
        <v>361</v>
      </c>
      <c r="M63" s="139">
        <v>0</v>
      </c>
      <c r="N63" s="139">
        <v>0</v>
      </c>
      <c r="O63" s="139">
        <v>0</v>
      </c>
      <c r="P63" s="139">
        <v>0</v>
      </c>
      <c r="Q63" s="139">
        <f>930.6+8582</f>
        <v>9512.6</v>
      </c>
      <c r="R63" s="139">
        <v>0</v>
      </c>
      <c r="S63" s="139">
        <v>0</v>
      </c>
      <c r="T63" s="139">
        <f t="shared" si="2"/>
        <v>9512.6</v>
      </c>
      <c r="U63" s="141">
        <f t="shared" si="27"/>
        <v>4.6231790272933584E-3</v>
      </c>
      <c r="V63" s="127" t="s">
        <v>361</v>
      </c>
      <c r="W63" s="141"/>
      <c r="X63" s="142">
        <f t="shared" si="4"/>
        <v>13379.36</v>
      </c>
      <c r="Y63" s="141"/>
      <c r="Z63" s="142">
        <f t="shared" si="5"/>
        <v>9512.6</v>
      </c>
      <c r="AA63" s="141"/>
      <c r="AB63" s="142">
        <f t="shared" si="28"/>
        <v>3866.76</v>
      </c>
      <c r="AC63" s="142"/>
      <c r="AD63" s="141">
        <f t="shared" si="29"/>
        <v>1.4064882366545424</v>
      </c>
      <c r="AE63" s="142"/>
      <c r="AF63" s="141">
        <f t="shared" si="8"/>
        <v>0.40648823665454237</v>
      </c>
    </row>
    <row r="64" spans="1:32" s="63" customFormat="1" ht="54.95" customHeight="1" x14ac:dyDescent="0.85">
      <c r="A64" s="126" t="s">
        <v>242</v>
      </c>
      <c r="B64" s="139">
        <f>CNT!N262+CNT!N223</f>
        <v>16793.27</v>
      </c>
      <c r="C64" s="139">
        <v>0</v>
      </c>
      <c r="D64" s="139">
        <f>DEP!K46</f>
        <v>187.99</v>
      </c>
      <c r="E64" s="139">
        <v>0</v>
      </c>
      <c r="F64" s="139">
        <f>'BSC (Dome)'!K49</f>
        <v>1417.5100000000002</v>
      </c>
      <c r="G64" s="139">
        <v>0</v>
      </c>
      <c r="H64" s="139">
        <v>0</v>
      </c>
      <c r="I64" s="139">
        <f t="shared" si="25"/>
        <v>18398.770000000004</v>
      </c>
      <c r="J64" s="140">
        <f t="shared" si="26"/>
        <v>5.546408343998146E-3</v>
      </c>
      <c r="K64" s="140"/>
      <c r="L64" s="127" t="s">
        <v>242</v>
      </c>
      <c r="M64" s="139">
        <v>20989.25</v>
      </c>
      <c r="N64" s="139">
        <v>0</v>
      </c>
      <c r="O64" s="139">
        <v>3471.24</v>
      </c>
      <c r="P64" s="139">
        <v>0</v>
      </c>
      <c r="Q64" s="139">
        <v>794.62</v>
      </c>
      <c r="R64" s="139">
        <v>0</v>
      </c>
      <c r="S64" s="139">
        <v>0</v>
      </c>
      <c r="T64" s="139">
        <f t="shared" si="2"/>
        <v>25255.109999999997</v>
      </c>
      <c r="U64" s="141">
        <f t="shared" si="27"/>
        <v>1.2274130614551937E-2</v>
      </c>
      <c r="V64" s="127" t="s">
        <v>242</v>
      </c>
      <c r="W64" s="141"/>
      <c r="X64" s="142">
        <f t="shared" si="4"/>
        <v>18398.770000000004</v>
      </c>
      <c r="Y64" s="141"/>
      <c r="Z64" s="142">
        <f t="shared" si="5"/>
        <v>25255.109999999997</v>
      </c>
      <c r="AA64" s="141"/>
      <c r="AB64" s="142">
        <f t="shared" si="28"/>
        <v>-6856.3399999999929</v>
      </c>
      <c r="AC64" s="142"/>
      <c r="AD64" s="141">
        <f t="shared" si="29"/>
        <v>0.72851672394220446</v>
      </c>
      <c r="AE64" s="142"/>
      <c r="AF64" s="141">
        <f t="shared" si="8"/>
        <v>-0.27148327605779554</v>
      </c>
    </row>
    <row r="65" spans="1:32" s="63" customFormat="1" ht="54.95" customHeight="1" x14ac:dyDescent="0.85">
      <c r="A65" s="126" t="s">
        <v>243</v>
      </c>
      <c r="B65" s="139">
        <f>CNT!N224</f>
        <v>7006.41</v>
      </c>
      <c r="C65" s="139">
        <v>0</v>
      </c>
      <c r="D65" s="139">
        <f>DEP!K48</f>
        <v>3305.3999999999996</v>
      </c>
      <c r="E65" s="139">
        <v>0</v>
      </c>
      <c r="F65" s="139">
        <v>0</v>
      </c>
      <c r="G65" s="139">
        <v>0</v>
      </c>
      <c r="H65" s="139">
        <v>0</v>
      </c>
      <c r="I65" s="139">
        <f t="shared" si="25"/>
        <v>10311.81</v>
      </c>
      <c r="J65" s="140">
        <f t="shared" si="26"/>
        <v>3.1085506816881511E-3</v>
      </c>
      <c r="K65" s="140"/>
      <c r="L65" s="127" t="s">
        <v>243</v>
      </c>
      <c r="M65" s="139">
        <v>2631.47</v>
      </c>
      <c r="N65" s="139">
        <v>604.29999999999995</v>
      </c>
      <c r="O65" s="139">
        <v>2728.96</v>
      </c>
      <c r="P65" s="139">
        <v>0</v>
      </c>
      <c r="Q65" s="139">
        <v>0</v>
      </c>
      <c r="R65" s="139">
        <v>0</v>
      </c>
      <c r="S65" s="139">
        <v>0</v>
      </c>
      <c r="T65" s="139">
        <f t="shared" si="2"/>
        <v>5964.73</v>
      </c>
      <c r="U65" s="141">
        <f t="shared" si="27"/>
        <v>2.898893534834589E-3</v>
      </c>
      <c r="V65" s="127" t="s">
        <v>243</v>
      </c>
      <c r="W65" s="141"/>
      <c r="X65" s="142">
        <f t="shared" si="4"/>
        <v>10311.81</v>
      </c>
      <c r="Y65" s="141"/>
      <c r="Z65" s="142">
        <f t="shared" si="5"/>
        <v>5964.73</v>
      </c>
      <c r="AA65" s="141"/>
      <c r="AB65" s="142">
        <f t="shared" si="28"/>
        <v>4347.08</v>
      </c>
      <c r="AC65" s="142"/>
      <c r="AD65" s="141">
        <f t="shared" si="29"/>
        <v>1.72879744766318</v>
      </c>
      <c r="AE65" s="142"/>
      <c r="AF65" s="141">
        <f t="shared" si="8"/>
        <v>0.72879744766318</v>
      </c>
    </row>
    <row r="66" spans="1:32" s="63" customFormat="1" ht="54.95" customHeight="1" x14ac:dyDescent="0.85">
      <c r="A66" s="126" t="s">
        <v>244</v>
      </c>
      <c r="B66" s="139">
        <f>CNT!N225</f>
        <v>2999.97</v>
      </c>
      <c r="C66" s="139">
        <v>0</v>
      </c>
      <c r="D66" s="139">
        <v>0</v>
      </c>
      <c r="E66" s="139">
        <v>0</v>
      </c>
      <c r="F66" s="139">
        <v>0</v>
      </c>
      <c r="G66" s="139">
        <v>0</v>
      </c>
      <c r="H66" s="139">
        <v>0</v>
      </c>
      <c r="I66" s="139">
        <f t="shared" si="25"/>
        <v>2999.97</v>
      </c>
      <c r="J66" s="140">
        <f t="shared" si="26"/>
        <v>9.0435711951092996E-4</v>
      </c>
      <c r="K66" s="140"/>
      <c r="L66" s="127" t="s">
        <v>244</v>
      </c>
      <c r="M66" s="139">
        <v>3600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f t="shared" si="2"/>
        <v>3600</v>
      </c>
      <c r="U66" s="141">
        <f t="shared" si="27"/>
        <v>1.7496209762058838E-3</v>
      </c>
      <c r="V66" s="127" t="s">
        <v>244</v>
      </c>
      <c r="W66" s="141"/>
      <c r="X66" s="142">
        <f t="shared" si="4"/>
        <v>2999.97</v>
      </c>
      <c r="Y66" s="141"/>
      <c r="Z66" s="142">
        <f t="shared" si="5"/>
        <v>3600</v>
      </c>
      <c r="AA66" s="141"/>
      <c r="AB66" s="142">
        <f t="shared" si="28"/>
        <v>-600.0300000000002</v>
      </c>
      <c r="AC66" s="142"/>
      <c r="AD66" s="141">
        <f t="shared" si="29"/>
        <v>0.83332499999999998</v>
      </c>
      <c r="AE66" s="142"/>
      <c r="AF66" s="141">
        <f t="shared" si="8"/>
        <v>-0.16667500000000002</v>
      </c>
    </row>
    <row r="67" spans="1:32" s="63" customFormat="1" ht="54.95" customHeight="1" x14ac:dyDescent="0.85">
      <c r="A67" s="126" t="s">
        <v>245</v>
      </c>
      <c r="B67" s="139">
        <f>CNT!N226+CNT!N229</f>
        <v>1130261.8500000001</v>
      </c>
      <c r="C67" s="139">
        <f>BPM!K43</f>
        <v>3488.74</v>
      </c>
      <c r="D67" s="139">
        <f>DEP!K49</f>
        <v>94198.39</v>
      </c>
      <c r="E67" s="139">
        <v>0</v>
      </c>
      <c r="F67" s="139">
        <f>'BSC (Dome)'!K52</f>
        <v>84595.9</v>
      </c>
      <c r="G67" s="139">
        <f>'Oliari Co.'!K11</f>
        <v>83261.430000000022</v>
      </c>
      <c r="H67" s="139">
        <f>'722 Bedford St'!K11</f>
        <v>132232.72</v>
      </c>
      <c r="I67" s="139">
        <f t="shared" si="25"/>
        <v>1528039.0299999998</v>
      </c>
      <c r="J67" s="140">
        <f t="shared" si="26"/>
        <v>0.46063559824634093</v>
      </c>
      <c r="K67" s="140"/>
      <c r="L67" s="127" t="s">
        <v>245</v>
      </c>
      <c r="M67" s="139">
        <v>585000</v>
      </c>
      <c r="N67" s="139">
        <v>3500</v>
      </c>
      <c r="O67" s="139">
        <v>85000</v>
      </c>
      <c r="P67" s="139">
        <v>0</v>
      </c>
      <c r="Q67" s="139">
        <v>81000</v>
      </c>
      <c r="R67" s="139">
        <v>35163.4</v>
      </c>
      <c r="S67" s="139">
        <v>0</v>
      </c>
      <c r="T67" s="139">
        <f t="shared" si="2"/>
        <v>789663.4</v>
      </c>
      <c r="U67" s="141">
        <f t="shared" si="27"/>
        <v>0.38378101355057148</v>
      </c>
      <c r="V67" s="127" t="s">
        <v>245</v>
      </c>
      <c r="W67" s="141"/>
      <c r="X67" s="142">
        <f t="shared" si="4"/>
        <v>1528039.0299999998</v>
      </c>
      <c r="Y67" s="141"/>
      <c r="Z67" s="142">
        <f t="shared" si="5"/>
        <v>789663.4</v>
      </c>
      <c r="AA67" s="141"/>
      <c r="AB67" s="142">
        <f t="shared" si="28"/>
        <v>738375.62999999977</v>
      </c>
      <c r="AC67" s="142"/>
      <c r="AD67" s="141">
        <f t="shared" si="29"/>
        <v>1.9350510989872391</v>
      </c>
      <c r="AE67" s="142"/>
      <c r="AF67" s="141">
        <f t="shared" si="8"/>
        <v>0.93505109898723915</v>
      </c>
    </row>
    <row r="68" spans="1:32" s="63" customFormat="1" ht="54.95" customHeight="1" x14ac:dyDescent="0.85">
      <c r="A68" s="126" t="s">
        <v>255</v>
      </c>
      <c r="B68" s="139">
        <f>CNT!N245</f>
        <v>1268.68</v>
      </c>
      <c r="C68" s="139">
        <v>0</v>
      </c>
      <c r="D68" s="139">
        <v>0</v>
      </c>
      <c r="E68" s="139">
        <v>0</v>
      </c>
      <c r="F68" s="139">
        <v>0</v>
      </c>
      <c r="G68" s="139">
        <v>0</v>
      </c>
      <c r="H68" s="139">
        <v>0</v>
      </c>
      <c r="I68" s="139">
        <f t="shared" si="25"/>
        <v>1268.68</v>
      </c>
      <c r="J68" s="140">
        <f t="shared" si="26"/>
        <v>3.824504212979219E-4</v>
      </c>
      <c r="K68" s="140"/>
      <c r="L68" s="127" t="s">
        <v>255</v>
      </c>
      <c r="M68" s="139">
        <v>2739.31</v>
      </c>
      <c r="N68" s="139">
        <v>0</v>
      </c>
      <c r="O68" s="139">
        <v>0</v>
      </c>
      <c r="P68" s="139">
        <v>0</v>
      </c>
      <c r="Q68" s="139">
        <f>327.56</f>
        <v>327.56</v>
      </c>
      <c r="R68" s="139">
        <v>-1113.3599999999999</v>
      </c>
      <c r="S68" s="139">
        <v>0</v>
      </c>
      <c r="T68" s="139">
        <f t="shared" si="2"/>
        <v>1953.51</v>
      </c>
      <c r="U68" s="141">
        <f t="shared" si="27"/>
        <v>9.4941724256332113E-4</v>
      </c>
      <c r="V68" s="127" t="s">
        <v>255</v>
      </c>
      <c r="W68" s="141"/>
      <c r="X68" s="142">
        <f t="shared" si="4"/>
        <v>1268.68</v>
      </c>
      <c r="Y68" s="141"/>
      <c r="Z68" s="142">
        <f t="shared" si="5"/>
        <v>1953.51</v>
      </c>
      <c r="AA68" s="141"/>
      <c r="AB68" s="142">
        <f t="shared" si="28"/>
        <v>-684.82999999999993</v>
      </c>
      <c r="AC68" s="142"/>
      <c r="AD68" s="141">
        <f t="shared" si="29"/>
        <v>0.64943614314746279</v>
      </c>
      <c r="AE68" s="142"/>
      <c r="AF68" s="141">
        <f t="shared" si="8"/>
        <v>-0.35056385685253721</v>
      </c>
    </row>
    <row r="69" spans="1:32" s="63" customFormat="1" ht="54.95" customHeight="1" x14ac:dyDescent="0.85">
      <c r="A69" s="126" t="s">
        <v>358</v>
      </c>
      <c r="B69" s="139">
        <f>CNT!N259</f>
        <v>1663</v>
      </c>
      <c r="C69" s="139">
        <f>BPM!K52</f>
        <v>349.02000000000004</v>
      </c>
      <c r="D69" s="139">
        <f>DEP!K64</f>
        <v>449</v>
      </c>
      <c r="E69" s="139">
        <f>Lending!K10</f>
        <v>109</v>
      </c>
      <c r="F69" s="139">
        <f>'BSC (Dome)'!K47</f>
        <v>865</v>
      </c>
      <c r="G69" s="139">
        <f>'Oliari Co.'!K10</f>
        <v>520</v>
      </c>
      <c r="H69" s="139">
        <f>'722 Bedford St'!K10</f>
        <v>520</v>
      </c>
      <c r="I69" s="139">
        <f t="shared" si="25"/>
        <v>4475.0200000000004</v>
      </c>
      <c r="J69" s="140">
        <f t="shared" si="26"/>
        <v>1.3490188891734927E-3</v>
      </c>
      <c r="K69" s="140"/>
      <c r="L69" s="127" t="s">
        <v>358</v>
      </c>
      <c r="M69" s="139">
        <v>0</v>
      </c>
      <c r="N69" s="139">
        <v>0</v>
      </c>
      <c r="O69" s="139">
        <v>0</v>
      </c>
      <c r="P69" s="139">
        <v>0</v>
      </c>
      <c r="Q69" s="139">
        <v>565</v>
      </c>
      <c r="R69" s="139">
        <v>0</v>
      </c>
      <c r="S69" s="139">
        <v>1825</v>
      </c>
      <c r="T69" s="139">
        <f t="shared" si="2"/>
        <v>2390</v>
      </c>
      <c r="U69" s="141">
        <f t="shared" si="27"/>
        <v>1.1615539258700172E-3</v>
      </c>
      <c r="V69" s="127" t="s">
        <v>358</v>
      </c>
      <c r="W69" s="141"/>
      <c r="X69" s="142">
        <f t="shared" si="4"/>
        <v>4475.0200000000004</v>
      </c>
      <c r="Y69" s="141"/>
      <c r="Z69" s="142">
        <f t="shared" si="5"/>
        <v>2390</v>
      </c>
      <c r="AA69" s="141"/>
      <c r="AB69" s="142">
        <f t="shared" si="28"/>
        <v>2085.0200000000004</v>
      </c>
      <c r="AC69" s="142"/>
      <c r="AD69" s="141">
        <f t="shared" si="29"/>
        <v>1.8723933054393307</v>
      </c>
      <c r="AE69" s="142"/>
      <c r="AF69" s="141">
        <f t="shared" si="8"/>
        <v>0.87239330543933069</v>
      </c>
    </row>
    <row r="70" spans="1:32" s="63" customFormat="1" ht="54.95" customHeight="1" x14ac:dyDescent="0.85">
      <c r="A70" s="126" t="s">
        <v>248</v>
      </c>
      <c r="B70" s="139">
        <f>CNT!N244</f>
        <v>15330.22</v>
      </c>
      <c r="C70" s="139">
        <v>0</v>
      </c>
      <c r="D70" s="139">
        <f>DEP!K50</f>
        <v>15061.969999999998</v>
      </c>
      <c r="E70" s="139">
        <v>0</v>
      </c>
      <c r="F70" s="139">
        <v>0</v>
      </c>
      <c r="G70" s="139">
        <v>0</v>
      </c>
      <c r="H70" s="139">
        <v>0</v>
      </c>
      <c r="I70" s="139">
        <f t="shared" si="25"/>
        <v>30392.189999999995</v>
      </c>
      <c r="J70" s="140">
        <f t="shared" si="26"/>
        <v>9.1618894202371657E-3</v>
      </c>
      <c r="K70" s="140"/>
      <c r="L70" s="127" t="s">
        <v>248</v>
      </c>
      <c r="M70" s="139">
        <v>5047.07</v>
      </c>
      <c r="N70" s="139">
        <v>0</v>
      </c>
      <c r="O70" s="139">
        <v>5445.46</v>
      </c>
      <c r="P70" s="139">
        <v>0</v>
      </c>
      <c r="Q70" s="139">
        <v>0</v>
      </c>
      <c r="R70" s="139">
        <v>0</v>
      </c>
      <c r="S70" s="139">
        <v>0</v>
      </c>
      <c r="T70" s="139">
        <f t="shared" si="2"/>
        <v>10492.529999999999</v>
      </c>
      <c r="U70" s="141">
        <f>T70/$T$74</f>
        <v>5.0994307170748668E-3</v>
      </c>
      <c r="V70" s="127" t="s">
        <v>248</v>
      </c>
      <c r="W70" s="141"/>
      <c r="X70" s="142">
        <f t="shared" si="4"/>
        <v>30392.189999999995</v>
      </c>
      <c r="Y70" s="141"/>
      <c r="Z70" s="142">
        <f t="shared" si="5"/>
        <v>10492.529999999999</v>
      </c>
      <c r="AA70" s="141"/>
      <c r="AB70" s="142">
        <f t="shared" si="28"/>
        <v>19899.659999999996</v>
      </c>
      <c r="AC70" s="142"/>
      <c r="AD70" s="141">
        <f t="shared" si="29"/>
        <v>2.8965549776841235</v>
      </c>
      <c r="AE70" s="142"/>
      <c r="AF70" s="141">
        <f t="shared" si="8"/>
        <v>1.8965549776841235</v>
      </c>
    </row>
    <row r="71" spans="1:32" s="63" customFormat="1" ht="54.95" customHeight="1" x14ac:dyDescent="0.85">
      <c r="A71" s="126" t="s">
        <v>249</v>
      </c>
      <c r="B71" s="139">
        <f>CNT!N248+CNT!N228</f>
        <v>120379.79999999999</v>
      </c>
      <c r="C71" s="139">
        <v>0</v>
      </c>
      <c r="D71" s="139">
        <f>DEP!K47</f>
        <v>64648.75</v>
      </c>
      <c r="E71" s="139">
        <v>0</v>
      </c>
      <c r="F71" s="139">
        <v>0</v>
      </c>
      <c r="G71" s="139">
        <v>0</v>
      </c>
      <c r="H71" s="139">
        <v>0</v>
      </c>
      <c r="I71" s="139">
        <f t="shared" si="25"/>
        <v>185028.55</v>
      </c>
      <c r="J71" s="140">
        <f t="shared" si="26"/>
        <v>5.5777853280294165E-2</v>
      </c>
      <c r="K71" s="140"/>
      <c r="L71" s="127" t="s">
        <v>249</v>
      </c>
      <c r="M71" s="139">
        <v>1675</v>
      </c>
      <c r="N71" s="139">
        <v>0</v>
      </c>
      <c r="O71" s="139">
        <v>50081.22</v>
      </c>
      <c r="P71" s="139">
        <v>0</v>
      </c>
      <c r="Q71" s="139">
        <v>0</v>
      </c>
      <c r="R71" s="139">
        <v>0</v>
      </c>
      <c r="S71" s="139">
        <v>0</v>
      </c>
      <c r="T71" s="139">
        <f t="shared" si="2"/>
        <v>51756.22</v>
      </c>
      <c r="U71" s="141">
        <f>T71/$T$74</f>
        <v>2.5153824489201802E-2</v>
      </c>
      <c r="V71" s="127" t="s">
        <v>249</v>
      </c>
      <c r="W71" s="141"/>
      <c r="X71" s="142">
        <f t="shared" si="4"/>
        <v>185028.55</v>
      </c>
      <c r="Y71" s="141"/>
      <c r="Z71" s="142">
        <f t="shared" si="5"/>
        <v>51756.22</v>
      </c>
      <c r="AA71" s="141"/>
      <c r="AB71" s="142">
        <f t="shared" si="28"/>
        <v>133272.32999999999</v>
      </c>
      <c r="AC71" s="142"/>
      <c r="AD71" s="141">
        <f t="shared" si="29"/>
        <v>3.5750012269056741</v>
      </c>
      <c r="AE71" s="142"/>
      <c r="AF71" s="141">
        <f t="shared" si="8"/>
        <v>2.5750012269056741</v>
      </c>
    </row>
    <row r="72" spans="1:32" s="63" customFormat="1" ht="54.95" customHeight="1" x14ac:dyDescent="0.85">
      <c r="A72" s="126" t="s">
        <v>371</v>
      </c>
      <c r="B72" s="139">
        <f>CNT!N253</f>
        <v>26546.309999999998</v>
      </c>
      <c r="C72" s="139">
        <v>0</v>
      </c>
      <c r="D72" s="139">
        <f>DEP!K51</f>
        <v>7476.93</v>
      </c>
      <c r="E72" s="139">
        <v>0</v>
      </c>
      <c r="F72" s="139">
        <f>'BSC (Dome)'!K54</f>
        <v>2372.79</v>
      </c>
      <c r="G72" s="139">
        <v>0</v>
      </c>
      <c r="H72" s="139">
        <v>0</v>
      </c>
      <c r="I72" s="139">
        <f t="shared" si="25"/>
        <v>36396.03</v>
      </c>
      <c r="J72" s="140">
        <f t="shared" si="26"/>
        <v>1.097177933527115E-2</v>
      </c>
      <c r="K72" s="140"/>
      <c r="L72" s="127" t="s">
        <v>371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f t="shared" si="2"/>
        <v>0</v>
      </c>
      <c r="U72" s="141">
        <f>T72/$T$74</f>
        <v>0</v>
      </c>
      <c r="V72" s="127" t="s">
        <v>371</v>
      </c>
      <c r="W72" s="141"/>
      <c r="X72" s="142">
        <f t="shared" si="4"/>
        <v>36396.03</v>
      </c>
      <c r="Y72" s="141"/>
      <c r="Z72" s="142">
        <f t="shared" si="5"/>
        <v>0</v>
      </c>
      <c r="AA72" s="141"/>
      <c r="AB72" s="142">
        <f t="shared" si="28"/>
        <v>36396.03</v>
      </c>
      <c r="AC72" s="142"/>
      <c r="AD72" s="154">
        <v>0</v>
      </c>
      <c r="AE72" s="142"/>
      <c r="AF72" s="141">
        <f t="shared" si="8"/>
        <v>-1</v>
      </c>
    </row>
    <row r="73" spans="1:32" s="63" customFormat="1" ht="54.95" customHeight="1" x14ac:dyDescent="0.85">
      <c r="A73" s="126" t="s">
        <v>372</v>
      </c>
      <c r="B73" s="139">
        <f>CNT!N254</f>
        <v>13105.57</v>
      </c>
      <c r="C73" s="139">
        <f>BPM!K49</f>
        <v>5419.07</v>
      </c>
      <c r="D73" s="139">
        <f>DEP!K52</f>
        <v>6949.9699999999993</v>
      </c>
      <c r="E73" s="139">
        <v>0</v>
      </c>
      <c r="F73" s="139">
        <f>'BSC (Dome)'!K55</f>
        <v>5094.4799999999996</v>
      </c>
      <c r="G73" s="139">
        <v>0</v>
      </c>
      <c r="H73" s="139">
        <v>0</v>
      </c>
      <c r="I73" s="139">
        <f t="shared" si="25"/>
        <v>30569.09</v>
      </c>
      <c r="J73" s="140">
        <f t="shared" si="26"/>
        <v>9.2152168783255755E-3</v>
      </c>
      <c r="K73" s="140"/>
      <c r="L73" s="127" t="s">
        <v>372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f t="shared" si="2"/>
        <v>0</v>
      </c>
      <c r="U73" s="141">
        <f>T73/$T$74</f>
        <v>0</v>
      </c>
      <c r="V73" s="127" t="s">
        <v>372</v>
      </c>
      <c r="W73" s="141"/>
      <c r="X73" s="142">
        <f t="shared" si="4"/>
        <v>30569.09</v>
      </c>
      <c r="Y73" s="141"/>
      <c r="Z73" s="142">
        <f t="shared" si="5"/>
        <v>0</v>
      </c>
      <c r="AA73" s="141"/>
      <c r="AB73" s="142">
        <f t="shared" si="28"/>
        <v>30569.09</v>
      </c>
      <c r="AC73" s="142"/>
      <c r="AD73" s="154">
        <v>0</v>
      </c>
      <c r="AE73" s="142"/>
      <c r="AF73" s="155">
        <f t="shared" si="8"/>
        <v>-1</v>
      </c>
    </row>
    <row r="74" spans="1:32" s="63" customFormat="1" ht="54.95" customHeight="1" x14ac:dyDescent="0.85">
      <c r="A74" s="137" t="s">
        <v>250</v>
      </c>
      <c r="B74" s="144">
        <f>SUM(B52:B73)</f>
        <v>2014072.3400000003</v>
      </c>
      <c r="C74" s="144">
        <f t="shared" ref="C74:H74" si="30">SUM(C52:C73)</f>
        <v>11976.56</v>
      </c>
      <c r="D74" s="144">
        <f t="shared" si="30"/>
        <v>848277.70000000007</v>
      </c>
      <c r="E74" s="144">
        <f t="shared" si="30"/>
        <v>109</v>
      </c>
      <c r="F74" s="144">
        <f>SUM(F52:F73)</f>
        <v>226270.68000000002</v>
      </c>
      <c r="G74" s="144">
        <f>SUM(G52:G73)</f>
        <v>83781.430000000022</v>
      </c>
      <c r="H74" s="144">
        <f t="shared" si="30"/>
        <v>132752.72</v>
      </c>
      <c r="I74" s="144">
        <f t="shared" si="25"/>
        <v>3317240.4300000011</v>
      </c>
      <c r="J74" s="145">
        <f>SUM(J52:J73)</f>
        <v>0.99999999999999967</v>
      </c>
      <c r="K74" s="146"/>
      <c r="L74" s="138" t="s">
        <v>250</v>
      </c>
      <c r="M74" s="144">
        <f t="shared" ref="M74:S74" si="31">SUM(M52:M73)</f>
        <v>1246675.57</v>
      </c>
      <c r="N74" s="144">
        <f t="shared" si="31"/>
        <v>13550.41</v>
      </c>
      <c r="O74" s="144">
        <f t="shared" si="31"/>
        <v>513957.07000000007</v>
      </c>
      <c r="P74" s="144">
        <f t="shared" si="31"/>
        <v>0</v>
      </c>
      <c r="Q74" s="144">
        <f t="shared" si="31"/>
        <v>247530.41000000003</v>
      </c>
      <c r="R74" s="144">
        <f t="shared" si="31"/>
        <v>34050.04</v>
      </c>
      <c r="S74" s="144">
        <f t="shared" si="31"/>
        <v>1825</v>
      </c>
      <c r="T74" s="144">
        <f t="shared" si="2"/>
        <v>2057588.5</v>
      </c>
      <c r="U74" s="147">
        <f>SUM(U52:U73)</f>
        <v>1.0000000000000002</v>
      </c>
      <c r="V74" s="138" t="s">
        <v>250</v>
      </c>
      <c r="W74" s="148"/>
      <c r="X74" s="149">
        <f t="shared" si="4"/>
        <v>3317240.4300000011</v>
      </c>
      <c r="Y74" s="148"/>
      <c r="Z74" s="149">
        <f t="shared" si="5"/>
        <v>2057588.5</v>
      </c>
      <c r="AA74" s="148"/>
      <c r="AB74" s="149">
        <f>I74-T74</f>
        <v>1259651.9300000011</v>
      </c>
      <c r="AC74" s="149"/>
      <c r="AD74" s="147">
        <f>I74/T74</f>
        <v>1.612198177623952</v>
      </c>
      <c r="AE74" s="149"/>
      <c r="AF74" s="147">
        <f t="shared" si="8"/>
        <v>0.61219817762395201</v>
      </c>
    </row>
    <row r="75" spans="1:32" s="63" customFormat="1" ht="54.95" customHeight="1" x14ac:dyDescent="0.85">
      <c r="A75" s="126"/>
      <c r="B75" s="139"/>
      <c r="C75" s="139"/>
      <c r="D75" s="139"/>
      <c r="E75" s="139"/>
      <c r="F75" s="139"/>
      <c r="G75" s="139"/>
      <c r="H75" s="139"/>
      <c r="I75" s="139"/>
      <c r="J75" s="127"/>
      <c r="K75" s="127"/>
      <c r="L75" s="127"/>
      <c r="M75" s="139"/>
      <c r="N75" s="139"/>
      <c r="O75" s="139"/>
      <c r="P75" s="139"/>
      <c r="Q75" s="139"/>
      <c r="R75" s="139"/>
      <c r="S75" s="139"/>
      <c r="T75" s="139"/>
      <c r="U75" s="126"/>
      <c r="V75" s="127"/>
      <c r="W75" s="126"/>
      <c r="X75" s="142"/>
      <c r="Y75" s="126"/>
      <c r="Z75" s="142">
        <f t="shared" si="5"/>
        <v>0</v>
      </c>
      <c r="AA75" s="126"/>
      <c r="AB75" s="142"/>
      <c r="AC75" s="142"/>
      <c r="AD75" s="141"/>
      <c r="AE75" s="142"/>
      <c r="AF75" s="141"/>
    </row>
    <row r="76" spans="1:32" s="63" customFormat="1" ht="54.95" customHeight="1" x14ac:dyDescent="0.85">
      <c r="A76" s="137" t="s">
        <v>251</v>
      </c>
      <c r="B76" s="139"/>
      <c r="C76" s="139"/>
      <c r="D76" s="139"/>
      <c r="E76" s="139"/>
      <c r="F76" s="139"/>
      <c r="G76" s="139"/>
      <c r="H76" s="139"/>
      <c r="I76" s="139"/>
      <c r="J76" s="127"/>
      <c r="K76" s="127"/>
      <c r="L76" s="138" t="s">
        <v>251</v>
      </c>
      <c r="M76" s="139"/>
      <c r="N76" s="139"/>
      <c r="O76" s="139"/>
      <c r="P76" s="139"/>
      <c r="Q76" s="139"/>
      <c r="R76" s="139"/>
      <c r="S76" s="139"/>
      <c r="T76" s="139"/>
      <c r="U76" s="126"/>
      <c r="V76" s="138" t="s">
        <v>251</v>
      </c>
      <c r="W76" s="126"/>
      <c r="X76" s="142"/>
      <c r="Y76" s="126"/>
      <c r="Z76" s="142">
        <f t="shared" si="5"/>
        <v>0</v>
      </c>
      <c r="AA76" s="126"/>
      <c r="AB76" s="142"/>
      <c r="AC76" s="142"/>
      <c r="AD76" s="141"/>
      <c r="AE76" s="142"/>
      <c r="AF76" s="141"/>
    </row>
    <row r="77" spans="1:32" s="63" customFormat="1" ht="54.95" customHeight="1" x14ac:dyDescent="0.85">
      <c r="A77" s="126" t="s">
        <v>252</v>
      </c>
      <c r="B77" s="139">
        <f>CNT!N235</f>
        <v>8050.6</v>
      </c>
      <c r="C77" s="139">
        <v>0</v>
      </c>
      <c r="D77" s="139">
        <f>DEP!K56</f>
        <v>1409.28</v>
      </c>
      <c r="E77" s="139">
        <v>0</v>
      </c>
      <c r="F77" s="139">
        <f>'BSC (Dome)'!K59</f>
        <v>2926.56</v>
      </c>
      <c r="G77" s="139">
        <v>0</v>
      </c>
      <c r="H77" s="139">
        <v>0</v>
      </c>
      <c r="I77" s="139">
        <f t="shared" ref="I77:I98" si="32">SUM(B77:H77)</f>
        <v>12386.44</v>
      </c>
      <c r="J77" s="140">
        <f t="shared" ref="J77:J95" si="33">I77/$I$96</f>
        <v>1.4086369074392275E-2</v>
      </c>
      <c r="K77" s="140"/>
      <c r="L77" s="127" t="s">
        <v>252</v>
      </c>
      <c r="M77" s="139">
        <v>9038.73</v>
      </c>
      <c r="N77" s="139">
        <v>0</v>
      </c>
      <c r="O77" s="139">
        <v>1385.4</v>
      </c>
      <c r="P77" s="139">
        <v>0</v>
      </c>
      <c r="Q77" s="139">
        <v>0</v>
      </c>
      <c r="R77" s="139">
        <v>0</v>
      </c>
      <c r="S77" s="139">
        <v>0</v>
      </c>
      <c r="T77" s="139">
        <f t="shared" si="2"/>
        <v>10424.129999999999</v>
      </c>
      <c r="U77" s="141">
        <f t="shared" ref="U77:U95" si="34">T77/$T$96</f>
        <v>1.288311017141491E-2</v>
      </c>
      <c r="V77" s="127" t="s">
        <v>252</v>
      </c>
      <c r="W77" s="141"/>
      <c r="X77" s="142">
        <f t="shared" si="4"/>
        <v>12386.44</v>
      </c>
      <c r="Y77" s="141"/>
      <c r="Z77" s="142">
        <f t="shared" si="5"/>
        <v>10424.129999999999</v>
      </c>
      <c r="AA77" s="141"/>
      <c r="AB77" s="142">
        <f>I77-T77</f>
        <v>1962.3100000000013</v>
      </c>
      <c r="AC77" s="142"/>
      <c r="AD77" s="141">
        <f>I77/T77</f>
        <v>1.1882468848719272</v>
      </c>
      <c r="AE77" s="142"/>
      <c r="AF77" s="141">
        <f t="shared" si="8"/>
        <v>0.1882468848719272</v>
      </c>
    </row>
    <row r="78" spans="1:32" s="63" customFormat="1" ht="54.95" customHeight="1" x14ac:dyDescent="0.85">
      <c r="A78" s="126" t="s">
        <v>394</v>
      </c>
      <c r="B78" s="139">
        <f>CNT!N233</f>
        <v>4500</v>
      </c>
      <c r="C78" s="139">
        <v>0</v>
      </c>
      <c r="D78" s="139">
        <v>0</v>
      </c>
      <c r="E78" s="139">
        <v>0</v>
      </c>
      <c r="F78" s="139">
        <v>0</v>
      </c>
      <c r="G78" s="139">
        <v>0</v>
      </c>
      <c r="H78" s="139">
        <v>0</v>
      </c>
      <c r="I78" s="139">
        <f t="shared" si="32"/>
        <v>4500</v>
      </c>
      <c r="J78" s="140">
        <f t="shared" si="33"/>
        <v>5.1175851039334331E-3</v>
      </c>
      <c r="K78" s="140"/>
      <c r="L78" s="127" t="s">
        <v>394</v>
      </c>
      <c r="M78" s="139">
        <v>2500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f>SUM(M78:S78)</f>
        <v>2500</v>
      </c>
      <c r="U78" s="141">
        <f t="shared" si="34"/>
        <v>3.0897327094479132E-3</v>
      </c>
      <c r="V78" s="127" t="s">
        <v>394</v>
      </c>
      <c r="W78" s="141"/>
      <c r="X78" s="142">
        <f t="shared" si="4"/>
        <v>4500</v>
      </c>
      <c r="Y78" s="141"/>
      <c r="Z78" s="142">
        <f t="shared" si="5"/>
        <v>2500</v>
      </c>
      <c r="AA78" s="141"/>
      <c r="AB78" s="142">
        <f>I78-T78</f>
        <v>2000</v>
      </c>
      <c r="AC78" s="142"/>
      <c r="AD78" s="141">
        <f>I78/T78</f>
        <v>1.8</v>
      </c>
      <c r="AE78" s="142"/>
      <c r="AF78" s="141">
        <f>AD78-1</f>
        <v>0.8</v>
      </c>
    </row>
    <row r="79" spans="1:32" s="63" customFormat="1" ht="54.95" customHeight="1" x14ac:dyDescent="0.85">
      <c r="A79" s="126" t="s">
        <v>253</v>
      </c>
      <c r="B79" s="139">
        <f>CNT!N236</f>
        <v>91089.459999999992</v>
      </c>
      <c r="C79" s="139">
        <f>BPM!K47</f>
        <v>7737.42</v>
      </c>
      <c r="D79" s="139">
        <f>DEP!K57</f>
        <v>6558.06</v>
      </c>
      <c r="E79" s="139">
        <f>Lending!K9</f>
        <v>1833.2100000000003</v>
      </c>
      <c r="F79" s="139">
        <f>'BSC (Dome)'!K60</f>
        <v>2328.1199999999994</v>
      </c>
      <c r="G79" s="139">
        <v>0</v>
      </c>
      <c r="H79" s="139">
        <f>'722 Bedford St'!K16</f>
        <v>714.47000000000014</v>
      </c>
      <c r="I79" s="139">
        <f t="shared" si="32"/>
        <v>110260.73999999999</v>
      </c>
      <c r="J79" s="140">
        <f t="shared" si="33"/>
        <v>0.1253930490161505</v>
      </c>
      <c r="K79" s="140"/>
      <c r="L79" s="127" t="s">
        <v>253</v>
      </c>
      <c r="M79" s="139">
        <v>100858.01</v>
      </c>
      <c r="N79" s="139">
        <v>6171.16</v>
      </c>
      <c r="O79" s="139">
        <v>6773.82</v>
      </c>
      <c r="P79" s="139">
        <v>1756.26</v>
      </c>
      <c r="Q79" s="139">
        <v>3231.2</v>
      </c>
      <c r="R79" s="139">
        <v>54</v>
      </c>
      <c r="S79" s="139">
        <v>703.58</v>
      </c>
      <c r="T79" s="139">
        <f t="shared" si="2"/>
        <v>119548.02999999998</v>
      </c>
      <c r="U79" s="141">
        <f t="shared" si="34"/>
        <v>0.14774858345642414</v>
      </c>
      <c r="V79" s="127" t="s">
        <v>253</v>
      </c>
      <c r="W79" s="141"/>
      <c r="X79" s="142">
        <f t="shared" si="4"/>
        <v>110260.73999999999</v>
      </c>
      <c r="Y79" s="141"/>
      <c r="Z79" s="142">
        <f t="shared" si="5"/>
        <v>119548.02999999998</v>
      </c>
      <c r="AA79" s="141"/>
      <c r="AB79" s="142">
        <f t="shared" ref="AB79:AB94" si="35">I79-T79</f>
        <v>-9287.2899999999936</v>
      </c>
      <c r="AC79" s="142"/>
      <c r="AD79" s="141">
        <f t="shared" ref="AD79:AD91" si="36">I79/T79</f>
        <v>0.92231331624619828</v>
      </c>
      <c r="AE79" s="142"/>
      <c r="AF79" s="141">
        <f t="shared" si="8"/>
        <v>-7.7686683753801722E-2</v>
      </c>
    </row>
    <row r="80" spans="1:32" s="63" customFormat="1" ht="54.95" customHeight="1" x14ac:dyDescent="0.85">
      <c r="A80" s="126" t="s">
        <v>365</v>
      </c>
      <c r="B80" s="139">
        <v>0</v>
      </c>
      <c r="C80" s="139">
        <v>0</v>
      </c>
      <c r="D80" s="139">
        <v>0</v>
      </c>
      <c r="E80" s="139">
        <v>0</v>
      </c>
      <c r="F80" s="139">
        <f>'BSC (Dome)'!K61</f>
        <v>3495.7000000000003</v>
      </c>
      <c r="G80" s="139">
        <v>0</v>
      </c>
      <c r="H80" s="139">
        <v>0</v>
      </c>
      <c r="I80" s="139">
        <f t="shared" si="32"/>
        <v>3495.7000000000003</v>
      </c>
      <c r="J80" s="140">
        <f t="shared" si="33"/>
        <v>3.9754538328489117E-3</v>
      </c>
      <c r="K80" s="140"/>
      <c r="L80" s="127" t="s">
        <v>365</v>
      </c>
      <c r="M80" s="139">
        <v>0</v>
      </c>
      <c r="N80" s="139">
        <v>0</v>
      </c>
      <c r="O80" s="139">
        <v>0</v>
      </c>
      <c r="P80" s="139">
        <v>0</v>
      </c>
      <c r="Q80" s="139">
        <v>2914.87</v>
      </c>
      <c r="R80" s="139">
        <v>0</v>
      </c>
      <c r="S80" s="139">
        <v>0</v>
      </c>
      <c r="T80" s="139">
        <f>SUM(M80:S80)</f>
        <v>2914.87</v>
      </c>
      <c r="U80" s="141">
        <f t="shared" si="34"/>
        <v>3.6024676731153753E-3</v>
      </c>
      <c r="V80" s="127" t="s">
        <v>365</v>
      </c>
      <c r="W80" s="141"/>
      <c r="X80" s="142">
        <f t="shared" si="4"/>
        <v>3495.7000000000003</v>
      </c>
      <c r="Y80" s="141"/>
      <c r="Z80" s="142">
        <f t="shared" si="5"/>
        <v>2914.87</v>
      </c>
      <c r="AA80" s="141"/>
      <c r="AB80" s="142">
        <f t="shared" si="35"/>
        <v>580.83000000000038</v>
      </c>
      <c r="AC80" s="142"/>
      <c r="AD80" s="141">
        <f t="shared" si="36"/>
        <v>1.1992644611938099</v>
      </c>
      <c r="AE80" s="142"/>
      <c r="AF80" s="141">
        <f t="shared" si="8"/>
        <v>0.19926446119380992</v>
      </c>
    </row>
    <row r="81" spans="1:32" s="63" customFormat="1" ht="54.95" customHeight="1" x14ac:dyDescent="0.85">
      <c r="A81" s="126" t="s">
        <v>254</v>
      </c>
      <c r="B81" s="139">
        <f>CNT!N238</f>
        <v>3820.81</v>
      </c>
      <c r="C81" s="139">
        <v>0</v>
      </c>
      <c r="D81" s="139">
        <v>0</v>
      </c>
      <c r="E81" s="139">
        <v>0</v>
      </c>
      <c r="F81" s="139">
        <f>'BSC (Dome)'!K65</f>
        <v>1068.2</v>
      </c>
      <c r="G81" s="139">
        <v>0</v>
      </c>
      <c r="H81" s="139">
        <v>0</v>
      </c>
      <c r="I81" s="139">
        <f t="shared" si="32"/>
        <v>4889.01</v>
      </c>
      <c r="J81" s="140">
        <f t="shared" si="33"/>
        <v>5.5599832775514654E-3</v>
      </c>
      <c r="K81" s="140"/>
      <c r="L81" s="127" t="s">
        <v>254</v>
      </c>
      <c r="M81" s="139">
        <v>9835.43</v>
      </c>
      <c r="N81" s="139">
        <v>0</v>
      </c>
      <c r="O81" s="139">
        <v>100</v>
      </c>
      <c r="P81" s="139">
        <v>0</v>
      </c>
      <c r="Q81" s="139">
        <v>4023.43</v>
      </c>
      <c r="R81" s="139">
        <v>0</v>
      </c>
      <c r="S81" s="139">
        <v>0</v>
      </c>
      <c r="T81" s="139">
        <f t="shared" si="2"/>
        <v>13958.86</v>
      </c>
      <c r="U81" s="141">
        <f t="shared" si="34"/>
        <v>1.725165853144164E-2</v>
      </c>
      <c r="V81" s="127" t="s">
        <v>254</v>
      </c>
      <c r="W81" s="141"/>
      <c r="X81" s="142">
        <f t="shared" ref="X81:X116" si="37">I81</f>
        <v>4889.01</v>
      </c>
      <c r="Y81" s="141"/>
      <c r="Z81" s="142">
        <f t="shared" ref="Z81:Z116" si="38">T81</f>
        <v>13958.86</v>
      </c>
      <c r="AA81" s="141"/>
      <c r="AB81" s="142">
        <f t="shared" si="35"/>
        <v>-9069.85</v>
      </c>
      <c r="AC81" s="142"/>
      <c r="AD81" s="141">
        <f t="shared" si="36"/>
        <v>0.3502442176510116</v>
      </c>
      <c r="AE81" s="142"/>
      <c r="AF81" s="141">
        <f t="shared" si="8"/>
        <v>-0.64975578234898834</v>
      </c>
    </row>
    <row r="82" spans="1:32" s="63" customFormat="1" ht="54.95" customHeight="1" x14ac:dyDescent="0.85">
      <c r="A82" s="126" t="s">
        <v>362</v>
      </c>
      <c r="B82" s="139">
        <f>CNT!N256</f>
        <v>261714.28000000003</v>
      </c>
      <c r="C82" s="139">
        <f>BPM!K50</f>
        <v>10103</v>
      </c>
      <c r="D82" s="139">
        <f>DEP!K61</f>
        <v>41000</v>
      </c>
      <c r="E82" s="139">
        <f>Lending!K12</f>
        <v>1422.5100000000002</v>
      </c>
      <c r="F82" s="139">
        <f>'BSC (Dome)'!K66</f>
        <v>4250</v>
      </c>
      <c r="G82" s="139">
        <f>'Oliari Co.'!K15</f>
        <v>2650</v>
      </c>
      <c r="H82" s="139">
        <v>0</v>
      </c>
      <c r="I82" s="139">
        <f t="shared" si="32"/>
        <v>321139.79000000004</v>
      </c>
      <c r="J82" s="140">
        <f t="shared" si="33"/>
        <v>0.3652133790187358</v>
      </c>
      <c r="K82" s="140"/>
      <c r="L82" s="127" t="s">
        <v>362</v>
      </c>
      <c r="M82" s="139">
        <v>318577.26</v>
      </c>
      <c r="N82" s="139">
        <v>54330.76</v>
      </c>
      <c r="O82" s="139">
        <v>67994.509999999995</v>
      </c>
      <c r="P82" s="139">
        <v>0</v>
      </c>
      <c r="Q82" s="139">
        <v>15880.79</v>
      </c>
      <c r="R82" s="139">
        <v>2300</v>
      </c>
      <c r="S82" s="139">
        <v>520</v>
      </c>
      <c r="T82" s="139">
        <f t="shared" si="2"/>
        <v>459603.32</v>
      </c>
      <c r="U82" s="141">
        <f t="shared" si="34"/>
        <v>0.56802056446994253</v>
      </c>
      <c r="V82" s="127" t="s">
        <v>362</v>
      </c>
      <c r="W82" s="141"/>
      <c r="X82" s="142">
        <f t="shared" si="37"/>
        <v>321139.79000000004</v>
      </c>
      <c r="Y82" s="141"/>
      <c r="Z82" s="142">
        <f t="shared" si="38"/>
        <v>459603.32</v>
      </c>
      <c r="AA82" s="141"/>
      <c r="AB82" s="142">
        <f t="shared" si="35"/>
        <v>-138463.52999999997</v>
      </c>
      <c r="AC82" s="142"/>
      <c r="AD82" s="141">
        <f t="shared" si="36"/>
        <v>0.69873252873804315</v>
      </c>
      <c r="AE82" s="142"/>
      <c r="AF82" s="141">
        <f t="shared" si="8"/>
        <v>-0.30126747126195685</v>
      </c>
    </row>
    <row r="83" spans="1:32" s="63" customFormat="1" ht="54.95" customHeight="1" x14ac:dyDescent="0.85">
      <c r="A83" s="126" t="s">
        <v>363</v>
      </c>
      <c r="B83" s="139">
        <f>CNT!N257</f>
        <v>68000</v>
      </c>
      <c r="C83" s="139">
        <f>BPM!K51</f>
        <v>33750</v>
      </c>
      <c r="D83" s="139">
        <f>DEP!K62</f>
        <v>20250</v>
      </c>
      <c r="E83" s="139">
        <v>0</v>
      </c>
      <c r="F83" s="139">
        <f>'BSC (Dome)'!K67</f>
        <v>13500</v>
      </c>
      <c r="G83" s="139">
        <v>0</v>
      </c>
      <c r="H83" s="139">
        <v>0</v>
      </c>
      <c r="I83" s="139">
        <f t="shared" si="32"/>
        <v>135500</v>
      </c>
      <c r="J83" s="140">
        <f t="shared" si="33"/>
        <v>0.15409617368510672</v>
      </c>
      <c r="K83" s="140"/>
      <c r="L83" s="127" t="s">
        <v>363</v>
      </c>
      <c r="M83" s="139">
        <v>0</v>
      </c>
      <c r="N83" s="139">
        <v>0</v>
      </c>
      <c r="O83" s="139">
        <v>0</v>
      </c>
      <c r="P83" s="139">
        <v>0</v>
      </c>
      <c r="Q83" s="139">
        <v>10695.06</v>
      </c>
      <c r="R83" s="139">
        <v>11520</v>
      </c>
      <c r="S83" s="139">
        <v>0</v>
      </c>
      <c r="T83" s="139">
        <f>SUM(M83:S83)</f>
        <v>22215.059999999998</v>
      </c>
      <c r="U83" s="141">
        <f t="shared" si="34"/>
        <v>2.745543900973918E-2</v>
      </c>
      <c r="V83" s="127" t="s">
        <v>363</v>
      </c>
      <c r="W83" s="141"/>
      <c r="X83" s="142">
        <f t="shared" si="37"/>
        <v>135500</v>
      </c>
      <c r="Y83" s="141"/>
      <c r="Z83" s="142">
        <f t="shared" si="38"/>
        <v>22215.059999999998</v>
      </c>
      <c r="AA83" s="141"/>
      <c r="AB83" s="142">
        <f t="shared" si="35"/>
        <v>113284.94</v>
      </c>
      <c r="AC83" s="142"/>
      <c r="AD83" s="141">
        <f t="shared" si="36"/>
        <v>6.0994658578459848</v>
      </c>
      <c r="AE83" s="142"/>
      <c r="AF83" s="141">
        <f t="shared" si="8"/>
        <v>5.0994658578459848</v>
      </c>
    </row>
    <row r="84" spans="1:32" s="63" customFormat="1" ht="54.95" customHeight="1" x14ac:dyDescent="0.85">
      <c r="A84" s="126" t="s">
        <v>364</v>
      </c>
      <c r="B84" s="139">
        <f>CNT!N255</f>
        <v>53753.43</v>
      </c>
      <c r="C84" s="139">
        <v>0</v>
      </c>
      <c r="D84" s="139">
        <f>DEP!K60</f>
        <v>-5776.56</v>
      </c>
      <c r="E84" s="139">
        <f>Lending!K11</f>
        <v>11250</v>
      </c>
      <c r="F84" s="139">
        <v>0</v>
      </c>
      <c r="G84" s="139">
        <v>0</v>
      </c>
      <c r="H84" s="139">
        <v>0</v>
      </c>
      <c r="I84" s="139">
        <f t="shared" si="32"/>
        <v>59226.87</v>
      </c>
      <c r="J84" s="140">
        <f t="shared" si="33"/>
        <v>6.7355232814355986E-2</v>
      </c>
      <c r="K84" s="140"/>
      <c r="L84" s="127" t="s">
        <v>364</v>
      </c>
      <c r="M84" s="139">
        <v>0</v>
      </c>
      <c r="N84" s="139">
        <v>0</v>
      </c>
      <c r="O84" s="139">
        <v>0</v>
      </c>
      <c r="P84" s="139">
        <v>2731.25</v>
      </c>
      <c r="Q84" s="139">
        <v>0</v>
      </c>
      <c r="R84" s="139">
        <v>0</v>
      </c>
      <c r="S84" s="139">
        <v>0</v>
      </c>
      <c r="T84" s="139">
        <f>SUM(M84:S84)</f>
        <v>2731.25</v>
      </c>
      <c r="U84" s="141">
        <f t="shared" si="34"/>
        <v>3.3755329850718454E-3</v>
      </c>
      <c r="V84" s="127" t="s">
        <v>364</v>
      </c>
      <c r="W84" s="141"/>
      <c r="X84" s="142">
        <f t="shared" si="37"/>
        <v>59226.87</v>
      </c>
      <c r="Y84" s="141"/>
      <c r="Z84" s="142">
        <f t="shared" si="38"/>
        <v>2731.25</v>
      </c>
      <c r="AA84" s="141"/>
      <c r="AB84" s="142">
        <f t="shared" si="35"/>
        <v>56495.62</v>
      </c>
      <c r="AC84" s="142"/>
      <c r="AD84" s="154">
        <v>0</v>
      </c>
      <c r="AE84" s="142"/>
      <c r="AF84" s="141">
        <f t="shared" si="8"/>
        <v>-1</v>
      </c>
    </row>
    <row r="85" spans="1:32" s="63" customFormat="1" ht="54.95" customHeight="1" x14ac:dyDescent="0.85">
      <c r="A85" s="126" t="s">
        <v>403</v>
      </c>
      <c r="B85" s="139">
        <f>CNT!N258</f>
        <v>39352.5</v>
      </c>
      <c r="C85" s="139">
        <v>0</v>
      </c>
      <c r="D85" s="139"/>
      <c r="E85" s="139">
        <v>0</v>
      </c>
      <c r="F85" s="139">
        <v>0</v>
      </c>
      <c r="G85" s="139">
        <v>0</v>
      </c>
      <c r="H85" s="139">
        <v>0</v>
      </c>
      <c r="I85" s="139">
        <f t="shared" si="32"/>
        <v>39352.5</v>
      </c>
      <c r="J85" s="140">
        <f t="shared" si="33"/>
        <v>4.4753281733897872E-2</v>
      </c>
      <c r="K85" s="140"/>
      <c r="L85" s="127" t="s">
        <v>403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f>SUM(M85:S85)</f>
        <v>0</v>
      </c>
      <c r="U85" s="141">
        <f t="shared" si="34"/>
        <v>0</v>
      </c>
      <c r="V85" s="127" t="s">
        <v>403</v>
      </c>
      <c r="W85" s="141"/>
      <c r="X85" s="142">
        <f t="shared" si="37"/>
        <v>39352.5</v>
      </c>
      <c r="Y85" s="141"/>
      <c r="Z85" s="142">
        <f t="shared" si="38"/>
        <v>0</v>
      </c>
      <c r="AA85" s="141"/>
      <c r="AB85" s="142">
        <f>I85-T85</f>
        <v>39352.5</v>
      </c>
      <c r="AC85" s="142"/>
      <c r="AD85" s="154">
        <v>0</v>
      </c>
      <c r="AE85" s="142"/>
      <c r="AF85" s="141">
        <f t="shared" si="8"/>
        <v>-1</v>
      </c>
    </row>
    <row r="86" spans="1:32" s="63" customFormat="1" ht="54.95" customHeight="1" x14ac:dyDescent="0.85">
      <c r="A86" s="126" t="s">
        <v>392</v>
      </c>
      <c r="B86" s="139">
        <v>0</v>
      </c>
      <c r="C86" s="139">
        <v>0</v>
      </c>
      <c r="D86" s="139">
        <f>DEP!K63</f>
        <v>6625.0199999999995</v>
      </c>
      <c r="E86" s="139">
        <v>0</v>
      </c>
      <c r="F86" s="139">
        <v>0</v>
      </c>
      <c r="G86" s="139">
        <v>0</v>
      </c>
      <c r="H86" s="139">
        <v>0</v>
      </c>
      <c r="I86" s="139">
        <f t="shared" si="32"/>
        <v>6625.0199999999995</v>
      </c>
      <c r="J86" s="140">
        <f t="shared" si="33"/>
        <v>7.5342452589469049E-3</v>
      </c>
      <c r="K86" s="140"/>
      <c r="L86" s="127" t="s">
        <v>392</v>
      </c>
      <c r="M86" s="139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f>SUM(M86:S86)</f>
        <v>0</v>
      </c>
      <c r="U86" s="141">
        <f t="shared" si="34"/>
        <v>0</v>
      </c>
      <c r="V86" s="127" t="s">
        <v>392</v>
      </c>
      <c r="W86" s="141"/>
      <c r="X86" s="142">
        <f t="shared" si="37"/>
        <v>6625.0199999999995</v>
      </c>
      <c r="Y86" s="141"/>
      <c r="Z86" s="142">
        <f t="shared" si="38"/>
        <v>0</v>
      </c>
      <c r="AA86" s="141"/>
      <c r="AB86" s="142">
        <f t="shared" si="35"/>
        <v>6625.0199999999995</v>
      </c>
      <c r="AC86" s="142"/>
      <c r="AD86" s="154">
        <v>0</v>
      </c>
      <c r="AE86" s="142"/>
      <c r="AF86" s="141">
        <f t="shared" si="8"/>
        <v>-1</v>
      </c>
    </row>
    <row r="87" spans="1:32" s="63" customFormat="1" ht="54.95" customHeight="1" x14ac:dyDescent="0.85">
      <c r="A87" s="126" t="s">
        <v>256</v>
      </c>
      <c r="B87" s="139">
        <f>CNT!N242+CNT!N260</f>
        <v>39532.740000000005</v>
      </c>
      <c r="C87" s="139">
        <v>0</v>
      </c>
      <c r="D87" s="139">
        <f>DEP!K59</f>
        <v>5250</v>
      </c>
      <c r="E87" s="139">
        <v>0</v>
      </c>
      <c r="F87" s="139">
        <f>'BSC (Dome)'!K63:K63</f>
        <v>1328.0999999999997</v>
      </c>
      <c r="G87" s="139">
        <v>0</v>
      </c>
      <c r="H87" s="139">
        <v>0</v>
      </c>
      <c r="I87" s="139">
        <f t="shared" si="32"/>
        <v>46110.840000000004</v>
      </c>
      <c r="J87" s="140">
        <f t="shared" si="33"/>
        <v>5.243914398085732E-2</v>
      </c>
      <c r="K87" s="140"/>
      <c r="L87" s="127" t="s">
        <v>256</v>
      </c>
      <c r="M87" s="139">
        <v>2562.1999999999998</v>
      </c>
      <c r="N87" s="139">
        <v>0</v>
      </c>
      <c r="O87" s="139">
        <v>0</v>
      </c>
      <c r="P87" s="139">
        <v>0</v>
      </c>
      <c r="Q87" s="139">
        <f>2821.94</f>
        <v>2821.94</v>
      </c>
      <c r="R87" s="139">
        <v>0</v>
      </c>
      <c r="S87" s="139">
        <v>0</v>
      </c>
      <c r="T87" s="139">
        <f t="shared" si="2"/>
        <v>5384.1399999999994</v>
      </c>
      <c r="U87" s="141">
        <f t="shared" si="34"/>
        <v>6.6542213880987546E-3</v>
      </c>
      <c r="V87" s="127" t="s">
        <v>256</v>
      </c>
      <c r="W87" s="141"/>
      <c r="X87" s="142">
        <f t="shared" si="37"/>
        <v>46110.840000000004</v>
      </c>
      <c r="Y87" s="141"/>
      <c r="Z87" s="142">
        <f t="shared" si="38"/>
        <v>5384.1399999999994</v>
      </c>
      <c r="AA87" s="141"/>
      <c r="AB87" s="142">
        <f t="shared" si="35"/>
        <v>40726.700000000004</v>
      </c>
      <c r="AC87" s="142"/>
      <c r="AD87" s="141">
        <f t="shared" si="36"/>
        <v>8.5641978106067089</v>
      </c>
      <c r="AE87" s="142"/>
      <c r="AF87" s="141">
        <f t="shared" si="8"/>
        <v>7.5641978106067089</v>
      </c>
    </row>
    <row r="88" spans="1:32" s="63" customFormat="1" ht="54.95" customHeight="1" x14ac:dyDescent="0.85">
      <c r="A88" s="126" t="s">
        <v>257</v>
      </c>
      <c r="B88" s="139">
        <f>CNT!N246</f>
        <v>27536.76</v>
      </c>
      <c r="C88" s="139">
        <f>BPM!K48</f>
        <v>912.49</v>
      </c>
      <c r="D88" s="139">
        <f>DEP!K65</f>
        <v>2477.5</v>
      </c>
      <c r="E88" s="139">
        <v>0</v>
      </c>
      <c r="F88" s="139">
        <f>'BSC (Dome)'!K69</f>
        <v>642</v>
      </c>
      <c r="G88" s="139">
        <v>0</v>
      </c>
      <c r="H88" s="139">
        <v>0</v>
      </c>
      <c r="I88" s="139">
        <f t="shared" si="32"/>
        <v>31568.75</v>
      </c>
      <c r="J88" s="140">
        <f t="shared" si="33"/>
        <v>3.5901281055510791E-2</v>
      </c>
      <c r="K88" s="140"/>
      <c r="L88" s="127" t="s">
        <v>257</v>
      </c>
      <c r="M88" s="139">
        <v>32426.25</v>
      </c>
      <c r="N88" s="139">
        <v>1125.75</v>
      </c>
      <c r="O88" s="139">
        <v>1887.75</v>
      </c>
      <c r="P88" s="139">
        <v>0</v>
      </c>
      <c r="Q88" s="139">
        <v>623</v>
      </c>
      <c r="R88" s="139">
        <v>0</v>
      </c>
      <c r="S88" s="139">
        <v>0</v>
      </c>
      <c r="T88" s="139">
        <f t="shared" si="2"/>
        <v>36062.75</v>
      </c>
      <c r="U88" s="141">
        <f t="shared" si="34"/>
        <v>4.4569703307057097E-2</v>
      </c>
      <c r="V88" s="127" t="s">
        <v>257</v>
      </c>
      <c r="W88" s="141"/>
      <c r="X88" s="142">
        <f t="shared" si="37"/>
        <v>31568.75</v>
      </c>
      <c r="Y88" s="141"/>
      <c r="Z88" s="142">
        <f t="shared" si="38"/>
        <v>36062.75</v>
      </c>
      <c r="AA88" s="141"/>
      <c r="AB88" s="142">
        <f t="shared" si="35"/>
        <v>-4494</v>
      </c>
      <c r="AC88" s="142"/>
      <c r="AD88" s="141">
        <f t="shared" si="36"/>
        <v>0.87538387948783714</v>
      </c>
      <c r="AE88" s="142"/>
      <c r="AF88" s="141">
        <f t="shared" si="8"/>
        <v>-0.12461612051216286</v>
      </c>
    </row>
    <row r="89" spans="1:32" s="63" customFormat="1" ht="54.95" customHeight="1" x14ac:dyDescent="0.85">
      <c r="A89" s="126" t="s">
        <v>258</v>
      </c>
      <c r="B89" s="139">
        <f>CNT!N247</f>
        <v>25516.5</v>
      </c>
      <c r="C89" s="139">
        <f>0</f>
        <v>0</v>
      </c>
      <c r="D89" s="139">
        <v>0</v>
      </c>
      <c r="E89" s="139">
        <v>0</v>
      </c>
      <c r="F89" s="139">
        <v>0</v>
      </c>
      <c r="G89" s="139">
        <v>0</v>
      </c>
      <c r="H89" s="139">
        <v>0</v>
      </c>
      <c r="I89" s="139">
        <f t="shared" si="32"/>
        <v>25516.5</v>
      </c>
      <c r="J89" s="140">
        <f t="shared" si="33"/>
        <v>2.9018413401003879E-2</v>
      </c>
      <c r="K89" s="140"/>
      <c r="L89" s="127" t="s">
        <v>258</v>
      </c>
      <c r="M89" s="139">
        <v>21659.119999999999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39">
        <v>0</v>
      </c>
      <c r="T89" s="139">
        <f t="shared" si="2"/>
        <v>21659.119999999999</v>
      </c>
      <c r="U89" s="141">
        <f t="shared" si="34"/>
        <v>2.6768356608742994E-2</v>
      </c>
      <c r="V89" s="127" t="s">
        <v>258</v>
      </c>
      <c r="W89" s="141"/>
      <c r="X89" s="142">
        <f t="shared" si="37"/>
        <v>25516.5</v>
      </c>
      <c r="Y89" s="141"/>
      <c r="Z89" s="142">
        <f t="shared" si="38"/>
        <v>21659.119999999999</v>
      </c>
      <c r="AA89" s="141"/>
      <c r="AB89" s="142">
        <f t="shared" si="35"/>
        <v>3857.380000000001</v>
      </c>
      <c r="AC89" s="142"/>
      <c r="AD89" s="154">
        <v>0</v>
      </c>
      <c r="AE89" s="142"/>
      <c r="AF89" s="141">
        <f t="shared" si="8"/>
        <v>-1</v>
      </c>
    </row>
    <row r="90" spans="1:32" s="63" customFormat="1" ht="54.95" customHeight="1" x14ac:dyDescent="0.85">
      <c r="A90" s="126" t="s">
        <v>295</v>
      </c>
      <c r="B90" s="139">
        <f>CNT!N237</f>
        <v>543.67999999999995</v>
      </c>
      <c r="C90" s="139">
        <f>0</f>
        <v>0</v>
      </c>
      <c r="D90" s="139">
        <f>DEP!K58</f>
        <v>300</v>
      </c>
      <c r="E90" s="139">
        <v>0</v>
      </c>
      <c r="F90" s="139">
        <f>'BSC (Dome)'!K62</f>
        <v>2600</v>
      </c>
      <c r="G90" s="139">
        <v>0</v>
      </c>
      <c r="H90" s="139">
        <v>0</v>
      </c>
      <c r="I90" s="139">
        <f t="shared" si="32"/>
        <v>3443.68</v>
      </c>
      <c r="J90" s="140">
        <f t="shared" si="33"/>
        <v>3.916294549047441E-3</v>
      </c>
      <c r="K90" s="140"/>
      <c r="L90" s="127" t="s">
        <v>295</v>
      </c>
      <c r="M90" s="139">
        <v>0</v>
      </c>
      <c r="N90" s="139">
        <v>0</v>
      </c>
      <c r="O90" s="139">
        <v>0</v>
      </c>
      <c r="P90" s="139">
        <v>0</v>
      </c>
      <c r="Q90" s="139">
        <v>950</v>
      </c>
      <c r="R90" s="139">
        <v>0</v>
      </c>
      <c r="S90" s="139">
        <v>0</v>
      </c>
      <c r="T90" s="139">
        <f>SUM(M90:S90)</f>
        <v>950</v>
      </c>
      <c r="U90" s="141">
        <f t="shared" si="34"/>
        <v>1.1740984295902071E-3</v>
      </c>
      <c r="V90" s="127" t="s">
        <v>295</v>
      </c>
      <c r="W90" s="141"/>
      <c r="X90" s="142">
        <f t="shared" si="37"/>
        <v>3443.68</v>
      </c>
      <c r="Y90" s="141"/>
      <c r="Z90" s="142">
        <f t="shared" si="38"/>
        <v>950</v>
      </c>
      <c r="AA90" s="141"/>
      <c r="AB90" s="142">
        <f t="shared" si="35"/>
        <v>2493.6799999999998</v>
      </c>
      <c r="AC90" s="142"/>
      <c r="AD90" s="154">
        <v>0</v>
      </c>
      <c r="AE90" s="142"/>
      <c r="AF90" s="155">
        <v>0</v>
      </c>
    </row>
    <row r="91" spans="1:32" s="63" customFormat="1" ht="54.95" customHeight="1" x14ac:dyDescent="0.85">
      <c r="A91" s="126" t="s">
        <v>378</v>
      </c>
      <c r="B91" s="139">
        <f>CNT!N243</f>
        <v>397.63</v>
      </c>
      <c r="C91" s="139">
        <v>0</v>
      </c>
      <c r="D91" s="139">
        <v>0</v>
      </c>
      <c r="E91" s="139">
        <v>0</v>
      </c>
      <c r="F91" s="139">
        <f>'BSC (Dome)'!K64</f>
        <v>10329.9</v>
      </c>
      <c r="G91" s="139">
        <v>0</v>
      </c>
      <c r="H91" s="139">
        <v>0</v>
      </c>
      <c r="I91" s="139">
        <f t="shared" si="32"/>
        <v>10727.529999999999</v>
      </c>
      <c r="J91" s="140">
        <f t="shared" si="33"/>
        <v>1.2199788384444226E-2</v>
      </c>
      <c r="K91" s="140"/>
      <c r="L91" s="127" t="s">
        <v>378</v>
      </c>
      <c r="M91" s="139">
        <v>696.89</v>
      </c>
      <c r="N91" s="139">
        <v>0</v>
      </c>
      <c r="O91" s="139">
        <v>0</v>
      </c>
      <c r="P91" s="139">
        <v>0</v>
      </c>
      <c r="Q91" s="139">
        <v>6832.94</v>
      </c>
      <c r="R91" s="139">
        <v>0</v>
      </c>
      <c r="S91" s="139">
        <v>0</v>
      </c>
      <c r="T91" s="139">
        <f>SUM(M91:S91)</f>
        <v>7529.83</v>
      </c>
      <c r="U91" s="141">
        <f t="shared" si="34"/>
        <v>9.3060648190328721E-3</v>
      </c>
      <c r="V91" s="127" t="s">
        <v>378</v>
      </c>
      <c r="W91" s="141"/>
      <c r="X91" s="142">
        <f t="shared" si="37"/>
        <v>10727.529999999999</v>
      </c>
      <c r="Y91" s="141"/>
      <c r="Z91" s="142">
        <f t="shared" si="38"/>
        <v>7529.83</v>
      </c>
      <c r="AA91" s="141"/>
      <c r="AB91" s="142">
        <f t="shared" si="35"/>
        <v>3197.6999999999989</v>
      </c>
      <c r="AC91" s="142"/>
      <c r="AD91" s="141">
        <f t="shared" si="36"/>
        <v>1.4246709421062627</v>
      </c>
      <c r="AE91" s="142"/>
      <c r="AF91" s="155">
        <v>0</v>
      </c>
    </row>
    <row r="92" spans="1:32" s="63" customFormat="1" ht="54.95" customHeight="1" x14ac:dyDescent="0.85">
      <c r="A92" s="126" t="s">
        <v>259</v>
      </c>
      <c r="B92" s="139">
        <f>CNT!N249</f>
        <v>24026.59</v>
      </c>
      <c r="C92" s="139">
        <f>0</f>
        <v>0</v>
      </c>
      <c r="D92" s="139">
        <f>0</f>
        <v>0</v>
      </c>
      <c r="E92" s="139">
        <v>0</v>
      </c>
      <c r="F92" s="139">
        <v>0</v>
      </c>
      <c r="G92" s="139">
        <v>0</v>
      </c>
      <c r="H92" s="139">
        <v>0</v>
      </c>
      <c r="I92" s="139">
        <f t="shared" si="32"/>
        <v>24026.59</v>
      </c>
      <c r="J92" s="140">
        <f t="shared" si="33"/>
        <v>2.7324026462736888E-2</v>
      </c>
      <c r="K92" s="140"/>
      <c r="L92" s="127" t="s">
        <v>259</v>
      </c>
      <c r="M92" s="139">
        <v>90000</v>
      </c>
      <c r="N92" s="139">
        <v>0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f t="shared" si="2"/>
        <v>90000</v>
      </c>
      <c r="U92" s="141">
        <f t="shared" si="34"/>
        <v>0.11123037754012488</v>
      </c>
      <c r="V92" s="127" t="s">
        <v>259</v>
      </c>
      <c r="W92" s="141"/>
      <c r="X92" s="142">
        <f t="shared" si="37"/>
        <v>24026.59</v>
      </c>
      <c r="Y92" s="141"/>
      <c r="Z92" s="142">
        <f t="shared" si="38"/>
        <v>90000</v>
      </c>
      <c r="AA92" s="141"/>
      <c r="AB92" s="142">
        <f t="shared" si="35"/>
        <v>-65973.41</v>
      </c>
      <c r="AC92" s="142"/>
      <c r="AD92" s="154">
        <v>0</v>
      </c>
      <c r="AE92" s="142"/>
      <c r="AF92" s="141">
        <f>AD92-1</f>
        <v>-1</v>
      </c>
    </row>
    <row r="93" spans="1:32" s="63" customFormat="1" ht="54.95" customHeight="1" x14ac:dyDescent="0.85">
      <c r="A93" s="126" t="s">
        <v>260</v>
      </c>
      <c r="B93" s="139">
        <f>CNT!N250+CNT!G261</f>
        <v>18008.54</v>
      </c>
      <c r="C93" s="139">
        <v>0</v>
      </c>
      <c r="D93" s="139">
        <v>0</v>
      </c>
      <c r="E93" s="139">
        <v>0</v>
      </c>
      <c r="F93" s="139">
        <v>0</v>
      </c>
      <c r="G93" s="139">
        <v>0</v>
      </c>
      <c r="H93" s="139">
        <v>0</v>
      </c>
      <c r="I93" s="139">
        <f t="shared" si="32"/>
        <v>18008.54</v>
      </c>
      <c r="J93" s="140">
        <f t="shared" si="33"/>
        <v>2.0480052455019864E-2</v>
      </c>
      <c r="K93" s="140"/>
      <c r="L93" s="127" t="s">
        <v>260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f t="shared" si="2"/>
        <v>0</v>
      </c>
      <c r="U93" s="141">
        <f t="shared" si="34"/>
        <v>0</v>
      </c>
      <c r="V93" s="127" t="s">
        <v>260</v>
      </c>
      <c r="W93" s="141"/>
      <c r="X93" s="142">
        <f t="shared" si="37"/>
        <v>18008.54</v>
      </c>
      <c r="Y93" s="141"/>
      <c r="Z93" s="142">
        <f t="shared" si="38"/>
        <v>0</v>
      </c>
      <c r="AA93" s="141"/>
      <c r="AB93" s="142">
        <f t="shared" si="35"/>
        <v>18008.54</v>
      </c>
      <c r="AC93" s="142"/>
      <c r="AD93" s="154">
        <v>0</v>
      </c>
      <c r="AE93" s="142"/>
      <c r="AF93" s="155">
        <v>0</v>
      </c>
    </row>
    <row r="94" spans="1:32" s="63" customFormat="1" ht="54.95" customHeight="1" x14ac:dyDescent="0.85">
      <c r="A94" s="126" t="s">
        <v>261</v>
      </c>
      <c r="B94" s="139">
        <f>CNT!N251</f>
        <v>4592.21</v>
      </c>
      <c r="C94" s="139">
        <v>0</v>
      </c>
      <c r="D94" s="139">
        <v>0</v>
      </c>
      <c r="E94" s="139">
        <v>0</v>
      </c>
      <c r="F94" s="139">
        <v>0</v>
      </c>
      <c r="G94" s="139">
        <v>0</v>
      </c>
      <c r="H94" s="139">
        <v>0</v>
      </c>
      <c r="I94" s="139">
        <f t="shared" si="32"/>
        <v>4592.21</v>
      </c>
      <c r="J94" s="140">
        <f t="shared" si="33"/>
        <v>5.2224501089187005E-3</v>
      </c>
      <c r="K94" s="140"/>
      <c r="L94" s="127" t="s">
        <v>261</v>
      </c>
      <c r="M94" s="139">
        <v>13650.12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f>SUM(M94:S94)</f>
        <v>13650.12</v>
      </c>
      <c r="U94" s="141">
        <f t="shared" si="34"/>
        <v>1.6870088900755659E-2</v>
      </c>
      <c r="V94" s="127" t="s">
        <v>261</v>
      </c>
      <c r="W94" s="141"/>
      <c r="X94" s="142">
        <f t="shared" si="37"/>
        <v>4592.21</v>
      </c>
      <c r="Y94" s="141"/>
      <c r="Z94" s="142">
        <f t="shared" si="38"/>
        <v>13650.12</v>
      </c>
      <c r="AA94" s="141"/>
      <c r="AB94" s="142">
        <f t="shared" si="35"/>
        <v>-9057.91</v>
      </c>
      <c r="AC94" s="142"/>
      <c r="AD94" s="154">
        <v>0</v>
      </c>
      <c r="AE94" s="142"/>
      <c r="AF94" s="141">
        <f>AD94-1</f>
        <v>-1</v>
      </c>
    </row>
    <row r="95" spans="1:32" s="63" customFormat="1" ht="54.95" customHeight="1" x14ac:dyDescent="0.85">
      <c r="A95" s="126" t="s">
        <v>262</v>
      </c>
      <c r="B95" s="139">
        <f>CNT!N252</f>
        <v>17950.280000000002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f t="shared" si="32"/>
        <v>17950.280000000002</v>
      </c>
      <c r="J95" s="140">
        <f t="shared" si="33"/>
        <v>2.0413796786540941E-2</v>
      </c>
      <c r="K95" s="140"/>
      <c r="L95" s="127" t="s">
        <v>262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0</v>
      </c>
      <c r="T95" s="139">
        <f>SUM(M95:S95)</f>
        <v>0</v>
      </c>
      <c r="U95" s="141">
        <f t="shared" si="34"/>
        <v>0</v>
      </c>
      <c r="V95" s="127" t="s">
        <v>262</v>
      </c>
      <c r="W95" s="141"/>
      <c r="X95" s="142">
        <f t="shared" si="37"/>
        <v>17950.280000000002</v>
      </c>
      <c r="Y95" s="141"/>
      <c r="Z95" s="142">
        <f t="shared" si="38"/>
        <v>0</v>
      </c>
      <c r="AA95" s="141"/>
      <c r="AB95" s="142">
        <f>I95-T95</f>
        <v>17950.280000000002</v>
      </c>
      <c r="AC95" s="142"/>
      <c r="AD95" s="143">
        <v>0</v>
      </c>
      <c r="AE95" s="142"/>
      <c r="AF95" s="155">
        <v>0</v>
      </c>
    </row>
    <row r="96" spans="1:32" s="63" customFormat="1" ht="54.95" customHeight="1" x14ac:dyDescent="0.85">
      <c r="A96" s="137" t="s">
        <v>264</v>
      </c>
      <c r="B96" s="144">
        <f>SUM(B77:B95)</f>
        <v>688386.01000000013</v>
      </c>
      <c r="C96" s="144">
        <f t="shared" ref="C96:H96" si="39">SUM(C77:C95)</f>
        <v>52502.909999999996</v>
      </c>
      <c r="D96" s="144">
        <f t="shared" si="39"/>
        <v>78093.3</v>
      </c>
      <c r="E96" s="144">
        <f t="shared" si="39"/>
        <v>14505.720000000001</v>
      </c>
      <c r="F96" s="144">
        <f>SUM(F77:F95)</f>
        <v>42468.58</v>
      </c>
      <c r="G96" s="144">
        <f t="shared" si="39"/>
        <v>2650</v>
      </c>
      <c r="H96" s="144">
        <f t="shared" si="39"/>
        <v>714.47000000000014</v>
      </c>
      <c r="I96" s="144">
        <f t="shared" si="32"/>
        <v>879320.99000000011</v>
      </c>
      <c r="J96" s="145">
        <f>SUM(J77:J95)</f>
        <v>1</v>
      </c>
      <c r="K96" s="146"/>
      <c r="L96" s="138" t="s">
        <v>264</v>
      </c>
      <c r="M96" s="144">
        <f t="shared" ref="M96:S96" si="40">SUM(M77:M95)</f>
        <v>601804.01</v>
      </c>
      <c r="N96" s="144">
        <f t="shared" si="40"/>
        <v>61627.67</v>
      </c>
      <c r="O96" s="144">
        <f t="shared" si="40"/>
        <v>78141.48</v>
      </c>
      <c r="P96" s="144">
        <f t="shared" si="40"/>
        <v>4487.51</v>
      </c>
      <c r="Q96" s="144">
        <f t="shared" si="40"/>
        <v>47973.23</v>
      </c>
      <c r="R96" s="144">
        <f t="shared" si="40"/>
        <v>13874</v>
      </c>
      <c r="S96" s="144">
        <f t="shared" si="40"/>
        <v>1223.58</v>
      </c>
      <c r="T96" s="144">
        <f>SUM(M96:S96)</f>
        <v>809131.48</v>
      </c>
      <c r="U96" s="147">
        <f>SUM(U77:U95)</f>
        <v>1</v>
      </c>
      <c r="V96" s="138" t="s">
        <v>264</v>
      </c>
      <c r="W96" s="148"/>
      <c r="X96" s="149">
        <f t="shared" si="37"/>
        <v>879320.99000000011</v>
      </c>
      <c r="Y96" s="148"/>
      <c r="Z96" s="149">
        <f t="shared" si="38"/>
        <v>809131.48</v>
      </c>
      <c r="AA96" s="148"/>
      <c r="AB96" s="149">
        <f>I96-T96</f>
        <v>70189.510000000126</v>
      </c>
      <c r="AC96" s="149"/>
      <c r="AD96" s="156">
        <f>I96/T96</f>
        <v>1.0867467299628488</v>
      </c>
      <c r="AE96" s="149"/>
      <c r="AF96" s="147">
        <f>AD96-1</f>
        <v>8.6746729962848823E-2</v>
      </c>
    </row>
    <row r="97" spans="1:33" s="63" customFormat="1" ht="54.95" customHeight="1" x14ac:dyDescent="0.85">
      <c r="A97" s="126"/>
      <c r="B97" s="139"/>
      <c r="C97" s="139"/>
      <c r="D97" s="139"/>
      <c r="E97" s="139"/>
      <c r="F97" s="139"/>
      <c r="G97" s="139"/>
      <c r="H97" s="139"/>
      <c r="I97" s="139">
        <f t="shared" si="32"/>
        <v>0</v>
      </c>
      <c r="J97" s="127"/>
      <c r="K97" s="127"/>
      <c r="L97" s="127"/>
      <c r="M97" s="139"/>
      <c r="N97" s="139"/>
      <c r="O97" s="139"/>
      <c r="P97" s="139"/>
      <c r="Q97" s="139"/>
      <c r="R97" s="139"/>
      <c r="S97" s="139"/>
      <c r="T97" s="139">
        <f>SUM(M97:S97)</f>
        <v>0</v>
      </c>
      <c r="U97" s="126"/>
      <c r="V97" s="127"/>
      <c r="W97" s="126"/>
      <c r="X97" s="142"/>
      <c r="Y97" s="126"/>
      <c r="Z97" s="142">
        <f t="shared" si="38"/>
        <v>0</v>
      </c>
      <c r="AA97" s="126"/>
      <c r="AB97" s="142"/>
      <c r="AC97" s="142"/>
      <c r="AD97" s="150"/>
      <c r="AE97" s="142"/>
      <c r="AF97" s="141"/>
    </row>
    <row r="98" spans="1:33" s="63" customFormat="1" ht="54.95" customHeight="1" thickBot="1" x14ac:dyDescent="0.9">
      <c r="A98" s="137" t="s">
        <v>265</v>
      </c>
      <c r="B98" s="151">
        <f t="shared" ref="B98:F98" si="41">B49+B74+B96</f>
        <v>6183606.2400000002</v>
      </c>
      <c r="C98" s="151">
        <f t="shared" si="41"/>
        <v>64479.469999999994</v>
      </c>
      <c r="D98" s="151">
        <f t="shared" si="41"/>
        <v>1046827.1600000001</v>
      </c>
      <c r="E98" s="151">
        <f t="shared" si="41"/>
        <v>14614.720000000001</v>
      </c>
      <c r="F98" s="151">
        <f t="shared" si="41"/>
        <v>566674.03999999992</v>
      </c>
      <c r="G98" s="151">
        <f>G49+G74+G96</f>
        <v>86431.430000000022</v>
      </c>
      <c r="H98" s="151">
        <f>H49+H74+H96</f>
        <v>133467.19</v>
      </c>
      <c r="I98" s="151">
        <f t="shared" si="32"/>
        <v>8096100.25</v>
      </c>
      <c r="J98" s="139">
        <f>SUM(I40:I48)+SUM(I52:I73)+SUM(I77:I95)-I98</f>
        <v>0</v>
      </c>
      <c r="K98" s="127"/>
      <c r="L98" s="138" t="s">
        <v>265</v>
      </c>
      <c r="M98" s="151">
        <f t="shared" ref="M98:S98" si="42">M49+M74+M96</f>
        <v>5564062.75</v>
      </c>
      <c r="N98" s="151">
        <f t="shared" si="42"/>
        <v>75178.080000000002</v>
      </c>
      <c r="O98" s="151">
        <f t="shared" si="42"/>
        <v>760899.71000000008</v>
      </c>
      <c r="P98" s="151">
        <f t="shared" si="42"/>
        <v>4487.51</v>
      </c>
      <c r="Q98" s="151">
        <f t="shared" si="42"/>
        <v>603373.44999999995</v>
      </c>
      <c r="R98" s="151">
        <f>R49+R74+R96</f>
        <v>47924.04</v>
      </c>
      <c r="S98" s="151">
        <f t="shared" si="42"/>
        <v>3048.58</v>
      </c>
      <c r="T98" s="151">
        <f>SUM(M98:S98)</f>
        <v>7058974.1200000001</v>
      </c>
      <c r="U98" s="142">
        <f>SUM(T40:T48)+SUM(T52:T73)+SUM(T77:T95)-T98</f>
        <v>0</v>
      </c>
      <c r="V98" s="138" t="s">
        <v>265</v>
      </c>
      <c r="W98" s="126"/>
      <c r="X98" s="152">
        <f t="shared" si="37"/>
        <v>8096100.25</v>
      </c>
      <c r="Y98" s="126"/>
      <c r="Z98" s="152">
        <f t="shared" si="38"/>
        <v>7058974.1200000001</v>
      </c>
      <c r="AA98" s="126"/>
      <c r="AB98" s="152">
        <f>I98-T98</f>
        <v>1037126.1299999999</v>
      </c>
      <c r="AC98" s="152"/>
      <c r="AD98" s="157">
        <f>I98/T98</f>
        <v>1.1469230673422557</v>
      </c>
      <c r="AE98" s="152"/>
      <c r="AF98" s="153">
        <v>0</v>
      </c>
    </row>
    <row r="99" spans="1:33" s="63" customFormat="1" ht="54.95" customHeight="1" x14ac:dyDescent="0.85">
      <c r="A99" s="126"/>
      <c r="B99" s="139"/>
      <c r="C99" s="139"/>
      <c r="D99" s="139"/>
      <c r="E99" s="139"/>
      <c r="F99" s="139"/>
      <c r="G99" s="139"/>
      <c r="H99" s="139"/>
      <c r="I99" s="139"/>
      <c r="J99" s="127"/>
      <c r="K99" s="127"/>
      <c r="L99" s="127"/>
      <c r="M99" s="139"/>
      <c r="N99" s="139"/>
      <c r="O99" s="139"/>
      <c r="P99" s="139"/>
      <c r="Q99" s="139"/>
      <c r="R99" s="139"/>
      <c r="S99" s="139"/>
      <c r="T99" s="139"/>
      <c r="U99" s="126"/>
      <c r="V99" s="127"/>
      <c r="W99" s="126"/>
      <c r="X99" s="128"/>
      <c r="Y99" s="126"/>
      <c r="Z99" s="128">
        <f t="shared" si="38"/>
        <v>0</v>
      </c>
      <c r="AA99" s="126"/>
      <c r="AB99" s="128"/>
      <c r="AC99" s="128"/>
      <c r="AD99" s="150"/>
      <c r="AE99" s="128"/>
      <c r="AF99" s="150"/>
    </row>
    <row r="100" spans="1:33" s="63" customFormat="1" ht="54.95" customHeight="1" x14ac:dyDescent="0.85">
      <c r="A100" s="137" t="s">
        <v>468</v>
      </c>
      <c r="B100" s="139"/>
      <c r="C100" s="139"/>
      <c r="D100" s="139"/>
      <c r="E100" s="139"/>
      <c r="F100" s="139"/>
      <c r="G100" s="139"/>
      <c r="H100" s="139"/>
      <c r="I100" s="139"/>
      <c r="J100" s="127"/>
      <c r="K100" s="127"/>
      <c r="L100" s="137" t="s">
        <v>468</v>
      </c>
      <c r="M100" s="139"/>
      <c r="N100" s="139"/>
      <c r="O100" s="139"/>
      <c r="P100" s="139"/>
      <c r="Q100" s="139"/>
      <c r="R100" s="139"/>
      <c r="S100" s="139"/>
      <c r="T100" s="139"/>
      <c r="U100" s="126"/>
      <c r="V100" s="137" t="s">
        <v>468</v>
      </c>
      <c r="W100" s="126"/>
      <c r="X100" s="128"/>
      <c r="Y100" s="126"/>
      <c r="Z100" s="128">
        <f t="shared" si="38"/>
        <v>0</v>
      </c>
      <c r="AA100" s="126"/>
      <c r="AB100" s="128"/>
      <c r="AC100" s="128"/>
      <c r="AD100" s="129"/>
      <c r="AE100" s="129"/>
      <c r="AF100" s="129"/>
      <c r="AG100" s="67"/>
    </row>
    <row r="101" spans="1:33" s="63" customFormat="1" ht="54.95" customHeight="1" x14ac:dyDescent="0.85">
      <c r="A101" s="126" t="s">
        <v>268</v>
      </c>
      <c r="B101" s="139">
        <f>CNT!N266</f>
        <v>112500</v>
      </c>
      <c r="C101" s="139">
        <v>0</v>
      </c>
      <c r="D101" s="139">
        <f>DEP!K71</f>
        <v>112500</v>
      </c>
      <c r="E101" s="139">
        <v>0</v>
      </c>
      <c r="F101" s="139">
        <f>'BSC (Dome)'!K75+'BSC (Dome)'!K76</f>
        <v>49000</v>
      </c>
      <c r="G101" s="139">
        <f>'Oliari Co.'!K21+'Oliari Co.'!K22</f>
        <v>159300</v>
      </c>
      <c r="H101" s="139">
        <f>'722 Bedford St'!K22+'722 Bedford St'!K23</f>
        <v>142500</v>
      </c>
      <c r="I101" s="139">
        <f t="shared" ref="I101:I116" si="43">SUM(B101:H101)</f>
        <v>575800</v>
      </c>
      <c r="J101" s="140"/>
      <c r="K101" s="140"/>
      <c r="L101" s="127" t="s">
        <v>268</v>
      </c>
      <c r="M101" s="139">
        <v>0</v>
      </c>
      <c r="N101" s="139">
        <v>0</v>
      </c>
      <c r="O101" s="139">
        <v>0</v>
      </c>
      <c r="P101" s="139">
        <v>0</v>
      </c>
      <c r="Q101" s="139">
        <f>40425.61+2200</f>
        <v>42625.61</v>
      </c>
      <c r="R101" s="139">
        <f>9000+323600</f>
        <v>332600</v>
      </c>
      <c r="S101" s="139">
        <v>100000</v>
      </c>
      <c r="T101" s="139">
        <f>SUM(M101:S101)</f>
        <v>475225.61</v>
      </c>
      <c r="U101" s="141"/>
      <c r="V101" s="127" t="s">
        <v>268</v>
      </c>
      <c r="W101" s="141"/>
      <c r="X101" s="142">
        <f t="shared" si="37"/>
        <v>575800</v>
      </c>
      <c r="Y101" s="141"/>
      <c r="Z101" s="142">
        <f t="shared" si="38"/>
        <v>475225.61</v>
      </c>
      <c r="AA101" s="141"/>
      <c r="AB101" s="142">
        <f>I101-T101</f>
        <v>100574.39000000001</v>
      </c>
      <c r="AC101" s="142"/>
      <c r="AD101" s="129"/>
      <c r="AE101" s="129"/>
      <c r="AF101" s="129"/>
      <c r="AG101" s="67"/>
    </row>
    <row r="102" spans="1:33" s="63" customFormat="1" ht="54.95" customHeight="1" x14ac:dyDescent="0.85">
      <c r="A102" s="126" t="s">
        <v>269</v>
      </c>
      <c r="B102" s="139">
        <f>CNT!N267</f>
        <v>311113.75</v>
      </c>
      <c r="C102" s="139">
        <v>0</v>
      </c>
      <c r="D102" s="139">
        <v>0</v>
      </c>
      <c r="E102" s="139">
        <v>0</v>
      </c>
      <c r="F102" s="139">
        <v>0</v>
      </c>
      <c r="G102" s="139">
        <v>0</v>
      </c>
      <c r="H102" s="139">
        <v>0</v>
      </c>
      <c r="I102" s="139">
        <f t="shared" si="43"/>
        <v>311113.75</v>
      </c>
      <c r="J102" s="140"/>
      <c r="K102" s="140"/>
      <c r="L102" s="127" t="s">
        <v>269</v>
      </c>
      <c r="M102" s="139">
        <v>309547.5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0</v>
      </c>
      <c r="T102" s="139">
        <f>SUM(M102:S102)</f>
        <v>309547.5</v>
      </c>
      <c r="U102" s="141"/>
      <c r="V102" s="127" t="s">
        <v>269</v>
      </c>
      <c r="W102" s="141"/>
      <c r="X102" s="142">
        <f t="shared" si="37"/>
        <v>311113.75</v>
      </c>
      <c r="Y102" s="141"/>
      <c r="Z102" s="142">
        <f t="shared" si="38"/>
        <v>309547.5</v>
      </c>
      <c r="AA102" s="141"/>
      <c r="AB102" s="142">
        <f t="shared" ref="AB102:AB111" si="44">I102-T102</f>
        <v>1566.25</v>
      </c>
      <c r="AC102" s="142"/>
      <c r="AD102" s="129"/>
      <c r="AE102" s="129"/>
      <c r="AF102" s="129"/>
      <c r="AG102" s="67"/>
    </row>
    <row r="103" spans="1:33" s="63" customFormat="1" ht="54.95" customHeight="1" x14ac:dyDescent="0.85">
      <c r="A103" s="126" t="s">
        <v>327</v>
      </c>
      <c r="B103" s="139">
        <v>0</v>
      </c>
      <c r="C103" s="139">
        <f>-BPM!K56</f>
        <v>-311113.75</v>
      </c>
      <c r="D103" s="139">
        <v>0</v>
      </c>
      <c r="E103" s="139">
        <v>0</v>
      </c>
      <c r="F103" s="139">
        <v>0</v>
      </c>
      <c r="G103" s="139">
        <v>0</v>
      </c>
      <c r="H103" s="139">
        <v>0</v>
      </c>
      <c r="I103" s="139">
        <f t="shared" si="43"/>
        <v>-311113.75</v>
      </c>
      <c r="J103" s="140"/>
      <c r="K103" s="140"/>
      <c r="L103" s="127" t="s">
        <v>327</v>
      </c>
      <c r="M103" s="139">
        <v>0</v>
      </c>
      <c r="N103" s="139">
        <v>-309547.5</v>
      </c>
      <c r="O103" s="139">
        <v>-10000</v>
      </c>
      <c r="P103" s="139">
        <v>0</v>
      </c>
      <c r="Q103" s="139">
        <v>0</v>
      </c>
      <c r="R103" s="139">
        <v>0</v>
      </c>
      <c r="S103" s="139">
        <v>0</v>
      </c>
      <c r="T103" s="139">
        <f>SUM(M103:S103)</f>
        <v>-319547.5</v>
      </c>
      <c r="U103" s="141"/>
      <c r="V103" s="127" t="s">
        <v>327</v>
      </c>
      <c r="W103" s="141"/>
      <c r="X103" s="142">
        <f t="shared" si="37"/>
        <v>-311113.75</v>
      </c>
      <c r="Y103" s="141"/>
      <c r="Z103" s="142">
        <f t="shared" si="38"/>
        <v>-319547.5</v>
      </c>
      <c r="AA103" s="141"/>
      <c r="AB103" s="142">
        <f t="shared" si="44"/>
        <v>8433.75</v>
      </c>
      <c r="AC103" s="142"/>
      <c r="AD103" s="129"/>
      <c r="AE103" s="129"/>
      <c r="AF103" s="129"/>
      <c r="AG103" s="67"/>
    </row>
    <row r="104" spans="1:33" s="63" customFormat="1" ht="54.95" customHeight="1" x14ac:dyDescent="0.85">
      <c r="A104" s="126" t="s">
        <v>389</v>
      </c>
      <c r="B104" s="139">
        <f>CNT!N268</f>
        <v>49196.87</v>
      </c>
      <c r="C104" s="139">
        <f>-BPM!K57</f>
        <v>-49196.87</v>
      </c>
      <c r="D104" s="139">
        <v>0</v>
      </c>
      <c r="E104" s="139">
        <v>0</v>
      </c>
      <c r="F104" s="139">
        <v>0</v>
      </c>
      <c r="G104" s="139">
        <v>0</v>
      </c>
      <c r="H104" s="139">
        <v>0</v>
      </c>
      <c r="I104" s="139">
        <f t="shared" si="43"/>
        <v>0</v>
      </c>
      <c r="J104" s="140"/>
      <c r="K104" s="140"/>
      <c r="L104" s="127" t="s">
        <v>389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41"/>
      <c r="V104" s="127" t="s">
        <v>389</v>
      </c>
      <c r="W104" s="141"/>
      <c r="X104" s="142">
        <f t="shared" si="37"/>
        <v>0</v>
      </c>
      <c r="Y104" s="141"/>
      <c r="Z104" s="142">
        <f t="shared" si="38"/>
        <v>0</v>
      </c>
      <c r="AA104" s="141"/>
      <c r="AB104" s="142">
        <f t="shared" si="44"/>
        <v>0</v>
      </c>
      <c r="AC104" s="142"/>
      <c r="AD104" s="129"/>
      <c r="AE104" s="129"/>
      <c r="AF104" s="129"/>
      <c r="AG104" s="67"/>
    </row>
    <row r="105" spans="1:33" s="63" customFormat="1" ht="54.95" customHeight="1" x14ac:dyDescent="0.85">
      <c r="A105" s="126" t="s">
        <v>270</v>
      </c>
      <c r="B105" s="139">
        <f>CNT!N269</f>
        <v>154224.38999999998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f t="shared" si="43"/>
        <v>154224.38999999998</v>
      </c>
      <c r="J105" s="140"/>
      <c r="K105" s="140"/>
      <c r="L105" s="127" t="s">
        <v>270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f t="shared" ref="T105:T116" si="45">SUM(M105:S105)</f>
        <v>0</v>
      </c>
      <c r="U105" s="141"/>
      <c r="V105" s="127" t="s">
        <v>270</v>
      </c>
      <c r="W105" s="141"/>
      <c r="X105" s="142">
        <f t="shared" si="37"/>
        <v>154224.38999999998</v>
      </c>
      <c r="Y105" s="141"/>
      <c r="Z105" s="142">
        <f t="shared" si="38"/>
        <v>0</v>
      </c>
      <c r="AA105" s="141"/>
      <c r="AB105" s="142">
        <f t="shared" si="44"/>
        <v>154224.38999999998</v>
      </c>
      <c r="AC105" s="142"/>
      <c r="AD105" s="129"/>
      <c r="AE105" s="129"/>
      <c r="AF105" s="129"/>
      <c r="AG105" s="67"/>
    </row>
    <row r="106" spans="1:33" s="63" customFormat="1" ht="54.95" customHeight="1" x14ac:dyDescent="0.85">
      <c r="A106" s="126" t="s">
        <v>271</v>
      </c>
      <c r="B106" s="139">
        <f>CNT!N270</f>
        <v>183407.18</v>
      </c>
      <c r="C106" s="139">
        <f>-BPM!K58</f>
        <v>9639.16</v>
      </c>
      <c r="D106" s="139">
        <f>DEP!K72</f>
        <v>24546.61</v>
      </c>
      <c r="E106" s="139">
        <f>Lending!K16</f>
        <v>39725.869999999995</v>
      </c>
      <c r="F106" s="139">
        <v>0</v>
      </c>
      <c r="G106" s="139">
        <f>'Oliari Co.'!K24</f>
        <v>32578.850000000002</v>
      </c>
      <c r="H106" s="139">
        <v>0</v>
      </c>
      <c r="I106" s="139">
        <f t="shared" si="43"/>
        <v>289897.67</v>
      </c>
      <c r="J106" s="140"/>
      <c r="K106" s="140"/>
      <c r="L106" s="127" t="s">
        <v>271</v>
      </c>
      <c r="M106" s="139">
        <v>181643.5</v>
      </c>
      <c r="N106" s="139">
        <v>0</v>
      </c>
      <c r="O106" s="139">
        <v>0</v>
      </c>
      <c r="P106" s="139">
        <v>87564.59</v>
      </c>
      <c r="Q106" s="139">
        <v>0</v>
      </c>
      <c r="R106" s="139">
        <v>38363.26</v>
      </c>
      <c r="S106" s="139">
        <v>0</v>
      </c>
      <c r="T106" s="139">
        <f t="shared" si="45"/>
        <v>307571.34999999998</v>
      </c>
      <c r="U106" s="141"/>
      <c r="V106" s="127" t="s">
        <v>271</v>
      </c>
      <c r="W106" s="141"/>
      <c r="X106" s="142">
        <f t="shared" si="37"/>
        <v>289897.67</v>
      </c>
      <c r="Y106" s="141"/>
      <c r="Z106" s="142">
        <f t="shared" si="38"/>
        <v>307571.34999999998</v>
      </c>
      <c r="AA106" s="141"/>
      <c r="AB106" s="142">
        <f t="shared" si="44"/>
        <v>-17673.679999999993</v>
      </c>
      <c r="AC106" s="142"/>
      <c r="AD106" s="129"/>
      <c r="AE106" s="129"/>
      <c r="AF106" s="129"/>
      <c r="AG106" s="67"/>
    </row>
    <row r="107" spans="1:33" s="63" customFormat="1" ht="54.95" customHeight="1" x14ac:dyDescent="0.85">
      <c r="A107" s="126" t="s">
        <v>272</v>
      </c>
      <c r="B107" s="139">
        <f>CNT!N271</f>
        <v>-137770.54999999999</v>
      </c>
      <c r="C107" s="139">
        <v>0</v>
      </c>
      <c r="D107" s="139">
        <v>0</v>
      </c>
      <c r="E107" s="139">
        <f>Lending!K17</f>
        <v>-4702.0200000000004</v>
      </c>
      <c r="F107" s="139">
        <f>'BSC (Dome)'!K78+'BSC (Dome)'!K79</f>
        <v>-87107.24</v>
      </c>
      <c r="G107" s="139">
        <f>'Oliari Co.'!K25</f>
        <v>-7748.3700000000008</v>
      </c>
      <c r="H107" s="139">
        <v>0</v>
      </c>
      <c r="I107" s="139">
        <f t="shared" si="43"/>
        <v>-237328.18</v>
      </c>
      <c r="J107" s="140"/>
      <c r="K107" s="140"/>
      <c r="L107" s="127" t="s">
        <v>272</v>
      </c>
      <c r="M107" s="139">
        <v>-166093.94</v>
      </c>
      <c r="N107" s="139">
        <v>0</v>
      </c>
      <c r="O107" s="139">
        <v>0</v>
      </c>
      <c r="P107" s="139">
        <v>-12533.52</v>
      </c>
      <c r="Q107" s="139">
        <f>-34474.58+-54528.39</f>
        <v>-89002.97</v>
      </c>
      <c r="R107" s="139">
        <f>-16173.41-9500.81-1721.86</f>
        <v>-27396.080000000002</v>
      </c>
      <c r="S107" s="139">
        <v>0</v>
      </c>
      <c r="T107" s="139">
        <f t="shared" si="45"/>
        <v>-295026.51</v>
      </c>
      <c r="U107" s="141"/>
      <c r="V107" s="127" t="s">
        <v>272</v>
      </c>
      <c r="W107" s="141"/>
      <c r="X107" s="142">
        <f t="shared" si="37"/>
        <v>-237328.18</v>
      </c>
      <c r="Y107" s="141"/>
      <c r="Z107" s="142">
        <f t="shared" si="38"/>
        <v>-295026.51</v>
      </c>
      <c r="AA107" s="141"/>
      <c r="AB107" s="142">
        <f t="shared" si="44"/>
        <v>57698.330000000016</v>
      </c>
      <c r="AC107" s="142"/>
      <c r="AD107" s="129"/>
      <c r="AE107" s="129"/>
      <c r="AF107" s="129"/>
      <c r="AG107" s="67"/>
    </row>
    <row r="108" spans="1:33" s="63" customFormat="1" ht="54.95" customHeight="1" x14ac:dyDescent="0.85">
      <c r="A108" s="126" t="s">
        <v>273</v>
      </c>
      <c r="B108" s="139">
        <f>CNT!N272</f>
        <v>49.6</v>
      </c>
      <c r="C108" s="139">
        <v>0</v>
      </c>
      <c r="D108" s="139">
        <v>0</v>
      </c>
      <c r="E108" s="139">
        <v>0</v>
      </c>
      <c r="F108" s="139">
        <f>'BSC (Dome)'!K77</f>
        <v>1912.98</v>
      </c>
      <c r="G108" s="139">
        <f>'Oliari Co.'!K23</f>
        <v>1.01</v>
      </c>
      <c r="H108" s="139">
        <v>0</v>
      </c>
      <c r="I108" s="139">
        <f t="shared" si="43"/>
        <v>1963.59</v>
      </c>
      <c r="J108" s="140"/>
      <c r="K108" s="140"/>
      <c r="L108" s="127" t="s">
        <v>273</v>
      </c>
      <c r="M108" s="139">
        <v>0</v>
      </c>
      <c r="N108" s="139">
        <v>0</v>
      </c>
      <c r="O108" s="139">
        <v>0</v>
      </c>
      <c r="P108" s="139">
        <v>0</v>
      </c>
      <c r="Q108" s="139">
        <v>0</v>
      </c>
      <c r="R108" s="139">
        <v>0</v>
      </c>
      <c r="S108" s="139">
        <v>0</v>
      </c>
      <c r="T108" s="139">
        <f t="shared" si="45"/>
        <v>0</v>
      </c>
      <c r="U108" s="141"/>
      <c r="V108" s="127" t="s">
        <v>273</v>
      </c>
      <c r="W108" s="141"/>
      <c r="X108" s="142">
        <f t="shared" si="37"/>
        <v>1963.59</v>
      </c>
      <c r="Y108" s="141"/>
      <c r="Z108" s="142">
        <f t="shared" si="38"/>
        <v>0</v>
      </c>
      <c r="AA108" s="141"/>
      <c r="AB108" s="142">
        <f t="shared" si="44"/>
        <v>1963.59</v>
      </c>
      <c r="AC108" s="142"/>
      <c r="AD108" s="129"/>
      <c r="AE108" s="129"/>
      <c r="AF108" s="129"/>
      <c r="AG108" s="67"/>
    </row>
    <row r="109" spans="1:33" s="63" customFormat="1" ht="54.95" customHeight="1" x14ac:dyDescent="0.85">
      <c r="A109" s="126" t="s">
        <v>404</v>
      </c>
      <c r="B109" s="139">
        <f>CNT!N273</f>
        <v>25869.809999999998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  <c r="H109" s="139">
        <v>0</v>
      </c>
      <c r="I109" s="139">
        <f t="shared" si="43"/>
        <v>25869.809999999998</v>
      </c>
      <c r="J109" s="140"/>
      <c r="K109" s="140"/>
      <c r="L109" s="126" t="s">
        <v>404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f t="shared" si="45"/>
        <v>0</v>
      </c>
      <c r="U109" s="141"/>
      <c r="V109" s="126" t="s">
        <v>404</v>
      </c>
      <c r="W109" s="141"/>
      <c r="X109" s="142">
        <f t="shared" si="37"/>
        <v>25869.809999999998</v>
      </c>
      <c r="Y109" s="141"/>
      <c r="Z109" s="142">
        <f t="shared" si="38"/>
        <v>0</v>
      </c>
      <c r="AA109" s="141"/>
      <c r="AB109" s="142">
        <f t="shared" si="44"/>
        <v>25869.809999999998</v>
      </c>
      <c r="AC109" s="142"/>
      <c r="AD109" s="129"/>
      <c r="AE109" s="129"/>
      <c r="AF109" s="129"/>
      <c r="AG109" s="67"/>
    </row>
    <row r="110" spans="1:33" s="63" customFormat="1" ht="54.95" customHeight="1" x14ac:dyDescent="0.85">
      <c r="A110" s="126" t="s">
        <v>444</v>
      </c>
      <c r="B110" s="139">
        <f>CNT!N274</f>
        <v>5035.16</v>
      </c>
      <c r="C110" s="139">
        <v>0</v>
      </c>
      <c r="D110" s="139">
        <v>0</v>
      </c>
      <c r="E110" s="139">
        <v>0</v>
      </c>
      <c r="F110" s="139">
        <v>0</v>
      </c>
      <c r="G110" s="139">
        <v>0</v>
      </c>
      <c r="H110" s="139">
        <v>0</v>
      </c>
      <c r="I110" s="139">
        <f t="shared" si="43"/>
        <v>5035.16</v>
      </c>
      <c r="J110" s="140"/>
      <c r="K110" s="140"/>
      <c r="L110" s="126" t="s">
        <v>444</v>
      </c>
      <c r="M110" s="139">
        <v>0</v>
      </c>
      <c r="N110" s="139">
        <v>0</v>
      </c>
      <c r="O110" s="139">
        <v>0</v>
      </c>
      <c r="P110" s="139">
        <v>0</v>
      </c>
      <c r="Q110" s="139">
        <v>0</v>
      </c>
      <c r="R110" s="139">
        <v>0</v>
      </c>
      <c r="S110" s="139">
        <v>0</v>
      </c>
      <c r="T110" s="139">
        <f t="shared" si="45"/>
        <v>0</v>
      </c>
      <c r="U110" s="141"/>
      <c r="V110" s="126" t="s">
        <v>444</v>
      </c>
      <c r="W110" s="141"/>
      <c r="X110" s="142"/>
      <c r="Y110" s="141"/>
      <c r="Z110" s="142">
        <f t="shared" si="38"/>
        <v>0</v>
      </c>
      <c r="AA110" s="141"/>
      <c r="AB110" s="142">
        <f t="shared" si="44"/>
        <v>5035.16</v>
      </c>
      <c r="AC110" s="142"/>
      <c r="AD110" s="129"/>
      <c r="AE110" s="129"/>
      <c r="AF110" s="129"/>
      <c r="AG110" s="67"/>
    </row>
    <row r="111" spans="1:33" s="63" customFormat="1" ht="54.95" customHeight="1" x14ac:dyDescent="0.85">
      <c r="A111" s="126" t="s">
        <v>445</v>
      </c>
      <c r="B111" s="139">
        <f>CNT!N276</f>
        <v>25430.999999999996</v>
      </c>
      <c r="C111" s="139">
        <v>0</v>
      </c>
      <c r="D111" s="139">
        <v>0</v>
      </c>
      <c r="E111" s="139">
        <v>0</v>
      </c>
      <c r="F111" s="139">
        <v>0</v>
      </c>
      <c r="G111" s="139">
        <v>0</v>
      </c>
      <c r="H111" s="139">
        <v>0</v>
      </c>
      <c r="I111" s="139">
        <f t="shared" si="43"/>
        <v>25430.999999999996</v>
      </c>
      <c r="J111" s="140"/>
      <c r="K111" s="140"/>
      <c r="L111" s="126" t="s">
        <v>445</v>
      </c>
      <c r="M111" s="139">
        <v>0</v>
      </c>
      <c r="N111" s="139">
        <v>0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f t="shared" si="45"/>
        <v>0</v>
      </c>
      <c r="U111" s="141"/>
      <c r="V111" s="126" t="s">
        <v>445</v>
      </c>
      <c r="W111" s="141"/>
      <c r="X111" s="142"/>
      <c r="Y111" s="141"/>
      <c r="Z111" s="142">
        <f t="shared" si="38"/>
        <v>0</v>
      </c>
      <c r="AA111" s="141"/>
      <c r="AB111" s="142">
        <f t="shared" si="44"/>
        <v>25430.999999999996</v>
      </c>
      <c r="AC111" s="142"/>
      <c r="AD111" s="129"/>
      <c r="AE111" s="129"/>
      <c r="AF111" s="129"/>
      <c r="AG111" s="67"/>
    </row>
    <row r="112" spans="1:33" s="63" customFormat="1" ht="54.95" customHeight="1" x14ac:dyDescent="0.85">
      <c r="A112" s="126" t="s">
        <v>406</v>
      </c>
      <c r="B112" s="139">
        <f>CNT!N275</f>
        <v>22084.030000000002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f t="shared" si="43"/>
        <v>22084.030000000002</v>
      </c>
      <c r="J112" s="140"/>
      <c r="K112" s="140"/>
      <c r="L112" s="126" t="s">
        <v>406</v>
      </c>
      <c r="M112" s="139">
        <v>0</v>
      </c>
      <c r="N112" s="139">
        <v>0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41"/>
      <c r="V112" s="126" t="s">
        <v>406</v>
      </c>
      <c r="W112" s="141"/>
      <c r="X112" s="142">
        <f t="shared" si="37"/>
        <v>22084.030000000002</v>
      </c>
      <c r="Y112" s="141"/>
      <c r="Z112" s="142">
        <f t="shared" si="38"/>
        <v>0</v>
      </c>
      <c r="AA112" s="141"/>
      <c r="AB112" s="142"/>
      <c r="AC112" s="142"/>
      <c r="AD112" s="129"/>
      <c r="AE112" s="129"/>
      <c r="AF112" s="129"/>
      <c r="AG112" s="67"/>
    </row>
    <row r="113" spans="1:33" s="63" customFormat="1" ht="54.95" customHeight="1" x14ac:dyDescent="0.85">
      <c r="A113" s="126" t="s">
        <v>455</v>
      </c>
      <c r="B113" s="139">
        <f>CNT!N277</f>
        <v>3098.28</v>
      </c>
      <c r="C113" s="139">
        <v>0</v>
      </c>
      <c r="D113" s="139">
        <v>0</v>
      </c>
      <c r="E113" s="139">
        <v>0</v>
      </c>
      <c r="F113" s="139">
        <v>0</v>
      </c>
      <c r="G113" s="139">
        <v>0</v>
      </c>
      <c r="H113" s="139">
        <v>0</v>
      </c>
      <c r="I113" s="139">
        <f t="shared" si="43"/>
        <v>3098.28</v>
      </c>
      <c r="J113" s="140"/>
      <c r="K113" s="140"/>
      <c r="L113" s="126" t="s">
        <v>455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41"/>
      <c r="V113" s="126" t="s">
        <v>455</v>
      </c>
      <c r="W113" s="141"/>
      <c r="X113" s="142"/>
      <c r="Y113" s="141"/>
      <c r="Z113" s="142">
        <f t="shared" si="38"/>
        <v>0</v>
      </c>
      <c r="AA113" s="141"/>
      <c r="AB113" s="142"/>
      <c r="AC113" s="142"/>
      <c r="AD113" s="129"/>
      <c r="AE113" s="129"/>
      <c r="AF113" s="129"/>
      <c r="AG113" s="67"/>
    </row>
    <row r="114" spans="1:33" s="63" customFormat="1" ht="54.95" customHeight="1" x14ac:dyDescent="0.85">
      <c r="A114" s="137" t="s">
        <v>469</v>
      </c>
      <c r="B114" s="144">
        <f t="shared" ref="B114:I114" si="46">SUM(B101:B113)</f>
        <v>754239.5199999999</v>
      </c>
      <c r="C114" s="144">
        <f t="shared" si="46"/>
        <v>-350671.46</v>
      </c>
      <c r="D114" s="144">
        <f t="shared" si="46"/>
        <v>137046.60999999999</v>
      </c>
      <c r="E114" s="144">
        <f t="shared" si="46"/>
        <v>35023.849999999991</v>
      </c>
      <c r="F114" s="144">
        <f t="shared" si="46"/>
        <v>-36194.26</v>
      </c>
      <c r="G114" s="144">
        <f t="shared" si="46"/>
        <v>184131.49000000002</v>
      </c>
      <c r="H114" s="144">
        <f t="shared" si="46"/>
        <v>142500</v>
      </c>
      <c r="I114" s="144">
        <f t="shared" si="46"/>
        <v>866075.75000000012</v>
      </c>
      <c r="J114" s="158">
        <f>SUM(I101:I113)-I114</f>
        <v>0</v>
      </c>
      <c r="K114" s="140"/>
      <c r="L114" s="137" t="s">
        <v>469</v>
      </c>
      <c r="M114" s="144">
        <f>SUM(M101:M113)</f>
        <v>325097.06</v>
      </c>
      <c r="N114" s="144">
        <f>SUM(N101:N108)</f>
        <v>-309547.5</v>
      </c>
      <c r="O114" s="144">
        <f>SUM(O101:O108)</f>
        <v>-10000</v>
      </c>
      <c r="P114" s="144">
        <f>SUM(P101:P113)</f>
        <v>75031.069999999992</v>
      </c>
      <c r="Q114" s="144">
        <f>SUM(Q101:Q113)</f>
        <v>-46377.36</v>
      </c>
      <c r="R114" s="144">
        <f>SUM(R101:R113)</f>
        <v>343567.18</v>
      </c>
      <c r="S114" s="144">
        <f>SUM(S101:S113)</f>
        <v>100000</v>
      </c>
      <c r="T114" s="144">
        <f>SUM(M114:S114)</f>
        <v>477770.44999999995</v>
      </c>
      <c r="U114" s="154">
        <f>SUM(T101:T112)-T114</f>
        <v>0</v>
      </c>
      <c r="V114" s="137" t="s">
        <v>469</v>
      </c>
      <c r="W114" s="141"/>
      <c r="X114" s="149">
        <f t="shared" si="37"/>
        <v>866075.75000000012</v>
      </c>
      <c r="Y114" s="141"/>
      <c r="Z114" s="149">
        <f t="shared" si="38"/>
        <v>477770.44999999995</v>
      </c>
      <c r="AA114" s="141"/>
      <c r="AB114" s="149">
        <f>I114-T114</f>
        <v>388305.30000000016</v>
      </c>
      <c r="AC114" s="149"/>
      <c r="AD114" s="129"/>
      <c r="AE114" s="129"/>
      <c r="AF114" s="129"/>
      <c r="AG114" s="67"/>
    </row>
    <row r="115" spans="1:33" s="63" customFormat="1" ht="54.95" customHeight="1" x14ac:dyDescent="0.85">
      <c r="A115" s="137"/>
      <c r="B115" s="139"/>
      <c r="C115" s="139"/>
      <c r="D115" s="139"/>
      <c r="E115" s="139"/>
      <c r="F115" s="139"/>
      <c r="G115" s="139"/>
      <c r="H115" s="139"/>
      <c r="I115" s="139">
        <f t="shared" si="43"/>
        <v>0</v>
      </c>
      <c r="J115" s="140"/>
      <c r="K115" s="140"/>
      <c r="L115" s="138"/>
      <c r="M115" s="139"/>
      <c r="N115" s="139"/>
      <c r="O115" s="139"/>
      <c r="P115" s="139"/>
      <c r="Q115" s="139"/>
      <c r="R115" s="139"/>
      <c r="S115" s="139"/>
      <c r="T115" s="139">
        <f t="shared" si="45"/>
        <v>0</v>
      </c>
      <c r="U115" s="141"/>
      <c r="V115" s="138"/>
      <c r="W115" s="141"/>
      <c r="X115" s="142"/>
      <c r="Y115" s="141"/>
      <c r="Z115" s="142">
        <f t="shared" si="38"/>
        <v>0</v>
      </c>
      <c r="AA115" s="141"/>
      <c r="AB115" s="142"/>
      <c r="AC115" s="142"/>
      <c r="AD115" s="129"/>
      <c r="AE115" s="129"/>
      <c r="AF115" s="129"/>
      <c r="AG115" s="67"/>
    </row>
    <row r="116" spans="1:33" s="173" customFormat="1" ht="69.95" customHeight="1" thickBot="1" x14ac:dyDescent="1.1000000000000001">
      <c r="A116" s="183" t="s">
        <v>267</v>
      </c>
      <c r="B116" s="184">
        <f>B35-B98+B114</f>
        <v>-866177.09999820741</v>
      </c>
      <c r="C116" s="184">
        <f t="shared" ref="C116:H116" si="47">C35-C98+C114</f>
        <v>409024.82000001491</v>
      </c>
      <c r="D116" s="184">
        <f t="shared" si="47"/>
        <v>1266280.71</v>
      </c>
      <c r="E116" s="184">
        <f>E35-E98+E114</f>
        <v>20409.12999999999</v>
      </c>
      <c r="F116" s="184">
        <f t="shared" si="47"/>
        <v>-57152.549999999806</v>
      </c>
      <c r="G116" s="184">
        <f>G35-G98+G114</f>
        <v>97700.06</v>
      </c>
      <c r="H116" s="184">
        <f t="shared" si="47"/>
        <v>9032.8099999999977</v>
      </c>
      <c r="I116" s="184">
        <f t="shared" si="43"/>
        <v>879117.88000180759</v>
      </c>
      <c r="J116" s="179"/>
      <c r="K116" s="179"/>
      <c r="L116" s="185" t="s">
        <v>267</v>
      </c>
      <c r="M116" s="184">
        <f t="shared" ref="M116:S116" si="48">M35-M98+M114</f>
        <v>-817103.95999807352</v>
      </c>
      <c r="N116" s="184">
        <f t="shared" si="48"/>
        <v>191371.89999999671</v>
      </c>
      <c r="O116" s="184">
        <f t="shared" si="48"/>
        <v>703070.16</v>
      </c>
      <c r="P116" s="184">
        <f t="shared" si="48"/>
        <v>70543.56</v>
      </c>
      <c r="Q116" s="184">
        <f>Q35-Q98+Q114</f>
        <v>-98430.059999999954</v>
      </c>
      <c r="R116" s="184">
        <f>R35-R98+R114</f>
        <v>295643.14</v>
      </c>
      <c r="S116" s="184">
        <f t="shared" si="48"/>
        <v>96951.42</v>
      </c>
      <c r="T116" s="184">
        <f t="shared" si="45"/>
        <v>442046.16000192321</v>
      </c>
      <c r="V116" s="185" t="s">
        <v>267</v>
      </c>
      <c r="X116" s="186">
        <f t="shared" si="37"/>
        <v>879117.88000180759</v>
      </c>
      <c r="Z116" s="186">
        <f t="shared" si="38"/>
        <v>442046.16000192321</v>
      </c>
      <c r="AB116" s="186">
        <f>I116-T116</f>
        <v>437071.71999988437</v>
      </c>
      <c r="AC116" s="187"/>
      <c r="AD116" s="178"/>
      <c r="AE116" s="178"/>
      <c r="AF116" s="178"/>
      <c r="AG116" s="178"/>
    </row>
    <row r="117" spans="1:33" ht="39.950000000000003" customHeight="1" thickTop="1" x14ac:dyDescent="0.85">
      <c r="B117" s="139"/>
      <c r="C117" s="139"/>
      <c r="D117" s="139"/>
      <c r="E117" s="139"/>
      <c r="F117" s="139"/>
      <c r="G117" s="139"/>
      <c r="H117" s="139"/>
      <c r="I117" s="139"/>
      <c r="AE117" s="129"/>
      <c r="AG117" s="49"/>
    </row>
    <row r="118" spans="1:33" ht="39.950000000000003" hidden="1" customHeight="1" x14ac:dyDescent="0.85">
      <c r="AE118" s="129"/>
      <c r="AG118" s="49"/>
    </row>
    <row r="119" spans="1:33" s="63" customFormat="1" ht="39.950000000000003" hidden="1" customHeight="1" x14ac:dyDescent="0.85">
      <c r="A119" s="126" t="s">
        <v>332</v>
      </c>
      <c r="B119" s="139">
        <v>-866177.10000047239</v>
      </c>
      <c r="C119" s="167">
        <v>409024.82</v>
      </c>
      <c r="D119" s="167">
        <v>1266280.71</v>
      </c>
      <c r="E119" s="167">
        <v>20409.13</v>
      </c>
      <c r="F119" s="167">
        <v>-57152.55</v>
      </c>
      <c r="G119" s="167">
        <v>97700.06</v>
      </c>
      <c r="H119" s="167">
        <v>9032.81</v>
      </c>
      <c r="I119" s="139">
        <f>SUM(B119:H119)</f>
        <v>879117.87999952747</v>
      </c>
      <c r="J119" s="140"/>
      <c r="K119" s="140"/>
      <c r="L119" s="127"/>
      <c r="M119" s="139">
        <v>-817103.96</v>
      </c>
      <c r="N119" s="139">
        <v>191371.9</v>
      </c>
      <c r="O119" s="139">
        <v>703070.16</v>
      </c>
      <c r="P119" s="139">
        <v>70543.56</v>
      </c>
      <c r="Q119" s="139">
        <v>-98430.06</v>
      </c>
      <c r="R119" s="139">
        <v>295643.14</v>
      </c>
      <c r="S119" s="139">
        <v>96951.42</v>
      </c>
      <c r="T119" s="139">
        <f>SUM(M119:S119)</f>
        <v>442046.16000000009</v>
      </c>
      <c r="U119" s="141"/>
      <c r="V119" s="127"/>
      <c r="W119" s="141"/>
      <c r="X119" s="142"/>
      <c r="Y119" s="141"/>
      <c r="Z119" s="142"/>
      <c r="AA119" s="141"/>
      <c r="AB119" s="142"/>
      <c r="AC119" s="142"/>
      <c r="AD119" s="129"/>
      <c r="AE119" s="129"/>
      <c r="AF119" s="129"/>
      <c r="AG119" s="67"/>
    </row>
    <row r="120" spans="1:33" s="63" customFormat="1" ht="39.950000000000003" hidden="1" customHeight="1" x14ac:dyDescent="0.85">
      <c r="A120" s="126"/>
      <c r="B120" s="139">
        <f t="shared" ref="B120:I120" si="49">B116-B119</f>
        <v>2.2649765014648438E-6</v>
      </c>
      <c r="C120" s="139">
        <f t="shared" si="49"/>
        <v>1.4901161193847656E-8</v>
      </c>
      <c r="D120" s="139">
        <f t="shared" si="49"/>
        <v>0</v>
      </c>
      <c r="E120" s="139">
        <f t="shared" si="49"/>
        <v>0</v>
      </c>
      <c r="F120" s="139">
        <f t="shared" si="49"/>
        <v>1.964508555829525E-10</v>
      </c>
      <c r="G120" s="139">
        <f t="shared" si="49"/>
        <v>0</v>
      </c>
      <c r="H120" s="139">
        <f t="shared" si="49"/>
        <v>0</v>
      </c>
      <c r="I120" s="139">
        <f t="shared" si="49"/>
        <v>2.2801104933023453E-6</v>
      </c>
      <c r="J120" s="140"/>
      <c r="K120" s="140"/>
      <c r="L120" s="127"/>
      <c r="M120" s="139">
        <f>M116-M119</f>
        <v>1.9264407455921173E-6</v>
      </c>
      <c r="N120" s="139">
        <f t="shared" ref="N120:S120" si="50">N116-N119</f>
        <v>-3.2887328416109085E-9</v>
      </c>
      <c r="O120" s="139">
        <f t="shared" si="50"/>
        <v>0</v>
      </c>
      <c r="P120" s="139">
        <f t="shared" si="50"/>
        <v>0</v>
      </c>
      <c r="Q120" s="139">
        <f>Q116-Q119</f>
        <v>0</v>
      </c>
      <c r="R120" s="139">
        <f>R116-R119</f>
        <v>0</v>
      </c>
      <c r="S120" s="139">
        <f t="shared" si="50"/>
        <v>0</v>
      </c>
      <c r="T120" s="139">
        <f>T116-T119</f>
        <v>1.9231229089200497E-6</v>
      </c>
      <c r="U120" s="141"/>
      <c r="V120" s="127"/>
      <c r="W120" s="141"/>
      <c r="X120" s="142"/>
      <c r="Y120" s="141"/>
      <c r="Z120" s="142"/>
      <c r="AA120" s="141"/>
      <c r="AB120" s="142"/>
      <c r="AC120" s="142"/>
      <c r="AD120" s="129"/>
      <c r="AE120" s="129"/>
      <c r="AF120" s="129"/>
      <c r="AG120" s="67"/>
    </row>
    <row r="121" spans="1:33" s="63" customFormat="1" ht="39.950000000000003" customHeight="1" x14ac:dyDescent="0.85">
      <c r="A121" s="126"/>
      <c r="B121" s="139"/>
      <c r="C121" s="139"/>
      <c r="D121" s="139"/>
      <c r="E121" s="139"/>
      <c r="F121" s="139"/>
      <c r="G121" s="139"/>
      <c r="H121" s="139"/>
      <c r="I121" s="139">
        <f>I35-I49-I74-I96+I114-I116</f>
        <v>-1.1641532182693481E-9</v>
      </c>
      <c r="J121" s="140"/>
      <c r="K121" s="140"/>
      <c r="L121" s="127"/>
      <c r="M121" s="139"/>
      <c r="N121" s="139"/>
      <c r="O121" s="139"/>
      <c r="P121" s="139"/>
      <c r="Q121" s="139"/>
      <c r="R121" s="139"/>
      <c r="S121" s="139"/>
      <c r="T121" s="139">
        <f>T35-T49-T74-T96+T114-T116</f>
        <v>-5.8207660913467407E-10</v>
      </c>
      <c r="U121" s="141"/>
      <c r="V121" s="127"/>
      <c r="W121" s="141"/>
      <c r="X121" s="142"/>
      <c r="Y121" s="141"/>
      <c r="Z121" s="142"/>
      <c r="AA121" s="141"/>
      <c r="AB121" s="142"/>
      <c r="AC121" s="142"/>
      <c r="AD121" s="129"/>
      <c r="AE121" s="129"/>
      <c r="AF121" s="129"/>
      <c r="AG121" s="67"/>
    </row>
    <row r="122" spans="1:33" s="173" customFormat="1" ht="69.95" customHeight="1" x14ac:dyDescent="1.05">
      <c r="A122" s="173" t="s">
        <v>483</v>
      </c>
      <c r="B122" s="174"/>
      <c r="C122" s="174"/>
      <c r="D122" s="174"/>
      <c r="E122" s="174"/>
      <c r="F122" s="174"/>
      <c r="G122" s="174"/>
      <c r="H122" s="174"/>
      <c r="I122" s="174"/>
      <c r="J122" s="175"/>
      <c r="K122" s="175"/>
      <c r="M122" s="174"/>
      <c r="N122" s="174"/>
      <c r="O122" s="174"/>
      <c r="P122" s="174"/>
      <c r="Q122" s="174"/>
      <c r="R122" s="174" t="s">
        <v>424</v>
      </c>
      <c r="S122" s="174"/>
      <c r="T122" s="174"/>
      <c r="U122" s="176"/>
      <c r="W122" s="176"/>
      <c r="X122" s="177"/>
      <c r="Y122" s="176"/>
      <c r="Z122" s="177"/>
      <c r="AA122" s="176"/>
      <c r="AB122" s="177"/>
      <c r="AC122" s="177"/>
      <c r="AD122" s="178"/>
      <c r="AE122" s="178"/>
      <c r="AF122" s="178"/>
      <c r="AG122" s="178"/>
    </row>
    <row r="123" spans="1:33" s="173" customFormat="1" ht="69.95" customHeight="1" x14ac:dyDescent="1.05">
      <c r="A123" s="173" t="s">
        <v>484</v>
      </c>
      <c r="B123" s="174">
        <f>-477376.41-469372.32</f>
        <v>-946748.73</v>
      </c>
      <c r="C123" s="174">
        <v>469372.32</v>
      </c>
      <c r="D123" s="174">
        <v>477376.41</v>
      </c>
      <c r="E123" s="174">
        <v>0</v>
      </c>
      <c r="F123" s="174">
        <v>0</v>
      </c>
      <c r="G123" s="174">
        <v>0</v>
      </c>
      <c r="H123" s="174">
        <v>0</v>
      </c>
      <c r="I123" s="174">
        <f>SUM(B123:H123)</f>
        <v>0</v>
      </c>
      <c r="J123" s="175"/>
      <c r="K123" s="175"/>
      <c r="M123" s="174"/>
      <c r="N123" s="174"/>
      <c r="O123" s="174"/>
      <c r="P123" s="174"/>
      <c r="Q123" s="174"/>
      <c r="R123" s="174" t="s">
        <v>426</v>
      </c>
      <c r="S123" s="174"/>
      <c r="T123" s="174"/>
      <c r="U123" s="176"/>
      <c r="W123" s="176"/>
      <c r="X123" s="177"/>
      <c r="Y123" s="176"/>
      <c r="Z123" s="177"/>
      <c r="AA123" s="176"/>
      <c r="AB123" s="177"/>
      <c r="AC123" s="177"/>
      <c r="AD123" s="178"/>
      <c r="AE123" s="178"/>
      <c r="AF123" s="178"/>
      <c r="AG123" s="178"/>
    </row>
    <row r="124" spans="1:33" s="173" customFormat="1" ht="69.95" customHeight="1" x14ac:dyDescent="1.05">
      <c r="A124" s="173" t="s">
        <v>485</v>
      </c>
      <c r="B124" s="174">
        <f>-40022.14-40004.02</f>
        <v>-80026.16</v>
      </c>
      <c r="C124" s="174">
        <v>40004.019999999997</v>
      </c>
      <c r="D124" s="174">
        <v>40022.14</v>
      </c>
      <c r="E124" s="174">
        <v>0</v>
      </c>
      <c r="F124" s="174">
        <v>0</v>
      </c>
      <c r="G124" s="174">
        <v>0</v>
      </c>
      <c r="H124" s="174">
        <v>0</v>
      </c>
      <c r="I124" s="174">
        <f t="shared" ref="I124:I127" si="51">SUM(B124:H124)</f>
        <v>-7.2759576141834259E-12</v>
      </c>
      <c r="J124" s="175"/>
      <c r="K124" s="175"/>
      <c r="M124" s="174"/>
      <c r="N124" s="174"/>
      <c r="O124" s="174"/>
      <c r="P124" s="174"/>
      <c r="Q124" s="174"/>
      <c r="R124" s="174">
        <v>11000</v>
      </c>
      <c r="S124" s="174"/>
      <c r="T124" s="174"/>
      <c r="U124" s="176"/>
      <c r="W124" s="176"/>
      <c r="X124" s="177"/>
      <c r="Y124" s="176"/>
      <c r="Z124" s="177"/>
      <c r="AA124" s="176"/>
      <c r="AB124" s="177"/>
      <c r="AC124" s="177"/>
      <c r="AD124" s="178"/>
      <c r="AE124" s="178"/>
      <c r="AF124" s="178"/>
      <c r="AG124" s="178"/>
    </row>
    <row r="125" spans="1:33" s="173" customFormat="1" ht="69.95" customHeight="1" x14ac:dyDescent="1.05">
      <c r="A125" s="173" t="s">
        <v>486</v>
      </c>
      <c r="B125" s="174">
        <f>-48708.17-33457.3</f>
        <v>-82165.47</v>
      </c>
      <c r="C125" s="174">
        <v>33457.300000000003</v>
      </c>
      <c r="D125" s="174">
        <v>48708.17</v>
      </c>
      <c r="E125" s="174">
        <v>0</v>
      </c>
      <c r="F125" s="174">
        <v>0</v>
      </c>
      <c r="G125" s="174">
        <v>0</v>
      </c>
      <c r="H125" s="174">
        <v>0</v>
      </c>
      <c r="I125" s="174">
        <f t="shared" si="51"/>
        <v>0</v>
      </c>
      <c r="J125" s="175"/>
      <c r="K125" s="175"/>
      <c r="M125" s="174"/>
      <c r="N125" s="174"/>
      <c r="O125" s="174"/>
      <c r="P125" s="174"/>
      <c r="Q125" s="174"/>
      <c r="R125" s="174" t="s">
        <v>425</v>
      </c>
      <c r="S125" s="174"/>
      <c r="T125" s="174"/>
      <c r="U125" s="176"/>
      <c r="W125" s="176"/>
      <c r="X125" s="177"/>
      <c r="Y125" s="176"/>
      <c r="Z125" s="177"/>
      <c r="AA125" s="176"/>
      <c r="AB125" s="177"/>
      <c r="AC125" s="177"/>
      <c r="AD125" s="178"/>
      <c r="AE125" s="178"/>
      <c r="AF125" s="178"/>
      <c r="AG125" s="178"/>
    </row>
    <row r="126" spans="1:33" s="173" customFormat="1" ht="69.95" customHeight="1" x14ac:dyDescent="1.05">
      <c r="A126" s="173" t="s">
        <v>499</v>
      </c>
      <c r="B126" s="174">
        <f>-14255.95-13656.46</f>
        <v>-27912.41</v>
      </c>
      <c r="C126" s="174">
        <v>13656.46</v>
      </c>
      <c r="D126" s="174">
        <v>14255.95</v>
      </c>
      <c r="E126" s="174">
        <v>0</v>
      </c>
      <c r="F126" s="174">
        <v>0</v>
      </c>
      <c r="G126" s="174">
        <v>0</v>
      </c>
      <c r="H126" s="174">
        <v>0</v>
      </c>
      <c r="I126" s="174">
        <f t="shared" si="51"/>
        <v>0</v>
      </c>
      <c r="J126" s="175"/>
      <c r="K126" s="175"/>
      <c r="M126" s="174"/>
      <c r="N126" s="174"/>
      <c r="O126" s="174"/>
      <c r="P126" s="174"/>
      <c r="Q126" s="174"/>
      <c r="R126" s="174"/>
      <c r="S126" s="174"/>
      <c r="T126" s="174"/>
      <c r="U126" s="176"/>
      <c r="W126" s="176"/>
      <c r="X126" s="177"/>
      <c r="Y126" s="176"/>
      <c r="Z126" s="177"/>
      <c r="AA126" s="176"/>
      <c r="AB126" s="177"/>
      <c r="AC126" s="177"/>
      <c r="AD126" s="178"/>
      <c r="AE126" s="178"/>
      <c r="AF126" s="178"/>
      <c r="AG126" s="178"/>
    </row>
    <row r="127" spans="1:33" s="173" customFormat="1" ht="69.95" customHeight="1" x14ac:dyDescent="1.05">
      <c r="A127" s="173" t="s">
        <v>498</v>
      </c>
      <c r="B127" s="174">
        <f>-B48*0.35</f>
        <v>-15977.052</v>
      </c>
      <c r="C127" s="174">
        <f>B48*0.1</f>
        <v>4564.8720000000003</v>
      </c>
      <c r="D127" s="174">
        <f>B48*0.25</f>
        <v>11412.18</v>
      </c>
      <c r="E127" s="174">
        <v>0</v>
      </c>
      <c r="F127" s="174">
        <v>0</v>
      </c>
      <c r="G127" s="174">
        <v>0</v>
      </c>
      <c r="H127" s="174">
        <v>0</v>
      </c>
      <c r="I127" s="174">
        <f t="shared" si="51"/>
        <v>0</v>
      </c>
      <c r="J127" s="175"/>
      <c r="K127" s="175"/>
      <c r="M127" s="174"/>
      <c r="N127" s="174"/>
      <c r="O127" s="174"/>
      <c r="P127" s="174"/>
      <c r="Q127" s="174"/>
      <c r="R127" s="174"/>
      <c r="S127" s="174"/>
      <c r="T127" s="174"/>
      <c r="U127" s="176"/>
      <c r="W127" s="176"/>
      <c r="X127" s="177"/>
      <c r="Y127" s="176"/>
      <c r="Z127" s="177"/>
      <c r="AA127" s="176"/>
      <c r="AB127" s="177"/>
      <c r="AC127" s="177"/>
      <c r="AD127" s="178"/>
      <c r="AE127" s="178"/>
      <c r="AF127" s="178"/>
      <c r="AG127" s="178"/>
    </row>
    <row r="128" spans="1:33" s="173" customFormat="1" ht="69.95" customHeight="1" x14ac:dyDescent="1.05">
      <c r="A128" s="173" t="s">
        <v>495</v>
      </c>
      <c r="B128" s="174">
        <v>0</v>
      </c>
      <c r="C128" s="174">
        <f>5000*9</f>
        <v>45000</v>
      </c>
      <c r="D128" s="174">
        <v>0</v>
      </c>
      <c r="E128" s="174">
        <v>0</v>
      </c>
      <c r="F128" s="174">
        <v>0</v>
      </c>
      <c r="G128" s="174">
        <f>-5000*9</f>
        <v>-45000</v>
      </c>
      <c r="H128" s="174">
        <v>0</v>
      </c>
      <c r="I128" s="174">
        <f t="shared" ref="I128:I143" si="52">SUM(B128:H128)</f>
        <v>0</v>
      </c>
      <c r="J128" s="175"/>
      <c r="K128" s="175"/>
      <c r="M128" s="174"/>
      <c r="N128" s="174"/>
      <c r="O128" s="174"/>
      <c r="P128" s="174"/>
      <c r="Q128" s="174"/>
      <c r="R128" s="174"/>
      <c r="S128" s="174"/>
      <c r="T128" s="174"/>
      <c r="U128" s="176"/>
      <c r="W128" s="176"/>
      <c r="X128" s="177"/>
      <c r="Y128" s="176"/>
      <c r="Z128" s="177"/>
      <c r="AA128" s="176"/>
      <c r="AB128" s="177"/>
      <c r="AC128" s="177"/>
      <c r="AD128" s="178"/>
      <c r="AE128" s="178"/>
      <c r="AF128" s="178"/>
      <c r="AG128" s="178"/>
    </row>
    <row r="129" spans="1:33" s="173" customFormat="1" ht="69.95" customHeight="1" x14ac:dyDescent="1.05">
      <c r="A129" s="173" t="s">
        <v>487</v>
      </c>
      <c r="B129" s="174">
        <f>B71*-0.15</f>
        <v>-18056.969999999998</v>
      </c>
      <c r="C129" s="174">
        <f>B71*0.15</f>
        <v>18056.969999999998</v>
      </c>
      <c r="D129" s="174">
        <v>0</v>
      </c>
      <c r="E129" s="174">
        <v>0</v>
      </c>
      <c r="F129" s="174">
        <v>0</v>
      </c>
      <c r="G129" s="174">
        <v>0</v>
      </c>
      <c r="H129" s="174">
        <v>0</v>
      </c>
      <c r="I129" s="174">
        <f t="shared" si="52"/>
        <v>0</v>
      </c>
      <c r="J129" s="175"/>
      <c r="K129" s="175"/>
      <c r="M129" s="174"/>
      <c r="N129" s="174"/>
      <c r="O129" s="174"/>
      <c r="P129" s="174"/>
      <c r="Q129" s="174"/>
      <c r="R129" s="174"/>
      <c r="S129" s="174"/>
      <c r="T129" s="174"/>
      <c r="U129" s="176"/>
      <c r="W129" s="176"/>
      <c r="X129" s="177"/>
      <c r="Y129" s="176"/>
      <c r="Z129" s="177"/>
      <c r="AA129" s="176"/>
      <c r="AB129" s="177"/>
      <c r="AC129" s="177"/>
      <c r="AD129" s="178"/>
      <c r="AE129" s="178"/>
      <c r="AF129" s="178"/>
      <c r="AG129" s="178"/>
    </row>
    <row r="130" spans="1:33" s="173" customFormat="1" ht="69.95" customHeight="1" x14ac:dyDescent="1.05">
      <c r="A130" s="173" t="s">
        <v>488</v>
      </c>
      <c r="B130" s="174">
        <f>-B62*0.1</f>
        <v>-4557.8289999999997</v>
      </c>
      <c r="C130" s="174">
        <f>B62*0.1</f>
        <v>4557.8289999999997</v>
      </c>
      <c r="D130" s="174">
        <v>0</v>
      </c>
      <c r="E130" s="174">
        <v>0</v>
      </c>
      <c r="F130" s="174">
        <v>0</v>
      </c>
      <c r="G130" s="174">
        <v>0</v>
      </c>
      <c r="H130" s="174">
        <v>0</v>
      </c>
      <c r="I130" s="174">
        <f t="shared" si="52"/>
        <v>0</v>
      </c>
      <c r="J130" s="175"/>
      <c r="K130" s="175"/>
      <c r="M130" s="174"/>
      <c r="N130" s="174"/>
      <c r="O130" s="174"/>
      <c r="P130" s="174"/>
      <c r="Q130" s="174"/>
      <c r="R130" s="174"/>
      <c r="S130" s="174"/>
      <c r="T130" s="174"/>
      <c r="U130" s="176"/>
      <c r="W130" s="176"/>
      <c r="X130" s="177"/>
      <c r="Y130" s="176"/>
      <c r="Z130" s="177"/>
      <c r="AA130" s="176"/>
      <c r="AB130" s="177"/>
      <c r="AC130" s="177"/>
      <c r="AD130" s="178"/>
      <c r="AE130" s="178"/>
      <c r="AF130" s="178"/>
      <c r="AG130" s="178"/>
    </row>
    <row r="131" spans="1:33" s="173" customFormat="1" ht="69.95" customHeight="1" x14ac:dyDescent="1.05">
      <c r="A131" s="173" t="s">
        <v>489</v>
      </c>
      <c r="B131" s="174">
        <f>B70*-0.15</f>
        <v>-2299.5329999999999</v>
      </c>
      <c r="C131" s="174">
        <f>B70*0.15</f>
        <v>2299.5329999999999</v>
      </c>
      <c r="D131" s="174">
        <v>0</v>
      </c>
      <c r="E131" s="174">
        <v>0</v>
      </c>
      <c r="F131" s="174">
        <v>0</v>
      </c>
      <c r="G131" s="174">
        <v>0</v>
      </c>
      <c r="H131" s="174">
        <v>0</v>
      </c>
      <c r="I131" s="174">
        <f t="shared" si="52"/>
        <v>0</v>
      </c>
      <c r="J131" s="175"/>
      <c r="K131" s="175"/>
      <c r="M131" s="174"/>
      <c r="N131" s="174"/>
      <c r="O131" s="174"/>
      <c r="P131" s="174"/>
      <c r="Q131" s="174"/>
      <c r="R131" s="174"/>
      <c r="S131" s="174"/>
      <c r="T131" s="174"/>
      <c r="U131" s="176"/>
      <c r="W131" s="176"/>
      <c r="X131" s="177"/>
      <c r="Y131" s="176"/>
      <c r="Z131" s="177"/>
      <c r="AA131" s="176"/>
      <c r="AB131" s="177"/>
      <c r="AC131" s="177"/>
      <c r="AD131" s="178"/>
      <c r="AE131" s="178"/>
      <c r="AF131" s="178"/>
      <c r="AG131" s="178"/>
    </row>
    <row r="132" spans="1:33" s="173" customFormat="1" ht="69.95" customHeight="1" x14ac:dyDescent="1.05">
      <c r="A132" s="173" t="s">
        <v>496</v>
      </c>
      <c r="B132" s="174">
        <f>-B84*0.2</f>
        <v>-10750.686000000002</v>
      </c>
      <c r="C132" s="174">
        <f>B84*0.1</f>
        <v>5375.3430000000008</v>
      </c>
      <c r="D132" s="174">
        <f>B84*0.1</f>
        <v>5375.3430000000008</v>
      </c>
      <c r="E132" s="174">
        <v>0</v>
      </c>
      <c r="F132" s="174">
        <v>0</v>
      </c>
      <c r="G132" s="174">
        <v>0</v>
      </c>
      <c r="H132" s="174">
        <v>0</v>
      </c>
      <c r="I132" s="174">
        <f t="shared" si="52"/>
        <v>0</v>
      </c>
      <c r="J132" s="175"/>
      <c r="K132" s="175"/>
      <c r="M132" s="174"/>
      <c r="N132" s="174"/>
      <c r="O132" s="174"/>
      <c r="P132" s="174"/>
      <c r="Q132" s="174"/>
      <c r="R132" s="174"/>
      <c r="S132" s="174"/>
      <c r="T132" s="174"/>
      <c r="U132" s="176"/>
      <c r="W132" s="176"/>
      <c r="X132" s="177"/>
      <c r="Y132" s="176"/>
      <c r="Z132" s="177"/>
      <c r="AA132" s="176"/>
      <c r="AB132" s="177"/>
      <c r="AC132" s="177"/>
      <c r="AD132" s="178"/>
      <c r="AE132" s="178"/>
      <c r="AF132" s="178"/>
      <c r="AG132" s="178"/>
    </row>
    <row r="133" spans="1:33" s="173" customFormat="1" ht="69.95" customHeight="1" x14ac:dyDescent="1.05">
      <c r="A133" s="173" t="s">
        <v>497</v>
      </c>
      <c r="B133" s="174">
        <f>-B85*0.35</f>
        <v>-13773.375</v>
      </c>
      <c r="C133" s="174">
        <f>B85*0.1</f>
        <v>3935.25</v>
      </c>
      <c r="D133" s="174">
        <f>B85*0.25</f>
        <v>9838.125</v>
      </c>
      <c r="E133" s="174">
        <v>0</v>
      </c>
      <c r="F133" s="174">
        <v>0</v>
      </c>
      <c r="G133" s="174">
        <v>0</v>
      </c>
      <c r="H133" s="174">
        <v>0</v>
      </c>
      <c r="I133" s="174">
        <f t="shared" si="52"/>
        <v>0</v>
      </c>
      <c r="J133" s="175"/>
      <c r="K133" s="175"/>
      <c r="M133" s="174"/>
      <c r="N133" s="174"/>
      <c r="O133" s="174"/>
      <c r="P133" s="174"/>
      <c r="Q133" s="174"/>
      <c r="R133" s="174"/>
      <c r="S133" s="174"/>
      <c r="T133" s="174"/>
      <c r="U133" s="176"/>
      <c r="W133" s="176"/>
      <c r="X133" s="177"/>
      <c r="Y133" s="176"/>
      <c r="Z133" s="177"/>
      <c r="AA133" s="176"/>
      <c r="AB133" s="177"/>
      <c r="AC133" s="177"/>
      <c r="AD133" s="178"/>
      <c r="AE133" s="178"/>
      <c r="AF133" s="178"/>
      <c r="AG133" s="178"/>
    </row>
    <row r="134" spans="1:33" s="179" customFormat="1" ht="69.95" customHeight="1" x14ac:dyDescent="1.05">
      <c r="A134" s="179" t="s">
        <v>500</v>
      </c>
      <c r="B134" s="174">
        <v>-23420.78</v>
      </c>
      <c r="C134" s="174">
        <v>0</v>
      </c>
      <c r="D134" s="174">
        <v>23420.78</v>
      </c>
      <c r="E134" s="174">
        <v>0</v>
      </c>
      <c r="F134" s="174">
        <v>0</v>
      </c>
      <c r="G134" s="174">
        <v>0</v>
      </c>
      <c r="H134" s="174">
        <v>0</v>
      </c>
      <c r="I134" s="174">
        <f t="shared" si="52"/>
        <v>0</v>
      </c>
      <c r="J134" s="175"/>
      <c r="K134" s="175"/>
      <c r="M134" s="174"/>
      <c r="N134" s="174"/>
      <c r="O134" s="174"/>
      <c r="P134" s="174"/>
      <c r="Q134" s="174"/>
      <c r="R134" s="174"/>
      <c r="S134" s="174"/>
      <c r="T134" s="174"/>
      <c r="U134" s="175"/>
      <c r="W134" s="175"/>
      <c r="X134" s="174"/>
      <c r="Y134" s="175"/>
      <c r="Z134" s="174"/>
      <c r="AA134" s="175"/>
      <c r="AB134" s="174"/>
      <c r="AC134" s="174"/>
      <c r="AD134" s="180"/>
      <c r="AE134" s="180"/>
      <c r="AF134" s="180"/>
      <c r="AG134" s="180"/>
    </row>
    <row r="135" spans="1:33" s="173" customFormat="1" ht="69.95" customHeight="1" x14ac:dyDescent="1.05">
      <c r="A135" s="173" t="s">
        <v>490</v>
      </c>
      <c r="B135" s="174">
        <f>B102</f>
        <v>311113.75</v>
      </c>
      <c r="C135" s="174">
        <f>C103</f>
        <v>-311113.75</v>
      </c>
      <c r="D135" s="174">
        <v>0</v>
      </c>
      <c r="E135" s="174">
        <v>0</v>
      </c>
      <c r="F135" s="174">
        <v>0</v>
      </c>
      <c r="G135" s="174">
        <v>0</v>
      </c>
      <c r="H135" s="174">
        <v>0</v>
      </c>
      <c r="I135" s="174">
        <f t="shared" si="52"/>
        <v>0</v>
      </c>
      <c r="J135" s="175"/>
      <c r="K135" s="175"/>
      <c r="M135" s="174"/>
      <c r="N135" s="174"/>
      <c r="O135" s="174"/>
      <c r="P135" s="174"/>
      <c r="Q135" s="174"/>
      <c r="R135" s="174"/>
      <c r="S135" s="174"/>
      <c r="T135" s="174"/>
      <c r="U135" s="176"/>
      <c r="W135" s="176"/>
      <c r="X135" s="177"/>
      <c r="Y135" s="176"/>
      <c r="Z135" s="177"/>
      <c r="AA135" s="176"/>
      <c r="AB135" s="177"/>
      <c r="AC135" s="177"/>
      <c r="AD135" s="178"/>
      <c r="AE135" s="178"/>
      <c r="AF135" s="178"/>
      <c r="AG135" s="178"/>
    </row>
    <row r="136" spans="1:33" s="173" customFormat="1" ht="69.95" customHeight="1" x14ac:dyDescent="1.05">
      <c r="A136" s="173" t="s">
        <v>503</v>
      </c>
      <c r="B136" s="174">
        <f>-(721.82)*9</f>
        <v>-6496.38</v>
      </c>
      <c r="C136" s="174"/>
      <c r="D136" s="174">
        <f>(721.82)*9</f>
        <v>6496.38</v>
      </c>
      <c r="E136" s="174">
        <v>0</v>
      </c>
      <c r="F136" s="174">
        <v>0</v>
      </c>
      <c r="G136" s="174">
        <v>0</v>
      </c>
      <c r="H136" s="174">
        <v>0</v>
      </c>
      <c r="I136" s="174">
        <f t="shared" si="52"/>
        <v>0</v>
      </c>
      <c r="J136" s="175"/>
      <c r="K136" s="175"/>
      <c r="M136" s="174"/>
      <c r="N136" s="174"/>
      <c r="O136" s="174"/>
      <c r="P136" s="174"/>
      <c r="Q136" s="174"/>
      <c r="R136" s="174"/>
      <c r="S136" s="174"/>
      <c r="T136" s="174"/>
      <c r="U136" s="176"/>
      <c r="W136" s="176"/>
      <c r="X136" s="177"/>
      <c r="Y136" s="176"/>
      <c r="Z136" s="177"/>
      <c r="AA136" s="176"/>
      <c r="AB136" s="177"/>
      <c r="AC136" s="177"/>
      <c r="AD136" s="178"/>
      <c r="AE136" s="178"/>
      <c r="AF136" s="178"/>
      <c r="AG136" s="178"/>
    </row>
    <row r="137" spans="1:33" s="179" customFormat="1" ht="69.95" customHeight="1" x14ac:dyDescent="1.05">
      <c r="A137" s="179" t="s">
        <v>491</v>
      </c>
      <c r="B137" s="174">
        <v>-6690.64</v>
      </c>
      <c r="C137" s="174">
        <v>0</v>
      </c>
      <c r="D137" s="174">
        <v>6690.64</v>
      </c>
      <c r="E137" s="174">
        <v>0</v>
      </c>
      <c r="F137" s="174">
        <v>0</v>
      </c>
      <c r="G137" s="174">
        <v>0</v>
      </c>
      <c r="H137" s="174">
        <v>0</v>
      </c>
      <c r="I137" s="174">
        <f t="shared" si="52"/>
        <v>0</v>
      </c>
      <c r="J137" s="175"/>
      <c r="K137" s="175"/>
      <c r="M137" s="174"/>
      <c r="N137" s="174"/>
      <c r="O137" s="174"/>
      <c r="P137" s="174"/>
      <c r="Q137" s="174"/>
      <c r="R137" s="174"/>
      <c r="S137" s="174"/>
      <c r="T137" s="174"/>
      <c r="U137" s="175"/>
      <c r="W137" s="175"/>
      <c r="X137" s="174"/>
      <c r="Y137" s="175"/>
      <c r="Z137" s="174"/>
      <c r="AA137" s="175"/>
      <c r="AB137" s="174"/>
      <c r="AC137" s="174"/>
      <c r="AD137" s="180"/>
      <c r="AE137" s="180"/>
      <c r="AF137" s="180"/>
      <c r="AG137" s="180"/>
    </row>
    <row r="138" spans="1:33" s="179" customFormat="1" ht="69.95" customHeight="1" x14ac:dyDescent="1.05">
      <c r="A138" s="179" t="s">
        <v>492</v>
      </c>
      <c r="B138" s="174">
        <v>-7140.03</v>
      </c>
      <c r="C138" s="174">
        <v>7140.03</v>
      </c>
      <c r="D138" s="174">
        <v>0</v>
      </c>
      <c r="E138" s="174">
        <v>0</v>
      </c>
      <c r="F138" s="174">
        <v>0</v>
      </c>
      <c r="G138" s="174">
        <v>0</v>
      </c>
      <c r="H138" s="174">
        <v>0</v>
      </c>
      <c r="I138" s="174">
        <f t="shared" si="52"/>
        <v>0</v>
      </c>
      <c r="J138" s="175"/>
      <c r="K138" s="175"/>
      <c r="M138" s="174"/>
      <c r="N138" s="174"/>
      <c r="O138" s="174"/>
      <c r="P138" s="174"/>
      <c r="Q138" s="174"/>
      <c r="R138" s="174"/>
      <c r="S138" s="174"/>
      <c r="T138" s="174"/>
      <c r="U138" s="175"/>
      <c r="W138" s="175"/>
      <c r="X138" s="174"/>
      <c r="Y138" s="175"/>
      <c r="Z138" s="174"/>
      <c r="AA138" s="175"/>
      <c r="AB138" s="174"/>
      <c r="AC138" s="174"/>
      <c r="AD138" s="180"/>
      <c r="AE138" s="180"/>
      <c r="AF138" s="180"/>
      <c r="AG138" s="180"/>
    </row>
    <row r="139" spans="1:33" s="173" customFormat="1" ht="69.95" customHeight="1" x14ac:dyDescent="1.05">
      <c r="A139" s="173" t="s">
        <v>493</v>
      </c>
      <c r="B139" s="181">
        <f>SUM(B123:B138)</f>
        <v>-934902.29499999993</v>
      </c>
      <c r="C139" s="181">
        <f>SUM(C123:C138)</f>
        <v>336306.17700000003</v>
      </c>
      <c r="D139" s="181">
        <f>SUM(D123:D138)</f>
        <v>643596.11800000002</v>
      </c>
      <c r="E139" s="181">
        <f t="shared" ref="E139:H139" si="53">SUM(E123:E138)</f>
        <v>0</v>
      </c>
      <c r="F139" s="181">
        <f t="shared" si="53"/>
        <v>0</v>
      </c>
      <c r="G139" s="181">
        <f t="shared" si="53"/>
        <v>-45000</v>
      </c>
      <c r="H139" s="181">
        <f t="shared" si="53"/>
        <v>0</v>
      </c>
      <c r="I139" s="181">
        <f>SUM(I123:I138)</f>
        <v>-7.2759576141834259E-12</v>
      </c>
      <c r="J139" s="175"/>
      <c r="K139" s="175"/>
      <c r="M139" s="174"/>
      <c r="N139" s="174"/>
      <c r="O139" s="174"/>
      <c r="P139" s="174"/>
      <c r="Q139" s="174"/>
      <c r="R139" s="174"/>
      <c r="S139" s="174"/>
      <c r="T139" s="174"/>
      <c r="U139" s="176"/>
      <c r="W139" s="176"/>
      <c r="X139" s="177"/>
      <c r="Y139" s="176"/>
      <c r="Z139" s="177"/>
      <c r="AA139" s="176"/>
      <c r="AB139" s="177"/>
      <c r="AC139" s="177"/>
      <c r="AD139" s="178"/>
      <c r="AE139" s="178"/>
      <c r="AF139" s="178"/>
      <c r="AG139" s="178"/>
    </row>
    <row r="140" spans="1:33" s="173" customFormat="1" ht="69.95" customHeight="1" x14ac:dyDescent="1.05">
      <c r="B140" s="174"/>
      <c r="C140" s="174"/>
      <c r="D140" s="174"/>
      <c r="E140" s="174"/>
      <c r="F140" s="174"/>
      <c r="G140" s="174"/>
      <c r="H140" s="174"/>
      <c r="I140" s="174">
        <f t="shared" si="52"/>
        <v>0</v>
      </c>
      <c r="J140" s="175"/>
      <c r="K140" s="175"/>
      <c r="M140" s="174"/>
      <c r="N140" s="174"/>
      <c r="O140" s="174"/>
      <c r="P140" s="174"/>
      <c r="Q140" s="174"/>
      <c r="R140" s="174"/>
      <c r="S140" s="174"/>
      <c r="T140" s="174"/>
      <c r="U140" s="176"/>
      <c r="W140" s="176"/>
      <c r="X140" s="177"/>
      <c r="Y140" s="176"/>
      <c r="Z140" s="177"/>
      <c r="AA140" s="176"/>
      <c r="AB140" s="177"/>
      <c r="AC140" s="177"/>
      <c r="AD140" s="178"/>
      <c r="AE140" s="178"/>
      <c r="AF140" s="178"/>
      <c r="AG140" s="178"/>
    </row>
    <row r="141" spans="1:33" s="173" customFormat="1" ht="69.95" customHeight="1" thickBot="1" x14ac:dyDescent="1.1000000000000001">
      <c r="A141" s="173" t="s">
        <v>494</v>
      </c>
      <c r="B141" s="182">
        <f>B116-B139</f>
        <v>68725.195001792512</v>
      </c>
      <c r="C141" s="182">
        <f t="shared" ref="C141:H141" si="54">C116-C139</f>
        <v>72718.643000014883</v>
      </c>
      <c r="D141" s="182">
        <f t="shared" si="54"/>
        <v>622684.59199999995</v>
      </c>
      <c r="E141" s="182">
        <f t="shared" si="54"/>
        <v>20409.12999999999</v>
      </c>
      <c r="F141" s="182">
        <f t="shared" si="54"/>
        <v>-57152.549999999806</v>
      </c>
      <c r="G141" s="182">
        <f t="shared" si="54"/>
        <v>142700.06</v>
      </c>
      <c r="H141" s="182">
        <f t="shared" si="54"/>
        <v>9032.8099999999977</v>
      </c>
      <c r="I141" s="182">
        <f>I116-I139</f>
        <v>879117.88000180759</v>
      </c>
      <c r="J141" s="175"/>
      <c r="K141" s="175"/>
      <c r="M141" s="174"/>
      <c r="N141" s="174"/>
      <c r="O141" s="174"/>
      <c r="P141" s="174"/>
      <c r="Q141" s="174"/>
      <c r="R141" s="174"/>
      <c r="S141" s="174"/>
      <c r="T141" s="174"/>
      <c r="U141" s="176"/>
      <c r="W141" s="176"/>
      <c r="X141" s="177"/>
      <c r="Y141" s="176"/>
      <c r="Z141" s="177"/>
      <c r="AA141" s="176"/>
      <c r="AB141" s="177"/>
      <c r="AC141" s="177"/>
      <c r="AD141" s="178"/>
      <c r="AE141" s="178"/>
      <c r="AF141" s="178"/>
      <c r="AG141" s="178"/>
    </row>
    <row r="142" spans="1:33" s="173" customFormat="1" ht="69.95" customHeight="1" thickTop="1" x14ac:dyDescent="1.05">
      <c r="B142" s="174"/>
      <c r="C142" s="174"/>
      <c r="D142" s="174"/>
      <c r="E142" s="174"/>
      <c r="F142" s="174"/>
      <c r="G142" s="174"/>
      <c r="H142" s="174"/>
      <c r="I142" s="174">
        <f t="shared" si="52"/>
        <v>0</v>
      </c>
      <c r="J142" s="175"/>
      <c r="K142" s="175"/>
      <c r="M142" s="174"/>
      <c r="N142" s="174"/>
      <c r="O142" s="174"/>
      <c r="P142" s="174"/>
      <c r="Q142" s="174"/>
      <c r="R142" s="174"/>
      <c r="S142" s="174"/>
      <c r="T142" s="174"/>
      <c r="U142" s="176"/>
      <c r="W142" s="176"/>
      <c r="X142" s="177"/>
      <c r="Y142" s="176"/>
      <c r="Z142" s="177"/>
      <c r="AA142" s="176"/>
      <c r="AB142" s="177"/>
      <c r="AC142" s="177"/>
      <c r="AD142" s="178"/>
      <c r="AE142" s="178"/>
      <c r="AF142" s="178"/>
      <c r="AG142" s="178"/>
    </row>
    <row r="143" spans="1:33" s="63" customFormat="1" ht="54.95" hidden="1" customHeight="1" x14ac:dyDescent="0.85">
      <c r="A143" s="126" t="s">
        <v>501</v>
      </c>
      <c r="B143" s="139">
        <v>100000</v>
      </c>
      <c r="C143" s="139"/>
      <c r="D143" s="139">
        <v>200000</v>
      </c>
      <c r="E143" s="139">
        <v>0</v>
      </c>
      <c r="F143" s="139">
        <v>57152.55</v>
      </c>
      <c r="G143" s="139">
        <v>100000</v>
      </c>
      <c r="H143" s="139">
        <v>100000</v>
      </c>
      <c r="I143" s="139">
        <f t="shared" si="52"/>
        <v>557152.55000000005</v>
      </c>
      <c r="J143" s="140"/>
      <c r="K143" s="140"/>
      <c r="L143" s="126"/>
      <c r="M143" s="139"/>
      <c r="N143" s="139"/>
      <c r="O143" s="139"/>
      <c r="P143" s="139"/>
      <c r="Q143" s="139"/>
      <c r="R143" s="139"/>
      <c r="S143" s="139"/>
      <c r="T143" s="139"/>
      <c r="U143" s="141"/>
      <c r="V143" s="126"/>
      <c r="W143" s="141"/>
      <c r="X143" s="142"/>
      <c r="Y143" s="141"/>
      <c r="Z143" s="142"/>
      <c r="AA143" s="141"/>
      <c r="AB143" s="142"/>
      <c r="AC143" s="142"/>
      <c r="AD143" s="129"/>
      <c r="AE143" s="129"/>
      <c r="AF143" s="129"/>
      <c r="AG143" s="67"/>
    </row>
    <row r="144" spans="1:33" hidden="1" x14ac:dyDescent="0.85"/>
    <row r="145" spans="1:9" ht="58.5" hidden="1" thickBot="1" x14ac:dyDescent="0.9">
      <c r="A145" s="126" t="s">
        <v>502</v>
      </c>
      <c r="B145" s="171">
        <f>B141+B143</f>
        <v>168725.19500179251</v>
      </c>
      <c r="C145" s="171"/>
      <c r="D145" s="171">
        <f t="shared" ref="D145:I145" si="55">D141+D143</f>
        <v>822684.59199999995</v>
      </c>
      <c r="E145" s="171">
        <f t="shared" si="55"/>
        <v>20409.12999999999</v>
      </c>
      <c r="F145" s="171">
        <f t="shared" si="55"/>
        <v>1.964508555829525E-10</v>
      </c>
      <c r="G145" s="171">
        <f t="shared" si="55"/>
        <v>242700.06</v>
      </c>
      <c r="H145" s="171">
        <f t="shared" si="55"/>
        <v>109032.81</v>
      </c>
      <c r="I145" s="171">
        <f t="shared" si="55"/>
        <v>1436270.4300018076</v>
      </c>
    </row>
    <row r="146" spans="1:9" hidden="1" x14ac:dyDescent="0.85"/>
    <row r="149" spans="1:9" x14ac:dyDescent="0.85">
      <c r="B149" s="139"/>
    </row>
    <row r="150" spans="1:9" x14ac:dyDescent="0.85">
      <c r="B150" s="139"/>
    </row>
  </sheetData>
  <mergeCells count="11">
    <mergeCell ref="L8:U8"/>
    <mergeCell ref="A2:AF2"/>
    <mergeCell ref="A3:AF3"/>
    <mergeCell ref="A5:J5"/>
    <mergeCell ref="L5:U5"/>
    <mergeCell ref="V5:AF8"/>
    <mergeCell ref="A6:J6"/>
    <mergeCell ref="L6:U6"/>
    <mergeCell ref="A7:J7"/>
    <mergeCell ref="L7:U7"/>
    <mergeCell ref="A8:J8"/>
  </mergeCells>
  <pageMargins left="0.7" right="0.7" top="0.75" bottom="0.75" header="0.3" footer="0.3"/>
  <pageSetup scale="17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2" manualBreakCount="2">
    <brk id="10" min="4" max="115" man="1"/>
    <brk id="21" min="4" max="1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L79"/>
  <sheetViews>
    <sheetView zoomScaleNormal="100" workbookViewId="0">
      <pane ySplit="6" topLeftCell="A55" activePane="bottomLeft" state="frozen"/>
      <selection activeCell="B82" sqref="B82"/>
      <selection pane="bottomLeft" activeCell="J62" sqref="J62"/>
    </sheetView>
  </sheetViews>
  <sheetFormatPr defaultRowHeight="15" x14ac:dyDescent="0.25"/>
  <cols>
    <col min="1" max="1" width="44.42578125" bestFit="1" customWidth="1"/>
    <col min="2" max="2" width="13" style="48" bestFit="1" customWidth="1"/>
    <col min="3" max="3" width="11.5703125" style="48" bestFit="1" customWidth="1"/>
    <col min="4" max="4" width="13.42578125" style="48" bestFit="1" customWidth="1"/>
    <col min="5" max="10" width="13" style="48" bestFit="1" customWidth="1"/>
    <col min="11" max="11" width="13.42578125" style="48" bestFit="1" customWidth="1"/>
    <col min="12" max="12" width="8.85546875" style="48"/>
  </cols>
  <sheetData>
    <row r="1" spans="1:11" x14ac:dyDescent="0.25">
      <c r="A1" s="233" t="s">
        <v>274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25">
      <c r="A2" s="233" t="s">
        <v>275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3">
        <v>2018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446</v>
      </c>
      <c r="I6" s="53" t="s">
        <v>456</v>
      </c>
      <c r="J6" s="53" t="s">
        <v>472</v>
      </c>
      <c r="K6" s="53" t="s">
        <v>207</v>
      </c>
    </row>
    <row r="7" spans="1:11" x14ac:dyDescent="0.25">
      <c r="A7" s="47" t="s">
        <v>62</v>
      </c>
    </row>
    <row r="8" spans="1:11" x14ac:dyDescent="0.25">
      <c r="A8" t="s">
        <v>276</v>
      </c>
      <c r="B8" s="48">
        <v>1007.48</v>
      </c>
      <c r="C8" s="48">
        <v>2880.98</v>
      </c>
      <c r="D8" s="48">
        <v>11848.57</v>
      </c>
      <c r="E8" s="48">
        <v>8277.67</v>
      </c>
      <c r="F8" s="48">
        <v>59.53</v>
      </c>
      <c r="G8" s="48">
        <f>1079.75-0.03</f>
        <v>1079.72</v>
      </c>
      <c r="H8" s="48">
        <f>1171.63+9</f>
        <v>1180.6300000000001</v>
      </c>
      <c r="I8" s="48">
        <v>294.82</v>
      </c>
      <c r="J8" s="48">
        <v>425.67</v>
      </c>
      <c r="K8" s="48">
        <f t="shared" ref="K8:K16" si="0">SUM(B8:J8)</f>
        <v>27055.069999999996</v>
      </c>
    </row>
    <row r="9" spans="1:11" x14ac:dyDescent="0.25">
      <c r="A9" t="s">
        <v>277</v>
      </c>
      <c r="B9" s="48">
        <v>1315</v>
      </c>
      <c r="C9" s="48">
        <v>690</v>
      </c>
      <c r="D9" s="48">
        <v>380</v>
      </c>
      <c r="E9" s="48">
        <v>0</v>
      </c>
      <c r="F9" s="48">
        <v>0</v>
      </c>
      <c r="G9" s="48">
        <v>0</v>
      </c>
      <c r="H9" s="48">
        <v>540</v>
      </c>
      <c r="I9" s="48">
        <v>830</v>
      </c>
      <c r="J9" s="48">
        <v>605</v>
      </c>
      <c r="K9" s="48">
        <f t="shared" si="0"/>
        <v>4360</v>
      </c>
    </row>
    <row r="10" spans="1:11" x14ac:dyDescent="0.25">
      <c r="A10" t="s">
        <v>334</v>
      </c>
      <c r="B10" s="48">
        <v>150</v>
      </c>
      <c r="C10" s="48">
        <v>100</v>
      </c>
      <c r="D10" s="48">
        <v>150</v>
      </c>
      <c r="E10" s="48">
        <v>0</v>
      </c>
      <c r="F10" s="48">
        <v>100</v>
      </c>
      <c r="G10" s="48">
        <v>50</v>
      </c>
      <c r="H10" s="48">
        <v>150</v>
      </c>
      <c r="I10" s="48">
        <v>50</v>
      </c>
      <c r="J10" s="48">
        <v>50</v>
      </c>
      <c r="K10" s="48">
        <f t="shared" si="0"/>
        <v>800</v>
      </c>
    </row>
    <row r="11" spans="1:11" x14ac:dyDescent="0.25">
      <c r="A11" t="s">
        <v>278</v>
      </c>
      <c r="B11" s="48">
        <v>74672.5</v>
      </c>
      <c r="C11" s="48">
        <v>77307.5</v>
      </c>
      <c r="D11" s="48">
        <v>85637.5</v>
      </c>
      <c r="E11" s="48">
        <v>107355</v>
      </c>
      <c r="F11" s="48">
        <v>119340</v>
      </c>
      <c r="G11" s="48">
        <v>128860</v>
      </c>
      <c r="H11" s="48">
        <v>158737.5</v>
      </c>
      <c r="I11" s="48">
        <v>200812.5</v>
      </c>
      <c r="J11" s="48">
        <v>220447.5</v>
      </c>
      <c r="K11" s="48">
        <f t="shared" si="0"/>
        <v>1173170</v>
      </c>
    </row>
    <row r="12" spans="1:11" x14ac:dyDescent="0.25">
      <c r="A12" t="s">
        <v>306</v>
      </c>
      <c r="B12" s="48">
        <v>29225</v>
      </c>
      <c r="C12" s="48">
        <v>0</v>
      </c>
      <c r="D12" s="48">
        <v>67262</v>
      </c>
      <c r="E12" s="48">
        <v>0</v>
      </c>
      <c r="F12" s="48">
        <v>109042</v>
      </c>
      <c r="G12" s="48">
        <v>21090</v>
      </c>
      <c r="H12" s="48">
        <v>26700</v>
      </c>
      <c r="I12" s="48">
        <v>19838</v>
      </c>
      <c r="J12" s="48">
        <v>527275</v>
      </c>
      <c r="K12" s="48">
        <f t="shared" si="0"/>
        <v>800432</v>
      </c>
    </row>
    <row r="13" spans="1:11" x14ac:dyDescent="0.25">
      <c r="A13" t="s">
        <v>279</v>
      </c>
      <c r="B13" s="48">
        <v>3474</v>
      </c>
      <c r="C13" s="48">
        <v>3440.25</v>
      </c>
      <c r="D13" s="48">
        <v>3440.25</v>
      </c>
      <c r="E13" s="48">
        <v>5316.75</v>
      </c>
      <c r="F13" s="48">
        <v>5316.75</v>
      </c>
      <c r="G13" s="48">
        <v>7155.5</v>
      </c>
      <c r="H13" s="48">
        <v>7110.5</v>
      </c>
      <c r="I13" s="48">
        <v>7819.25</v>
      </c>
      <c r="J13" s="48">
        <v>6844.25</v>
      </c>
      <c r="K13" s="105">
        <f t="shared" si="0"/>
        <v>49917.5</v>
      </c>
    </row>
    <row r="14" spans="1:11" x14ac:dyDescent="0.25">
      <c r="A14" t="s">
        <v>429</v>
      </c>
      <c r="B14" s="48">
        <v>39424.43</v>
      </c>
      <c r="C14" s="48">
        <v>30082.99</v>
      </c>
      <c r="D14" s="48">
        <v>37907.64</v>
      </c>
      <c r="E14" s="48">
        <v>44830.54</v>
      </c>
      <c r="F14" s="48">
        <v>40289.01</v>
      </c>
      <c r="G14" s="48">
        <v>22639.5</v>
      </c>
      <c r="H14" s="48">
        <v>36972.589999999997</v>
      </c>
      <c r="I14" s="48">
        <v>37608.94</v>
      </c>
      <c r="J14" s="48">
        <v>39991</v>
      </c>
      <c r="K14" s="48">
        <f t="shared" si="0"/>
        <v>329746.64</v>
      </c>
    </row>
    <row r="15" spans="1:11" x14ac:dyDescent="0.25">
      <c r="A15" t="s">
        <v>430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8000</v>
      </c>
      <c r="H15" s="48">
        <v>1333.33</v>
      </c>
      <c r="I15" s="48">
        <v>1333.33</v>
      </c>
      <c r="J15" s="48">
        <v>1333.33</v>
      </c>
      <c r="K15" s="48">
        <f t="shared" si="0"/>
        <v>11999.99</v>
      </c>
    </row>
    <row r="16" spans="1:11" x14ac:dyDescent="0.25">
      <c r="A16" t="s">
        <v>431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38415.89</v>
      </c>
      <c r="H16" s="48">
        <v>6304.08</v>
      </c>
      <c r="I16" s="48">
        <v>6205.45</v>
      </c>
      <c r="J16" s="48">
        <v>5848.28</v>
      </c>
      <c r="K16" s="48">
        <f t="shared" si="0"/>
        <v>56773.7</v>
      </c>
    </row>
    <row r="17" spans="1:11" x14ac:dyDescent="0.25">
      <c r="A17" s="47" t="s">
        <v>223</v>
      </c>
      <c r="B17" s="50">
        <f t="shared" ref="B17:K17" si="1">SUM(B8:B16)</f>
        <v>149268.41</v>
      </c>
      <c r="C17" s="50">
        <f t="shared" si="1"/>
        <v>114501.72</v>
      </c>
      <c r="D17" s="50">
        <f t="shared" si="1"/>
        <v>206625.96000000002</v>
      </c>
      <c r="E17" s="50">
        <f t="shared" si="1"/>
        <v>165779.96</v>
      </c>
      <c r="F17" s="50">
        <f t="shared" si="1"/>
        <v>274147.28999999998</v>
      </c>
      <c r="G17" s="50">
        <f t="shared" ref="G17:I17" si="2">SUM(G8:G16)</f>
        <v>227290.61</v>
      </c>
      <c r="H17" s="50">
        <f t="shared" si="2"/>
        <v>239028.62999999998</v>
      </c>
      <c r="I17" s="50">
        <f t="shared" si="2"/>
        <v>274792.29000000004</v>
      </c>
      <c r="J17" s="50">
        <f t="shared" si="1"/>
        <v>802820.03</v>
      </c>
      <c r="K17" s="50">
        <f t="shared" si="1"/>
        <v>2454254.9000000004</v>
      </c>
    </row>
    <row r="19" spans="1:11" x14ac:dyDescent="0.25">
      <c r="A19" s="47" t="s">
        <v>280</v>
      </c>
      <c r="K19" s="48">
        <f>SUM(B19:F19)</f>
        <v>0</v>
      </c>
    </row>
    <row r="20" spans="1:11" x14ac:dyDescent="0.25">
      <c r="A20" t="s">
        <v>282</v>
      </c>
      <c r="B20" s="48">
        <v>1052.68</v>
      </c>
      <c r="C20" s="48">
        <v>7138.13</v>
      </c>
      <c r="D20" s="48">
        <v>9184.15</v>
      </c>
      <c r="E20" s="48">
        <v>19400.439999999999</v>
      </c>
      <c r="F20" s="48">
        <v>36.549999999999997</v>
      </c>
      <c r="G20" s="48">
        <v>15295.31</v>
      </c>
      <c r="H20" s="48">
        <v>15289.72</v>
      </c>
      <c r="I20" s="48">
        <v>12182.21</v>
      </c>
      <c r="J20" s="48">
        <v>24364.43</v>
      </c>
      <c r="K20" s="48">
        <f>SUM(B20:J20)</f>
        <v>103943.62</v>
      </c>
    </row>
    <row r="21" spans="1:11" x14ac:dyDescent="0.25">
      <c r="A21" t="s">
        <v>281</v>
      </c>
      <c r="B21" s="48">
        <v>45325</v>
      </c>
      <c r="C21" s="48">
        <v>0</v>
      </c>
      <c r="D21" s="48">
        <v>11772.5</v>
      </c>
      <c r="E21" s="48">
        <v>11772.5</v>
      </c>
      <c r="F21" s="48">
        <v>0</v>
      </c>
      <c r="G21" s="48">
        <v>26350</v>
      </c>
      <c r="H21" s="48">
        <v>0</v>
      </c>
      <c r="I21" s="48">
        <v>36548.32</v>
      </c>
      <c r="J21" s="48">
        <v>36546.639999999999</v>
      </c>
      <c r="K21" s="48">
        <f>SUM(B21:J21)</f>
        <v>168314.96000000002</v>
      </c>
    </row>
    <row r="22" spans="1:11" x14ac:dyDescent="0.25">
      <c r="A22" t="s">
        <v>432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4534.2</v>
      </c>
      <c r="H22" s="48">
        <v>0</v>
      </c>
      <c r="I22" s="48">
        <v>1400.86</v>
      </c>
      <c r="J22" s="48">
        <v>0</v>
      </c>
      <c r="K22" s="48">
        <f>SUM(B22:J22)</f>
        <v>5935.0599999999995</v>
      </c>
    </row>
    <row r="23" spans="1:11" x14ac:dyDescent="0.25">
      <c r="A23" s="47" t="s">
        <v>283</v>
      </c>
      <c r="B23" s="50">
        <f>SUM(B20:B22)</f>
        <v>46377.68</v>
      </c>
      <c r="C23" s="50">
        <f t="shared" ref="C23:K23" si="3">SUM(C20:C22)</f>
        <v>7138.13</v>
      </c>
      <c r="D23" s="50">
        <f t="shared" si="3"/>
        <v>20956.650000000001</v>
      </c>
      <c r="E23" s="50">
        <f t="shared" si="3"/>
        <v>31172.94</v>
      </c>
      <c r="F23" s="50">
        <f t="shared" si="3"/>
        <v>36.549999999999997</v>
      </c>
      <c r="G23" s="50">
        <f t="shared" ref="G23:I23" si="4">SUM(G20:G22)</f>
        <v>46179.509999999995</v>
      </c>
      <c r="H23" s="50">
        <f t="shared" si="4"/>
        <v>15289.72</v>
      </c>
      <c r="I23" s="50">
        <f t="shared" si="4"/>
        <v>50131.39</v>
      </c>
      <c r="J23" s="50">
        <f t="shared" si="3"/>
        <v>60911.07</v>
      </c>
      <c r="K23" s="50">
        <f t="shared" si="3"/>
        <v>278193.64</v>
      </c>
    </row>
    <row r="25" spans="1:11" ht="15.75" thickBot="1" x14ac:dyDescent="0.3">
      <c r="A25" s="47" t="s">
        <v>211</v>
      </c>
      <c r="B25" s="51">
        <f>B17-B23</f>
        <v>102890.73000000001</v>
      </c>
      <c r="C25" s="51">
        <f t="shared" ref="C25:K25" si="5">C17-C23</f>
        <v>107363.59</v>
      </c>
      <c r="D25" s="51">
        <f t="shared" si="5"/>
        <v>185669.31000000003</v>
      </c>
      <c r="E25" s="51">
        <f>E17-E23</f>
        <v>134607.01999999999</v>
      </c>
      <c r="F25" s="51">
        <f t="shared" si="5"/>
        <v>274110.74</v>
      </c>
      <c r="G25" s="51">
        <f>G17-G23</f>
        <v>181111.09999999998</v>
      </c>
      <c r="H25" s="51">
        <f>H17-H23</f>
        <v>223738.90999999997</v>
      </c>
      <c r="I25" s="51">
        <f>I17-I23</f>
        <v>224660.90000000002</v>
      </c>
      <c r="J25" s="51">
        <f>J17-J23</f>
        <v>741908.96000000008</v>
      </c>
      <c r="K25" s="51">
        <f t="shared" si="5"/>
        <v>2176061.2600000002</v>
      </c>
    </row>
    <row r="27" spans="1:11" x14ac:dyDescent="0.25">
      <c r="A27" s="47" t="s">
        <v>209</v>
      </c>
    </row>
    <row r="28" spans="1:11" x14ac:dyDescent="0.25">
      <c r="A28" t="s">
        <v>225</v>
      </c>
      <c r="K28" s="48">
        <f>SUM(B28:F28)</f>
        <v>0</v>
      </c>
    </row>
    <row r="29" spans="1:11" x14ac:dyDescent="0.25">
      <c r="A29" t="s">
        <v>284</v>
      </c>
      <c r="B29" s="48">
        <v>8738.67</v>
      </c>
      <c r="C29" s="48">
        <v>7542.86</v>
      </c>
      <c r="D29" s="48">
        <v>8498.8799999999992</v>
      </c>
      <c r="E29" s="48">
        <v>8584.34</v>
      </c>
      <c r="F29" s="48">
        <v>9426.1</v>
      </c>
      <c r="G29" s="48">
        <v>8607.9500000000007</v>
      </c>
      <c r="H29" s="48">
        <v>8988.25</v>
      </c>
      <c r="I29" s="48">
        <v>9405.7800000000007</v>
      </c>
      <c r="J29" s="48">
        <v>8254.6299999999992</v>
      </c>
      <c r="K29" s="48">
        <f t="shared" ref="K29:K34" si="6">SUM(B29:J29)</f>
        <v>78047.460000000006</v>
      </c>
    </row>
    <row r="30" spans="1:11" x14ac:dyDescent="0.25">
      <c r="A30" t="s">
        <v>285</v>
      </c>
      <c r="B30" s="48">
        <v>1485.28</v>
      </c>
      <c r="C30" s="48">
        <v>1185.3900000000001</v>
      </c>
      <c r="D30" s="48">
        <v>1307.2</v>
      </c>
      <c r="E30" s="48">
        <v>729.18</v>
      </c>
      <c r="F30" s="48">
        <v>687.56</v>
      </c>
      <c r="G30" s="48">
        <v>659.18</v>
      </c>
      <c r="H30" s="48">
        <v>670.69</v>
      </c>
      <c r="I30" s="48">
        <v>720.28</v>
      </c>
      <c r="J30" s="48">
        <v>632.12</v>
      </c>
      <c r="K30" s="48">
        <f t="shared" si="6"/>
        <v>8076.880000000001</v>
      </c>
    </row>
    <row r="31" spans="1:11" x14ac:dyDescent="0.25">
      <c r="A31" t="s">
        <v>286</v>
      </c>
      <c r="B31" s="48">
        <v>3064.68</v>
      </c>
      <c r="C31" s="48">
        <v>3064.68</v>
      </c>
      <c r="D31" s="48">
        <v>3580.55</v>
      </c>
      <c r="E31" s="48">
        <v>3064.68</v>
      </c>
      <c r="F31" s="48">
        <v>3064.68</v>
      </c>
      <c r="G31" s="48">
        <v>3064.68</v>
      </c>
      <c r="H31" s="48">
        <v>3064.68</v>
      </c>
      <c r="I31" s="48">
        <v>3064.68</v>
      </c>
      <c r="J31" s="48">
        <v>3064.68</v>
      </c>
      <c r="K31" s="48">
        <f t="shared" si="6"/>
        <v>28097.99</v>
      </c>
    </row>
    <row r="32" spans="1:11" x14ac:dyDescent="0.25">
      <c r="A32" t="s">
        <v>287</v>
      </c>
      <c r="B32" s="48">
        <v>216.98</v>
      </c>
      <c r="C32" s="48">
        <v>216.98</v>
      </c>
      <c r="D32" s="48">
        <v>216.98</v>
      </c>
      <c r="E32" s="48">
        <v>216.98</v>
      </c>
      <c r="F32" s="48">
        <v>216.98</v>
      </c>
      <c r="G32" s="48">
        <v>216.98</v>
      </c>
      <c r="H32" s="48">
        <v>216.98</v>
      </c>
      <c r="I32" s="48">
        <v>216.98</v>
      </c>
      <c r="J32" s="48">
        <v>216.98</v>
      </c>
      <c r="K32" s="48">
        <f t="shared" si="6"/>
        <v>1952.82</v>
      </c>
    </row>
    <row r="33" spans="1:11" x14ac:dyDescent="0.25">
      <c r="A33" t="s">
        <v>333</v>
      </c>
      <c r="B33" s="48">
        <v>400</v>
      </c>
      <c r="C33" s="48">
        <v>400</v>
      </c>
      <c r="D33" s="48">
        <v>400</v>
      </c>
      <c r="E33" s="48">
        <v>400</v>
      </c>
      <c r="F33" s="48">
        <v>400</v>
      </c>
      <c r="G33" s="48">
        <v>200</v>
      </c>
      <c r="H33" s="48">
        <v>200</v>
      </c>
      <c r="I33" s="48">
        <v>200</v>
      </c>
      <c r="J33" s="48">
        <v>200</v>
      </c>
      <c r="K33" s="48">
        <f t="shared" si="6"/>
        <v>2800</v>
      </c>
    </row>
    <row r="34" spans="1:11" x14ac:dyDescent="0.25">
      <c r="A34" t="s">
        <v>288</v>
      </c>
      <c r="B34" s="48">
        <v>64.989999999999995</v>
      </c>
      <c r="C34" s="48">
        <v>64.989999999999995</v>
      </c>
      <c r="D34" s="48">
        <v>64.989999999999995</v>
      </c>
      <c r="E34" s="48">
        <v>419.95</v>
      </c>
      <c r="F34" s="48">
        <v>65.09</v>
      </c>
      <c r="G34" s="48">
        <f>64.99+50.66</f>
        <v>115.64999999999999</v>
      </c>
      <c r="H34" s="48">
        <f>64.99+66.92</f>
        <v>131.91</v>
      </c>
      <c r="I34" s="48">
        <v>64.989999999999995</v>
      </c>
      <c r="J34" s="48">
        <f>64.99+83.46+340</f>
        <v>488.45</v>
      </c>
      <c r="K34" s="108">
        <f t="shared" si="6"/>
        <v>1481.01</v>
      </c>
    </row>
    <row r="35" spans="1:11" x14ac:dyDescent="0.25">
      <c r="A35" s="47" t="s">
        <v>233</v>
      </c>
      <c r="B35" s="50">
        <f>SUM(B29:B34)</f>
        <v>13970.6</v>
      </c>
      <c r="C35" s="50">
        <f t="shared" ref="C35:K35" si="7">SUM(C29:C34)</f>
        <v>12474.9</v>
      </c>
      <c r="D35" s="50">
        <f t="shared" si="7"/>
        <v>14068.6</v>
      </c>
      <c r="E35" s="50">
        <f>SUM(E29:E34)</f>
        <v>13415.130000000001</v>
      </c>
      <c r="F35" s="50">
        <f t="shared" si="7"/>
        <v>13860.41</v>
      </c>
      <c r="G35" s="50">
        <f>SUM(G29:G34)</f>
        <v>12864.44</v>
      </c>
      <c r="H35" s="50">
        <f>SUM(H29:H34)</f>
        <v>13272.51</v>
      </c>
      <c r="I35" s="50">
        <f>SUM(I29:I34)</f>
        <v>13672.710000000001</v>
      </c>
      <c r="J35" s="50">
        <f>SUM(J29:J34)</f>
        <v>12856.86</v>
      </c>
      <c r="K35" s="50">
        <f t="shared" si="7"/>
        <v>120456.16000000002</v>
      </c>
    </row>
    <row r="36" spans="1:11" x14ac:dyDescent="0.25">
      <c r="A36" t="s">
        <v>61</v>
      </c>
    </row>
    <row r="37" spans="1:11" x14ac:dyDescent="0.25">
      <c r="A37" s="47" t="s">
        <v>289</v>
      </c>
    </row>
    <row r="38" spans="1:11" x14ac:dyDescent="0.25">
      <c r="A38" t="s">
        <v>235</v>
      </c>
      <c r="B38" s="48">
        <f t="shared" ref="B38:G38" si="8">25000+12500</f>
        <v>37500</v>
      </c>
      <c r="C38" s="48">
        <f t="shared" si="8"/>
        <v>37500</v>
      </c>
      <c r="D38" s="48">
        <f t="shared" si="8"/>
        <v>37500</v>
      </c>
      <c r="E38" s="48">
        <f t="shared" si="8"/>
        <v>37500</v>
      </c>
      <c r="F38" s="48">
        <f t="shared" si="8"/>
        <v>37500</v>
      </c>
      <c r="G38" s="48">
        <f t="shared" si="8"/>
        <v>37500</v>
      </c>
      <c r="H38" s="48">
        <f>25000+12500</f>
        <v>37500</v>
      </c>
      <c r="I38" s="48">
        <f>25000+12500</f>
        <v>37500</v>
      </c>
      <c r="J38" s="48">
        <f>25000+12500</f>
        <v>37500</v>
      </c>
      <c r="K38" s="48">
        <f>SUM(B38:J38)</f>
        <v>337500</v>
      </c>
    </row>
    <row r="39" spans="1:11" x14ac:dyDescent="0.25">
      <c r="A39" t="s">
        <v>290</v>
      </c>
      <c r="B39" s="48">
        <v>8518.2800000000007</v>
      </c>
      <c r="C39" s="48">
        <v>5856.39</v>
      </c>
      <c r="D39" s="48">
        <v>8346.2199999999993</v>
      </c>
      <c r="E39" s="48">
        <v>4857.8599999999997</v>
      </c>
      <c r="F39" s="48">
        <f>5661.41+210.04</f>
        <v>5871.45</v>
      </c>
      <c r="G39" s="48">
        <v>5979.18</v>
      </c>
      <c r="H39" s="48">
        <v>7652.61</v>
      </c>
      <c r="I39" s="48">
        <v>7388.57</v>
      </c>
      <c r="J39" s="48">
        <v>7702.5</v>
      </c>
      <c r="K39" s="48">
        <f>SUM(B39:J39)</f>
        <v>62173.06</v>
      </c>
    </row>
    <row r="40" spans="1:11" x14ac:dyDescent="0.25">
      <c r="A40" t="s">
        <v>291</v>
      </c>
      <c r="B40" s="48">
        <v>150</v>
      </c>
      <c r="C40" s="48">
        <v>150</v>
      </c>
      <c r="D40" s="48">
        <v>150</v>
      </c>
      <c r="E40" s="48">
        <v>150</v>
      </c>
      <c r="F40" s="48">
        <v>150</v>
      </c>
      <c r="G40" s="48">
        <v>150</v>
      </c>
      <c r="H40" s="48">
        <v>150</v>
      </c>
      <c r="I40" s="48">
        <v>150</v>
      </c>
      <c r="J40" s="48">
        <v>150</v>
      </c>
      <c r="K40" s="48">
        <f t="shared" ref="K40:K52" si="9">SUM(B40:J40)</f>
        <v>1350</v>
      </c>
    </row>
    <row r="41" spans="1:11" x14ac:dyDescent="0.25">
      <c r="A41" t="s">
        <v>451</v>
      </c>
      <c r="B41" s="48">
        <v>3575</v>
      </c>
      <c r="C41" s="48">
        <v>0</v>
      </c>
      <c r="D41" s="48">
        <v>1210</v>
      </c>
      <c r="E41" s="48">
        <v>1875</v>
      </c>
      <c r="F41" s="48">
        <v>0</v>
      </c>
      <c r="G41" s="48">
        <v>3844.35</v>
      </c>
      <c r="H41" s="48">
        <v>5810</v>
      </c>
      <c r="I41" s="48">
        <v>3409.85</v>
      </c>
      <c r="J41" s="48">
        <v>0</v>
      </c>
      <c r="K41" s="48">
        <f t="shared" si="9"/>
        <v>19724.2</v>
      </c>
    </row>
    <row r="42" spans="1:11" x14ac:dyDescent="0.25">
      <c r="A42" t="s">
        <v>292</v>
      </c>
      <c r="B42" s="48">
        <v>959.14</v>
      </c>
      <c r="C42" s="48">
        <v>519.59</v>
      </c>
      <c r="D42" s="48">
        <v>1411.26</v>
      </c>
      <c r="E42" s="48">
        <v>2829.73</v>
      </c>
      <c r="F42" s="48">
        <v>1685.25</v>
      </c>
      <c r="G42" s="48">
        <v>10130.58</v>
      </c>
      <c r="H42" s="48">
        <v>1273.76</v>
      </c>
      <c r="I42" s="48">
        <v>6783.81</v>
      </c>
      <c r="J42" s="48">
        <f>2446.62-1505</f>
        <v>941.61999999999989</v>
      </c>
      <c r="K42" s="48">
        <f t="shared" si="9"/>
        <v>26534.739999999998</v>
      </c>
    </row>
    <row r="43" spans="1:11" x14ac:dyDescent="0.25">
      <c r="A43" t="s">
        <v>240</v>
      </c>
      <c r="B43" s="48">
        <v>5394.18</v>
      </c>
      <c r="C43" s="48">
        <v>5394.18</v>
      </c>
      <c r="D43" s="48">
        <v>5394.18</v>
      </c>
      <c r="E43" s="48">
        <v>5394.18</v>
      </c>
      <c r="F43" s="48">
        <v>5394.18</v>
      </c>
      <c r="G43" s="48">
        <v>5394.18</v>
      </c>
      <c r="H43" s="48">
        <v>5019.7700000000004</v>
      </c>
      <c r="I43" s="48">
        <v>5471.33</v>
      </c>
      <c r="J43" s="48">
        <v>5019.7700000000004</v>
      </c>
      <c r="K43" s="48">
        <f t="shared" si="9"/>
        <v>47875.950000000012</v>
      </c>
    </row>
    <row r="44" spans="1:11" x14ac:dyDescent="0.25">
      <c r="A44" t="s">
        <v>241</v>
      </c>
      <c r="B44" s="48">
        <v>1568.56</v>
      </c>
      <c r="C44" s="48">
        <v>2423.8000000000002</v>
      </c>
      <c r="D44" s="48">
        <v>2122.8000000000002</v>
      </c>
      <c r="E44" s="48">
        <v>2200</v>
      </c>
      <c r="F44" s="48">
        <v>-1041.1199999999999</v>
      </c>
      <c r="G44" s="48">
        <v>2297.7600000000002</v>
      </c>
      <c r="H44" s="48">
        <v>1026.78</v>
      </c>
      <c r="I44" s="48">
        <v>603.67999999999995</v>
      </c>
      <c r="J44" s="48">
        <v>603.67999999999995</v>
      </c>
      <c r="K44" s="48">
        <f t="shared" si="9"/>
        <v>11805.94</v>
      </c>
    </row>
    <row r="45" spans="1:11" x14ac:dyDescent="0.25">
      <c r="A45" t="s">
        <v>239</v>
      </c>
      <c r="B45" s="48">
        <v>18020.830000000002</v>
      </c>
      <c r="C45" s="48">
        <v>18020.84</v>
      </c>
      <c r="D45" s="48">
        <v>18020.84</v>
      </c>
      <c r="E45" s="48">
        <v>18020.82</v>
      </c>
      <c r="F45" s="48">
        <v>18020.830000000002</v>
      </c>
      <c r="G45" s="48">
        <v>4868.74</v>
      </c>
      <c r="H45" s="48">
        <v>18020.830000000002</v>
      </c>
      <c r="I45" s="48">
        <v>18020.84</v>
      </c>
      <c r="J45" s="48">
        <v>18020.84</v>
      </c>
      <c r="K45" s="48">
        <f t="shared" si="9"/>
        <v>149035.41</v>
      </c>
    </row>
    <row r="46" spans="1:11" x14ac:dyDescent="0.25">
      <c r="A46" t="s">
        <v>242</v>
      </c>
      <c r="B46" s="48">
        <v>5.49</v>
      </c>
      <c r="C46" s="48">
        <v>0</v>
      </c>
      <c r="D46" s="48">
        <v>100.81</v>
      </c>
      <c r="E46" s="48">
        <v>0</v>
      </c>
      <c r="F46" s="48">
        <v>46.17</v>
      </c>
      <c r="G46" s="48">
        <v>0</v>
      </c>
      <c r="H46" s="48">
        <v>0</v>
      </c>
      <c r="I46" s="48">
        <v>0</v>
      </c>
      <c r="J46" s="48">
        <v>35.520000000000003</v>
      </c>
      <c r="K46" s="48">
        <f t="shared" si="9"/>
        <v>187.99</v>
      </c>
    </row>
    <row r="47" spans="1:11" x14ac:dyDescent="0.25">
      <c r="A47" t="s">
        <v>249</v>
      </c>
      <c r="B47" s="48">
        <v>7320.8</v>
      </c>
      <c r="C47" s="48">
        <v>7321.95</v>
      </c>
      <c r="D47" s="48">
        <v>6956.8</v>
      </c>
      <c r="E47" s="48">
        <v>7611.52</v>
      </c>
      <c r="F47" s="48">
        <v>7241.42</v>
      </c>
      <c r="G47" s="48">
        <v>7612.47</v>
      </c>
      <c r="H47" s="48">
        <v>6608</v>
      </c>
      <c r="I47" s="48">
        <v>7367.7</v>
      </c>
      <c r="J47" s="48">
        <v>6608.09</v>
      </c>
      <c r="K47" s="48">
        <f t="shared" si="9"/>
        <v>64648.75</v>
      </c>
    </row>
    <row r="48" spans="1:11" x14ac:dyDescent="0.25">
      <c r="A48" t="s">
        <v>243</v>
      </c>
      <c r="B48" s="48">
        <v>649.54999999999995</v>
      </c>
      <c r="C48" s="48">
        <v>160.78</v>
      </c>
      <c r="D48" s="48">
        <v>278.7</v>
      </c>
      <c r="E48" s="48">
        <v>536.80999999999995</v>
      </c>
      <c r="F48" s="48">
        <v>160.78</v>
      </c>
      <c r="G48" s="48">
        <v>160.78</v>
      </c>
      <c r="H48" s="48">
        <v>436.05</v>
      </c>
      <c r="I48" s="48">
        <v>686.41</v>
      </c>
      <c r="J48" s="48">
        <v>235.54</v>
      </c>
      <c r="K48" s="48">
        <f t="shared" si="9"/>
        <v>3305.3999999999996</v>
      </c>
    </row>
    <row r="49" spans="1:11" x14ac:dyDescent="0.25">
      <c r="A49" t="s">
        <v>293</v>
      </c>
      <c r="B49" s="48">
        <v>9962.11</v>
      </c>
      <c r="C49" s="48">
        <v>10391.68</v>
      </c>
      <c r="D49" s="48">
        <v>10391.68</v>
      </c>
      <c r="E49" s="48">
        <v>10391.68</v>
      </c>
      <c r="F49" s="48">
        <v>10581.56</v>
      </c>
      <c r="G49" s="48">
        <v>10811.59</v>
      </c>
      <c r="H49" s="48">
        <v>10493.31</v>
      </c>
      <c r="I49" s="48">
        <v>10587.39</v>
      </c>
      <c r="J49" s="48">
        <v>10587.39</v>
      </c>
      <c r="K49" s="48">
        <f t="shared" si="9"/>
        <v>94198.39</v>
      </c>
    </row>
    <row r="50" spans="1:11" x14ac:dyDescent="0.25">
      <c r="A50" t="s">
        <v>296</v>
      </c>
      <c r="B50" s="48">
        <v>1351.56</v>
      </c>
      <c r="C50" s="48">
        <v>1938.84</v>
      </c>
      <c r="D50" s="48">
        <v>1938.84</v>
      </c>
      <c r="E50" s="48">
        <v>1937.28</v>
      </c>
      <c r="F50" s="48">
        <v>1939.84</v>
      </c>
      <c r="G50" s="48">
        <v>1568.58</v>
      </c>
      <c r="H50" s="48">
        <v>836.4</v>
      </c>
      <c r="I50" s="48">
        <v>1730.97</v>
      </c>
      <c r="J50" s="48">
        <v>1819.66</v>
      </c>
      <c r="K50" s="48">
        <f t="shared" si="9"/>
        <v>15061.969999999998</v>
      </c>
    </row>
    <row r="51" spans="1:11" x14ac:dyDescent="0.25">
      <c r="A51" t="s">
        <v>263</v>
      </c>
      <c r="B51" s="48">
        <v>1018.09</v>
      </c>
      <c r="C51" s="48">
        <v>1018.09</v>
      </c>
      <c r="D51" s="48">
        <v>1018.09</v>
      </c>
      <c r="E51" s="48">
        <v>1049.5999999999999</v>
      </c>
      <c r="F51" s="48">
        <v>316.17</v>
      </c>
      <c r="G51" s="48">
        <v>236.46</v>
      </c>
      <c r="H51" s="48">
        <v>2820.43</v>
      </c>
      <c r="I51" s="48">
        <v>0</v>
      </c>
      <c r="J51" s="48">
        <v>0</v>
      </c>
      <c r="K51" s="48">
        <f t="shared" si="9"/>
        <v>7476.93</v>
      </c>
    </row>
    <row r="52" spans="1:11" x14ac:dyDescent="0.25">
      <c r="A52" t="s">
        <v>390</v>
      </c>
      <c r="B52" s="48">
        <v>0</v>
      </c>
      <c r="C52" s="48">
        <v>0</v>
      </c>
      <c r="D52" s="48">
        <v>0</v>
      </c>
      <c r="E52" s="48">
        <v>0</v>
      </c>
      <c r="F52" s="48">
        <v>920.12</v>
      </c>
      <c r="G52" s="48">
        <v>3023.66</v>
      </c>
      <c r="H52" s="48">
        <v>560.84</v>
      </c>
      <c r="I52" s="48">
        <v>560.86</v>
      </c>
      <c r="J52" s="48">
        <v>1884.49</v>
      </c>
      <c r="K52" s="108">
        <f t="shared" si="9"/>
        <v>6949.9699999999993</v>
      </c>
    </row>
    <row r="53" spans="1:11" x14ac:dyDescent="0.25">
      <c r="A53" s="47" t="s">
        <v>335</v>
      </c>
      <c r="B53" s="50">
        <f t="shared" ref="B53:K53" si="10">SUM(B38:B52)</f>
        <v>95993.59</v>
      </c>
      <c r="C53" s="50">
        <f t="shared" si="10"/>
        <v>90696.139999999985</v>
      </c>
      <c r="D53" s="50">
        <f t="shared" si="10"/>
        <v>94840.22</v>
      </c>
      <c r="E53" s="50">
        <f t="shared" si="10"/>
        <v>94354.48000000001</v>
      </c>
      <c r="F53" s="50">
        <f t="shared" si="10"/>
        <v>88786.64999999998</v>
      </c>
      <c r="G53" s="50">
        <f>SUM(G38:G52)</f>
        <v>93578.330000000016</v>
      </c>
      <c r="H53" s="50">
        <f>SUM(H38:H52)</f>
        <v>98208.779999999984</v>
      </c>
      <c r="I53" s="50">
        <f>SUM(I38:I52)</f>
        <v>100261.41</v>
      </c>
      <c r="J53" s="50">
        <f>SUM(J38:J52)</f>
        <v>91109.1</v>
      </c>
      <c r="K53" s="50">
        <f t="shared" si="10"/>
        <v>847828.70000000007</v>
      </c>
    </row>
    <row r="55" spans="1:11" x14ac:dyDescent="0.25">
      <c r="A55" s="47" t="s">
        <v>294</v>
      </c>
    </row>
    <row r="56" spans="1:11" x14ac:dyDescent="0.25">
      <c r="A56" t="s">
        <v>252</v>
      </c>
      <c r="B56" s="48">
        <v>231.6</v>
      </c>
      <c r="C56" s="48">
        <v>181.9</v>
      </c>
      <c r="D56" s="48">
        <v>151.94999999999999</v>
      </c>
      <c r="E56" s="48">
        <v>135.54</v>
      </c>
      <c r="F56" s="48">
        <v>147.36000000000001</v>
      </c>
      <c r="G56" s="48">
        <v>135.63999999999999</v>
      </c>
      <c r="H56" s="48">
        <v>141.44999999999999</v>
      </c>
      <c r="I56" s="48">
        <v>154.02000000000001</v>
      </c>
      <c r="J56" s="48">
        <v>129.82</v>
      </c>
      <c r="K56" s="48">
        <f>SUM(B56:J56)</f>
        <v>1409.28</v>
      </c>
    </row>
    <row r="57" spans="1:11" x14ac:dyDescent="0.25">
      <c r="A57" t="s">
        <v>253</v>
      </c>
      <c r="B57" s="48">
        <v>763.06</v>
      </c>
      <c r="C57" s="48">
        <v>700.02</v>
      </c>
      <c r="D57" s="48">
        <v>701.8</v>
      </c>
      <c r="E57" s="48">
        <v>709.3</v>
      </c>
      <c r="F57" s="48">
        <v>754.79</v>
      </c>
      <c r="G57" s="48">
        <v>696.33</v>
      </c>
      <c r="H57" s="48">
        <v>758.24</v>
      </c>
      <c r="I57" s="48">
        <v>745.68</v>
      </c>
      <c r="J57" s="48">
        <v>728.84</v>
      </c>
      <c r="K57" s="48">
        <f t="shared" ref="K57:K65" si="11">SUM(B57:J57)</f>
        <v>6558.06</v>
      </c>
    </row>
    <row r="58" spans="1:11" x14ac:dyDescent="0.25">
      <c r="A58" t="s">
        <v>295</v>
      </c>
      <c r="B58" s="48">
        <v>0</v>
      </c>
      <c r="C58" s="48">
        <v>0</v>
      </c>
      <c r="D58" s="48">
        <v>0</v>
      </c>
      <c r="E58" s="48">
        <v>300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f t="shared" si="11"/>
        <v>300</v>
      </c>
    </row>
    <row r="59" spans="1:11" x14ac:dyDescent="0.25">
      <c r="A59" t="s">
        <v>307</v>
      </c>
      <c r="B59" s="48">
        <v>0</v>
      </c>
      <c r="C59" s="48">
        <v>1250</v>
      </c>
      <c r="D59" s="48">
        <v>0</v>
      </c>
      <c r="E59" s="48">
        <v>0</v>
      </c>
      <c r="F59" s="48">
        <v>0</v>
      </c>
      <c r="G59" s="48">
        <v>0</v>
      </c>
      <c r="H59" s="48">
        <v>4000</v>
      </c>
      <c r="I59" s="48">
        <v>0</v>
      </c>
      <c r="J59" s="48">
        <v>0</v>
      </c>
      <c r="K59" s="48">
        <f t="shared" si="11"/>
        <v>5250</v>
      </c>
    </row>
    <row r="60" spans="1:11" x14ac:dyDescent="0.25">
      <c r="A60" t="s">
        <v>364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-5776.56</v>
      </c>
      <c r="H60" s="48">
        <v>0</v>
      </c>
      <c r="I60" s="48">
        <v>0</v>
      </c>
      <c r="J60" s="48">
        <v>0</v>
      </c>
      <c r="K60" s="48">
        <f t="shared" si="11"/>
        <v>-5776.56</v>
      </c>
    </row>
    <row r="61" spans="1:11" x14ac:dyDescent="0.25">
      <c r="A61" t="s">
        <v>391</v>
      </c>
      <c r="B61" s="48">
        <v>5000</v>
      </c>
      <c r="C61" s="48">
        <v>5000</v>
      </c>
      <c r="D61" s="48">
        <v>5000</v>
      </c>
      <c r="E61" s="48">
        <v>5000</v>
      </c>
      <c r="F61" s="48">
        <v>5000</v>
      </c>
      <c r="G61" s="48">
        <v>4000</v>
      </c>
      <c r="H61" s="48">
        <v>4000</v>
      </c>
      <c r="I61" s="48">
        <v>4000</v>
      </c>
      <c r="J61" s="48">
        <v>4000</v>
      </c>
      <c r="K61" s="48">
        <f>SUM(B61:J61)</f>
        <v>41000</v>
      </c>
    </row>
    <row r="62" spans="1:11" x14ac:dyDescent="0.25">
      <c r="A62" t="s">
        <v>363</v>
      </c>
      <c r="B62" s="48">
        <v>2250</v>
      </c>
      <c r="C62" s="48">
        <v>2250</v>
      </c>
      <c r="D62" s="48">
        <v>2250</v>
      </c>
      <c r="E62" s="48">
        <v>2250</v>
      </c>
      <c r="F62" s="48">
        <v>2250</v>
      </c>
      <c r="G62" s="48">
        <v>2250</v>
      </c>
      <c r="H62" s="48">
        <v>2250</v>
      </c>
      <c r="I62" s="48">
        <v>2250</v>
      </c>
      <c r="J62" s="48">
        <v>2250</v>
      </c>
      <c r="K62" s="48">
        <f t="shared" si="11"/>
        <v>20250</v>
      </c>
    </row>
    <row r="63" spans="1:11" x14ac:dyDescent="0.25">
      <c r="A63" t="s">
        <v>392</v>
      </c>
      <c r="B63" s="48">
        <v>791.67</v>
      </c>
      <c r="C63" s="48">
        <v>791.67</v>
      </c>
      <c r="D63" s="48">
        <v>791.67</v>
      </c>
      <c r="E63" s="48">
        <v>791.67</v>
      </c>
      <c r="F63" s="48">
        <f>8791.67-8000.01</f>
        <v>791.65999999999985</v>
      </c>
      <c r="G63" s="48">
        <v>666.67</v>
      </c>
      <c r="H63" s="48">
        <v>666.67</v>
      </c>
      <c r="I63" s="48">
        <v>666.67</v>
      </c>
      <c r="J63" s="48">
        <v>666.67</v>
      </c>
      <c r="K63" s="48">
        <f t="shared" si="11"/>
        <v>6625.0199999999995</v>
      </c>
    </row>
    <row r="64" spans="1:11" x14ac:dyDescent="0.25">
      <c r="A64" t="s">
        <v>393</v>
      </c>
      <c r="B64" s="48">
        <v>109</v>
      </c>
      <c r="C64" s="48">
        <v>0</v>
      </c>
      <c r="D64" s="48">
        <v>40</v>
      </c>
      <c r="E64" s="48">
        <v>0</v>
      </c>
      <c r="F64" s="48">
        <v>0</v>
      </c>
      <c r="G64" s="48">
        <v>0</v>
      </c>
      <c r="H64" s="48">
        <v>0</v>
      </c>
      <c r="I64" s="48">
        <v>300</v>
      </c>
      <c r="J64" s="48">
        <v>0</v>
      </c>
      <c r="K64" s="48">
        <f t="shared" si="11"/>
        <v>449</v>
      </c>
    </row>
    <row r="65" spans="1:12" x14ac:dyDescent="0.25">
      <c r="A65" t="s">
        <v>257</v>
      </c>
      <c r="B65" s="48">
        <v>225</v>
      </c>
      <c r="C65" s="48">
        <v>352.5</v>
      </c>
      <c r="D65" s="48">
        <v>0</v>
      </c>
      <c r="E65" s="48">
        <v>0</v>
      </c>
      <c r="F65" s="48">
        <v>0</v>
      </c>
      <c r="G65" s="48">
        <v>650</v>
      </c>
      <c r="H65" s="48">
        <v>0</v>
      </c>
      <c r="I65" s="48">
        <v>1250</v>
      </c>
      <c r="J65" s="48">
        <v>0</v>
      </c>
      <c r="K65" s="108">
        <f t="shared" si="11"/>
        <v>2477.5</v>
      </c>
    </row>
    <row r="66" spans="1:12" x14ac:dyDescent="0.25">
      <c r="A66" s="47" t="s">
        <v>297</v>
      </c>
      <c r="B66" s="50">
        <f>SUM(B56:B65)</f>
        <v>9370.33</v>
      </c>
      <c r="C66" s="50">
        <f t="shared" ref="C66:K66" si="12">SUM(C56:C65)</f>
        <v>10526.09</v>
      </c>
      <c r="D66" s="50">
        <f t="shared" si="12"/>
        <v>8935.42</v>
      </c>
      <c r="E66" s="50">
        <f>SUM(E56:E65)</f>
        <v>9186.51</v>
      </c>
      <c r="F66" s="50">
        <f t="shared" si="12"/>
        <v>8943.81</v>
      </c>
      <c r="G66" s="50">
        <f>SUM(G56:G65)</f>
        <v>2622.08</v>
      </c>
      <c r="H66" s="50">
        <f>SUM(H56:H65)</f>
        <v>11816.36</v>
      </c>
      <c r="I66" s="50">
        <f>SUM(I56:I65)</f>
        <v>9366.369999999999</v>
      </c>
      <c r="J66" s="50">
        <f>SUM(J56:J65)</f>
        <v>7775.33</v>
      </c>
      <c r="K66" s="50">
        <f t="shared" si="12"/>
        <v>78542.3</v>
      </c>
    </row>
    <row r="67" spans="1:12" x14ac:dyDescent="0.25">
      <c r="A67" t="s">
        <v>246</v>
      </c>
    </row>
    <row r="68" spans="1:12" ht="15.75" thickBot="1" x14ac:dyDescent="0.3">
      <c r="A68" s="47" t="s">
        <v>210</v>
      </c>
      <c r="B68" s="51">
        <f t="shared" ref="B68:K68" si="13">B35+B53+B66</f>
        <v>119334.52</v>
      </c>
      <c r="C68" s="51">
        <f t="shared" si="13"/>
        <v>113697.12999999998</v>
      </c>
      <c r="D68" s="51">
        <f t="shared" si="13"/>
        <v>117844.24</v>
      </c>
      <c r="E68" s="51">
        <f t="shared" si="13"/>
        <v>116956.12000000001</v>
      </c>
      <c r="F68" s="51">
        <f t="shared" si="13"/>
        <v>111590.86999999998</v>
      </c>
      <c r="G68" s="51">
        <f>G35+G53+G66</f>
        <v>109064.85000000002</v>
      </c>
      <c r="H68" s="51">
        <f>H35+H53+H66</f>
        <v>123297.64999999998</v>
      </c>
      <c r="I68" s="51">
        <f>I35+I53+I66</f>
        <v>123300.49</v>
      </c>
      <c r="J68" s="51">
        <f>J35+J53+J66</f>
        <v>111741.29000000001</v>
      </c>
      <c r="K68" s="51">
        <f t="shared" si="13"/>
        <v>1046827.1600000001</v>
      </c>
    </row>
    <row r="70" spans="1:12" x14ac:dyDescent="0.25">
      <c r="A70" s="47" t="s">
        <v>298</v>
      </c>
    </row>
    <row r="71" spans="1:12" x14ac:dyDescent="0.25">
      <c r="A71" t="s">
        <v>299</v>
      </c>
      <c r="B71" s="48">
        <v>12500</v>
      </c>
      <c r="C71" s="48">
        <v>12500</v>
      </c>
      <c r="D71" s="48">
        <v>12500</v>
      </c>
      <c r="E71" s="48">
        <v>12500</v>
      </c>
      <c r="F71" s="48">
        <v>12500</v>
      </c>
      <c r="G71" s="48">
        <v>12500</v>
      </c>
      <c r="H71" s="48">
        <v>12500</v>
      </c>
      <c r="I71" s="48">
        <v>12500</v>
      </c>
      <c r="J71" s="48">
        <v>12500</v>
      </c>
      <c r="K71" s="48">
        <f>SUM(B71:J71)</f>
        <v>112500</v>
      </c>
    </row>
    <row r="72" spans="1:12" x14ac:dyDescent="0.25">
      <c r="A72" t="s">
        <v>271</v>
      </c>
      <c r="B72" s="48">
        <v>2109.7199999999998</v>
      </c>
      <c r="C72" s="48">
        <v>2488.89</v>
      </c>
      <c r="D72" s="48">
        <v>2770.21</v>
      </c>
      <c r="E72" s="48">
        <v>2666.67</v>
      </c>
      <c r="F72" s="48">
        <v>2755.56</v>
      </c>
      <c r="G72" s="48">
        <v>2666.67</v>
      </c>
      <c r="H72" s="48">
        <v>2755.56</v>
      </c>
      <c r="I72" s="48">
        <v>3000</v>
      </c>
      <c r="J72" s="48">
        <v>3333.33</v>
      </c>
      <c r="K72" s="48">
        <f>SUM(B72:J72)</f>
        <v>24546.61</v>
      </c>
    </row>
    <row r="73" spans="1:12" x14ac:dyDescent="0.25">
      <c r="A73" s="47" t="s">
        <v>300</v>
      </c>
      <c r="B73" s="50">
        <f>SUM(B71:B72)</f>
        <v>14609.72</v>
      </c>
      <c r="C73" s="50">
        <f t="shared" ref="C73:K73" si="14">SUM(C71:C72)</f>
        <v>14988.89</v>
      </c>
      <c r="D73" s="50">
        <f t="shared" si="14"/>
        <v>15270.21</v>
      </c>
      <c r="E73" s="50">
        <f>SUM(E71:E72)</f>
        <v>15166.67</v>
      </c>
      <c r="F73" s="50">
        <f t="shared" si="14"/>
        <v>15255.56</v>
      </c>
      <c r="G73" s="50">
        <f>SUM(G71:G72)</f>
        <v>15166.67</v>
      </c>
      <c r="H73" s="50">
        <f>SUM(H71:H72)</f>
        <v>15255.56</v>
      </c>
      <c r="I73" s="50">
        <f>SUM(I71:I72)</f>
        <v>15500</v>
      </c>
      <c r="J73" s="50">
        <f>SUM(J71:J72)</f>
        <v>15833.33</v>
      </c>
      <c r="K73" s="50">
        <f t="shared" si="14"/>
        <v>137046.60999999999</v>
      </c>
    </row>
    <row r="75" spans="1:12" ht="15.75" thickBot="1" x14ac:dyDescent="0.3">
      <c r="A75" s="47" t="s">
        <v>301</v>
      </c>
      <c r="B75" s="52">
        <f t="shared" ref="B75:K75" si="15">B25-B68+B73</f>
        <v>-1834.0699999999943</v>
      </c>
      <c r="C75" s="52">
        <f t="shared" si="15"/>
        <v>8655.3500000000204</v>
      </c>
      <c r="D75" s="52">
        <f t="shared" si="15"/>
        <v>83095.280000000028</v>
      </c>
      <c r="E75" s="52">
        <f t="shared" si="15"/>
        <v>32817.569999999978</v>
      </c>
      <c r="F75" s="52">
        <f t="shared" si="15"/>
        <v>177775.43</v>
      </c>
      <c r="G75" s="52">
        <f>G25-G68+G73</f>
        <v>87212.919999999955</v>
      </c>
      <c r="H75" s="52">
        <f>H25-H68+H73</f>
        <v>115696.81999999999</v>
      </c>
      <c r="I75" s="52">
        <f>I25-I68+I73</f>
        <v>116860.41000000002</v>
      </c>
      <c r="J75" s="52">
        <f>J25-J68+J73</f>
        <v>646001</v>
      </c>
      <c r="K75" s="52">
        <f t="shared" si="15"/>
        <v>1266280.71</v>
      </c>
      <c r="L75"/>
    </row>
    <row r="76" spans="1:12" ht="15.75" thickTop="1" x14ac:dyDescent="0.25"/>
    <row r="77" spans="1:12" x14ac:dyDescent="0.25">
      <c r="B77" s="48">
        <v>-1834.07</v>
      </c>
      <c r="C77" s="48">
        <v>8655.35</v>
      </c>
      <c r="D77" s="48">
        <v>83095.28</v>
      </c>
      <c r="E77" s="48">
        <v>32817.57</v>
      </c>
      <c r="F77" s="48">
        <v>177775.43</v>
      </c>
      <c r="G77" s="48">
        <v>87212.92</v>
      </c>
      <c r="H77" s="48">
        <v>115696.82</v>
      </c>
      <c r="I77" s="48">
        <v>116860.41</v>
      </c>
      <c r="J77" s="48">
        <v>646001</v>
      </c>
      <c r="K77" s="48">
        <v>1266280.71</v>
      </c>
    </row>
    <row r="78" spans="1:12" x14ac:dyDescent="0.25">
      <c r="B78" s="111">
        <f>ROUND((B77-B75),2)</f>
        <v>0</v>
      </c>
      <c r="C78" s="111">
        <f t="shared" ref="C78:K78" si="16">ROUND((C77-C75),2)</f>
        <v>0</v>
      </c>
      <c r="D78" s="111">
        <f t="shared" si="16"/>
        <v>0</v>
      </c>
      <c r="E78" s="111">
        <f t="shared" si="16"/>
        <v>0</v>
      </c>
      <c r="F78" s="111">
        <f t="shared" si="16"/>
        <v>0</v>
      </c>
      <c r="G78" s="111">
        <f t="shared" ref="G78:I78" si="17">ROUND((G77-G75),2)</f>
        <v>0</v>
      </c>
      <c r="H78" s="111">
        <f t="shared" si="17"/>
        <v>0</v>
      </c>
      <c r="I78" s="111">
        <f t="shared" si="17"/>
        <v>0</v>
      </c>
      <c r="J78" s="111">
        <f t="shared" si="16"/>
        <v>0</v>
      </c>
      <c r="K78" s="111">
        <f t="shared" si="16"/>
        <v>0</v>
      </c>
    </row>
    <row r="79" spans="1:12" x14ac:dyDescent="0.25">
      <c r="K79" s="48">
        <f>K77+300000</f>
        <v>1566280.71</v>
      </c>
    </row>
  </sheetData>
  <mergeCells count="3">
    <mergeCell ref="A1:K1"/>
    <mergeCell ref="A2:K2"/>
    <mergeCell ref="A3:K3"/>
  </mergeCells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N64"/>
  <sheetViews>
    <sheetView view="pageBreakPreview" zoomScaleNormal="100" zoomScaleSheetLayoutView="100" workbookViewId="0">
      <pane ySplit="6" topLeftCell="A31" activePane="bottomLeft" state="frozen"/>
      <selection activeCell="B82" sqref="B82"/>
      <selection pane="bottomLeft" activeCell="I14" sqref="I14"/>
    </sheetView>
  </sheetViews>
  <sheetFormatPr defaultRowHeight="15" x14ac:dyDescent="0.25"/>
  <cols>
    <col min="1" max="1" width="41.28515625" bestFit="1" customWidth="1"/>
    <col min="2" max="2" width="14.140625" style="48" bestFit="1" customWidth="1"/>
    <col min="3" max="3" width="14.42578125" style="48" customWidth="1"/>
    <col min="4" max="4" width="15.140625" style="48" bestFit="1" customWidth="1"/>
    <col min="5" max="6" width="14.7109375" style="48" bestFit="1" customWidth="1"/>
    <col min="7" max="10" width="15.28515625" style="48" bestFit="1" customWidth="1"/>
    <col min="11" max="11" width="15.42578125" style="48" bestFit="1" customWidth="1"/>
    <col min="12" max="12" width="8.85546875" style="48"/>
    <col min="13" max="14" width="11.5703125" bestFit="1" customWidth="1"/>
  </cols>
  <sheetData>
    <row r="1" spans="1:11" x14ac:dyDescent="0.25">
      <c r="A1" s="233" t="s">
        <v>337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25">
      <c r="A2" s="233" t="s">
        <v>275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3">
        <v>2018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446</v>
      </c>
      <c r="I6" s="53" t="s">
        <v>456</v>
      </c>
      <c r="J6" s="53" t="s">
        <v>472</v>
      </c>
      <c r="K6" s="53" t="s">
        <v>207</v>
      </c>
    </row>
    <row r="7" spans="1:11" x14ac:dyDescent="0.25">
      <c r="A7" s="47" t="s">
        <v>62</v>
      </c>
    </row>
    <row r="8" spans="1:11" x14ac:dyDescent="0.25">
      <c r="A8" t="s">
        <v>309</v>
      </c>
      <c r="B8" s="48">
        <v>1259181.27</v>
      </c>
      <c r="C8" s="48">
        <v>3842825.02</v>
      </c>
      <c r="D8" s="48">
        <v>6380777.25</v>
      </c>
      <c r="E8" s="48">
        <v>7202321.2999999998</v>
      </c>
      <c r="F8" s="48">
        <v>8920930.5899999999</v>
      </c>
      <c r="G8" s="48">
        <v>10255749.529999999</v>
      </c>
      <c r="H8" s="48">
        <v>11726637.460000001</v>
      </c>
      <c r="I8" s="48">
        <v>8087466.0499999998</v>
      </c>
      <c r="J8" s="48">
        <v>266656.84999999998</v>
      </c>
      <c r="K8" s="48">
        <f>SUM(B8:J8)</f>
        <v>57942545.32</v>
      </c>
    </row>
    <row r="9" spans="1:11" x14ac:dyDescent="0.25">
      <c r="A9" t="s">
        <v>317</v>
      </c>
      <c r="B9" s="48">
        <v>236007.94</v>
      </c>
      <c r="C9" s="48">
        <v>379397.28</v>
      </c>
      <c r="D9" s="48">
        <v>545988.51</v>
      </c>
      <c r="E9" s="48">
        <v>295631.26</v>
      </c>
      <c r="F9" s="48">
        <v>282253.62</v>
      </c>
      <c r="G9" s="48">
        <v>179199.65</v>
      </c>
      <c r="H9" s="48">
        <v>396933.84</v>
      </c>
      <c r="I9" s="48">
        <v>338757.5</v>
      </c>
      <c r="J9" s="48">
        <v>109856.97</v>
      </c>
      <c r="K9" s="48">
        <f t="shared" ref="K9:K16" si="0">SUM(B9:J9)</f>
        <v>2764026.57</v>
      </c>
    </row>
    <row r="10" spans="1:11" x14ac:dyDescent="0.25">
      <c r="A10" t="s">
        <v>318</v>
      </c>
      <c r="B10" s="48">
        <v>61335.59</v>
      </c>
      <c r="C10" s="48">
        <v>17413.54</v>
      </c>
      <c r="D10" s="48">
        <v>27676.38</v>
      </c>
      <c r="E10" s="48">
        <v>53826.559999999998</v>
      </c>
      <c r="F10" s="48">
        <v>37554.74</v>
      </c>
      <c r="G10" s="48">
        <v>14783.41</v>
      </c>
      <c r="H10" s="48">
        <v>26033.31</v>
      </c>
      <c r="I10" s="48">
        <v>26281.37</v>
      </c>
      <c r="J10" s="48">
        <v>10456.31</v>
      </c>
      <c r="K10" s="48">
        <f t="shared" si="0"/>
        <v>275361.21000000002</v>
      </c>
    </row>
    <row r="11" spans="1:11" x14ac:dyDescent="0.25">
      <c r="A11" t="s">
        <v>382</v>
      </c>
      <c r="B11" s="48">
        <v>0</v>
      </c>
      <c r="C11" s="48">
        <v>0</v>
      </c>
      <c r="D11" s="48">
        <v>0</v>
      </c>
      <c r="E11" s="48">
        <v>0</v>
      </c>
      <c r="F11" s="48">
        <v>3310.3</v>
      </c>
      <c r="G11" s="48">
        <v>3202.6</v>
      </c>
      <c r="H11" s="48">
        <v>6393.6</v>
      </c>
      <c r="I11" s="48">
        <v>4616.5</v>
      </c>
      <c r="J11" s="48">
        <v>3544.5</v>
      </c>
      <c r="K11" s="48">
        <f t="shared" si="0"/>
        <v>21067.5</v>
      </c>
    </row>
    <row r="12" spans="1:11" x14ac:dyDescent="0.25">
      <c r="A12" t="s">
        <v>464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1473</v>
      </c>
      <c r="I12" s="48">
        <v>132.97999999999999</v>
      </c>
      <c r="J12" s="48">
        <v>433.84</v>
      </c>
      <c r="K12" s="48">
        <f t="shared" ref="K12" si="1">SUM(B12:J12)</f>
        <v>2039.82</v>
      </c>
    </row>
    <row r="13" spans="1:11" x14ac:dyDescent="0.25">
      <c r="A13" t="s">
        <v>319</v>
      </c>
      <c r="B13" s="48">
        <v>658</v>
      </c>
      <c r="C13" s="48">
        <v>1919</v>
      </c>
      <c r="D13" s="48">
        <v>477</v>
      </c>
      <c r="E13" s="48">
        <v>592.5</v>
      </c>
      <c r="F13" s="48">
        <f>1227.5</f>
        <v>1227.5</v>
      </c>
      <c r="G13" s="48">
        <v>268</v>
      </c>
      <c r="H13" s="48">
        <v>1265</v>
      </c>
      <c r="I13" s="48">
        <v>175</v>
      </c>
      <c r="J13" s="48">
        <v>180</v>
      </c>
      <c r="K13" s="48">
        <f t="shared" si="0"/>
        <v>6762</v>
      </c>
    </row>
    <row r="14" spans="1:11" x14ac:dyDescent="0.25">
      <c r="A14" t="s">
        <v>320</v>
      </c>
      <c r="B14" s="48">
        <v>59302.75</v>
      </c>
      <c r="C14" s="48">
        <v>176078.5</v>
      </c>
      <c r="D14" s="48">
        <v>289922.25</v>
      </c>
      <c r="E14" s="48">
        <v>364686</v>
      </c>
      <c r="F14" s="48">
        <v>414150.75</v>
      </c>
      <c r="G14" s="48">
        <v>437152</v>
      </c>
      <c r="H14" s="48">
        <v>559001.75</v>
      </c>
      <c r="I14" s="48">
        <v>304574.5</v>
      </c>
      <c r="J14" s="48">
        <v>0</v>
      </c>
      <c r="K14" s="48">
        <f t="shared" si="0"/>
        <v>2604868.5</v>
      </c>
    </row>
    <row r="15" spans="1:11" x14ac:dyDescent="0.25">
      <c r="A15" t="s">
        <v>321</v>
      </c>
      <c r="B15" s="48">
        <v>-878.76</v>
      </c>
      <c r="C15" s="48">
        <v>0</v>
      </c>
      <c r="D15" s="48">
        <v>0</v>
      </c>
      <c r="E15" s="48">
        <v>-5916</v>
      </c>
      <c r="F15" s="48">
        <v>0</v>
      </c>
      <c r="G15" s="48">
        <v>-50883.01</v>
      </c>
      <c r="H15" s="48">
        <v>-5495.2</v>
      </c>
      <c r="I15" s="48">
        <f>-11900</f>
        <v>-11900</v>
      </c>
      <c r="J15" s="48">
        <v>0</v>
      </c>
      <c r="K15" s="48">
        <f t="shared" ref="K15" si="2">SUM(B15:J15)</f>
        <v>-75072.97</v>
      </c>
    </row>
    <row r="16" spans="1:11" x14ac:dyDescent="0.25">
      <c r="A16" t="s">
        <v>463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-22111.39</v>
      </c>
      <c r="J16" s="48">
        <v>0</v>
      </c>
      <c r="K16" s="48">
        <f t="shared" si="0"/>
        <v>-22111.39</v>
      </c>
    </row>
    <row r="17" spans="1:11" x14ac:dyDescent="0.25">
      <c r="A17" s="47" t="s">
        <v>223</v>
      </c>
      <c r="B17" s="50">
        <f t="shared" ref="B17:K17" si="3">SUM(B8:B16)</f>
        <v>1615606.79</v>
      </c>
      <c r="C17" s="50">
        <f t="shared" si="3"/>
        <v>4417633.34</v>
      </c>
      <c r="D17" s="50">
        <f t="shared" si="3"/>
        <v>7244841.3899999997</v>
      </c>
      <c r="E17" s="50">
        <f t="shared" si="3"/>
        <v>7911141.6199999992</v>
      </c>
      <c r="F17" s="50">
        <f t="shared" si="3"/>
        <v>9659427.5</v>
      </c>
      <c r="G17" s="50">
        <f t="shared" si="3"/>
        <v>10839472.18</v>
      </c>
      <c r="H17" s="50">
        <f t="shared" si="3"/>
        <v>12712242.760000002</v>
      </c>
      <c r="I17" s="50">
        <f t="shared" ref="I17" si="4">SUM(I8:I16)</f>
        <v>8727992.5099999998</v>
      </c>
      <c r="J17" s="50">
        <f t="shared" si="3"/>
        <v>391128.47</v>
      </c>
      <c r="K17" s="50">
        <f t="shared" si="3"/>
        <v>63519486.560000002</v>
      </c>
    </row>
    <row r="19" spans="1:11" x14ac:dyDescent="0.25">
      <c r="A19" s="47" t="s">
        <v>280</v>
      </c>
      <c r="K19" s="48">
        <f t="shared" ref="K19:K35" si="5">SUM(B19:J19)</f>
        <v>0</v>
      </c>
    </row>
    <row r="20" spans="1:11" x14ac:dyDescent="0.25">
      <c r="A20" t="s">
        <v>310</v>
      </c>
      <c r="B20" s="48">
        <v>1244716.24</v>
      </c>
      <c r="C20" s="48">
        <v>3821573.32</v>
      </c>
      <c r="D20" s="48">
        <v>6368245.5999999996</v>
      </c>
      <c r="E20" s="48">
        <v>7185367.1200000001</v>
      </c>
      <c r="F20" s="48">
        <v>8899243.3100000005</v>
      </c>
      <c r="G20" s="48">
        <v>10161491.619999999</v>
      </c>
      <c r="H20" s="48">
        <v>11745247.939999999</v>
      </c>
      <c r="I20" s="48">
        <v>8041925.0800000001</v>
      </c>
      <c r="J20" s="48">
        <v>234231.39</v>
      </c>
      <c r="K20" s="48">
        <f t="shared" si="5"/>
        <v>57702041.619999997</v>
      </c>
    </row>
    <row r="21" spans="1:11" x14ac:dyDescent="0.25">
      <c r="A21" t="s">
        <v>311</v>
      </c>
      <c r="B21" s="48">
        <v>220469.8</v>
      </c>
      <c r="C21" s="48">
        <v>359444.27</v>
      </c>
      <c r="D21" s="48">
        <v>528840.88</v>
      </c>
      <c r="E21" s="48">
        <v>274773.03000000003</v>
      </c>
      <c r="F21" s="48">
        <v>264969.81</v>
      </c>
      <c r="G21" s="48">
        <v>165716.99</v>
      </c>
      <c r="H21" s="48">
        <v>318210.40000000002</v>
      </c>
      <c r="I21" s="48">
        <v>291283.06</v>
      </c>
      <c r="J21" s="48">
        <v>95156.13</v>
      </c>
      <c r="K21" s="48">
        <f t="shared" si="5"/>
        <v>2518864.37</v>
      </c>
    </row>
    <row r="22" spans="1:11" x14ac:dyDescent="0.25">
      <c r="A22" t="s">
        <v>312</v>
      </c>
      <c r="B22" s="48">
        <v>58837.5</v>
      </c>
      <c r="C22" s="48">
        <v>16027.01</v>
      </c>
      <c r="D22" s="48">
        <v>26000.22</v>
      </c>
      <c r="E22" s="48">
        <v>51375.17</v>
      </c>
      <c r="F22" s="48">
        <v>34978.86</v>
      </c>
      <c r="G22" s="48">
        <v>13617.04</v>
      </c>
      <c r="H22" s="48">
        <v>23523.99</v>
      </c>
      <c r="I22" s="48">
        <v>22699.23</v>
      </c>
      <c r="J22" s="48">
        <v>9288.81</v>
      </c>
      <c r="K22" s="48">
        <f t="shared" si="5"/>
        <v>256347.83000000002</v>
      </c>
    </row>
    <row r="23" spans="1:11" x14ac:dyDescent="0.25">
      <c r="A23" t="s">
        <v>383</v>
      </c>
      <c r="B23" s="48">
        <v>0</v>
      </c>
      <c r="C23" s="48">
        <v>0</v>
      </c>
      <c r="D23" s="48">
        <v>0</v>
      </c>
      <c r="E23" s="48">
        <v>0</v>
      </c>
      <c r="F23" s="48">
        <v>2079</v>
      </c>
      <c r="G23" s="48">
        <v>2011</v>
      </c>
      <c r="H23" s="48">
        <v>4004</v>
      </c>
      <c r="I23" s="48">
        <v>2894</v>
      </c>
      <c r="J23" s="48">
        <v>2154</v>
      </c>
      <c r="K23" s="48">
        <f t="shared" si="5"/>
        <v>13142</v>
      </c>
    </row>
    <row r="24" spans="1:11" x14ac:dyDescent="0.25">
      <c r="A24" t="s">
        <v>313</v>
      </c>
      <c r="B24" s="48">
        <v>658</v>
      </c>
      <c r="C24" s="48">
        <v>1919</v>
      </c>
      <c r="D24" s="48">
        <v>477</v>
      </c>
      <c r="E24" s="48">
        <v>592.5</v>
      </c>
      <c r="F24" s="48">
        <v>1227.5</v>
      </c>
      <c r="G24" s="48">
        <v>268</v>
      </c>
      <c r="H24" s="48">
        <v>1265</v>
      </c>
      <c r="I24" s="48">
        <v>175</v>
      </c>
      <c r="J24" s="48">
        <v>180</v>
      </c>
      <c r="K24" s="48">
        <f t="shared" si="5"/>
        <v>6762</v>
      </c>
    </row>
    <row r="25" spans="1:11" x14ac:dyDescent="0.25">
      <c r="A25" t="s">
        <v>450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350</v>
      </c>
      <c r="I25" s="48">
        <v>132.93</v>
      </c>
      <c r="J25" s="48">
        <v>433.62</v>
      </c>
      <c r="K25" s="48">
        <f>SUM(B25:J25)</f>
        <v>916.55</v>
      </c>
    </row>
    <row r="26" spans="1:11" x14ac:dyDescent="0.25">
      <c r="A26" t="s">
        <v>282</v>
      </c>
      <c r="B26" s="48">
        <v>19986.22</v>
      </c>
      <c r="C26" s="48">
        <v>12338.52</v>
      </c>
      <c r="D26" s="48">
        <v>39850.800000000003</v>
      </c>
      <c r="E26" s="48">
        <v>28631.47</v>
      </c>
      <c r="F26" s="48">
        <v>35548.99</v>
      </c>
      <c r="G26" s="48">
        <v>67302.78</v>
      </c>
      <c r="H26" s="48">
        <v>60835.25</v>
      </c>
      <c r="I26" s="48">
        <v>56171.75</v>
      </c>
      <c r="J26" s="48">
        <v>9266.6299999999992</v>
      </c>
      <c r="K26" s="48">
        <f t="shared" si="5"/>
        <v>329932.41000000003</v>
      </c>
    </row>
    <row r="27" spans="1:11" x14ac:dyDescent="0.25">
      <c r="A27" t="s">
        <v>314</v>
      </c>
      <c r="B27" s="48">
        <v>-3444.15</v>
      </c>
      <c r="C27" s="48">
        <v>79.5</v>
      </c>
      <c r="D27" s="48">
        <v>-574</v>
      </c>
      <c r="E27" s="48">
        <v>602.98</v>
      </c>
      <c r="F27" s="48">
        <v>-2955.7</v>
      </c>
      <c r="G27" s="48">
        <v>-1504.23</v>
      </c>
      <c r="H27" s="48">
        <v>-2531.09</v>
      </c>
      <c r="I27" s="48">
        <v>-5366.91</v>
      </c>
      <c r="J27" s="48">
        <v>20032.54</v>
      </c>
      <c r="K27" s="48">
        <f t="shared" si="5"/>
        <v>4338.9400000000005</v>
      </c>
    </row>
    <row r="28" spans="1:11" x14ac:dyDescent="0.25">
      <c r="A28" t="s">
        <v>432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4018.23</v>
      </c>
      <c r="I28" s="48">
        <v>0</v>
      </c>
      <c r="J28" s="48">
        <v>-3033.23</v>
      </c>
      <c r="K28" s="48">
        <f t="shared" si="5"/>
        <v>985</v>
      </c>
    </row>
    <row r="29" spans="1:11" x14ac:dyDescent="0.25">
      <c r="A29" t="s">
        <v>385</v>
      </c>
      <c r="B29" s="48">
        <v>0</v>
      </c>
      <c r="C29" s="48">
        <v>0</v>
      </c>
      <c r="D29" s="48">
        <v>0</v>
      </c>
      <c r="E29" s="48">
        <v>820.8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f t="shared" si="5"/>
        <v>820.8</v>
      </c>
    </row>
    <row r="30" spans="1:11" x14ac:dyDescent="0.25">
      <c r="A30" t="s">
        <v>386</v>
      </c>
      <c r="B30" s="48">
        <v>0</v>
      </c>
      <c r="C30" s="48">
        <v>1.92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f t="shared" si="5"/>
        <v>1.92</v>
      </c>
    </row>
    <row r="31" spans="1:11" x14ac:dyDescent="0.25">
      <c r="A31" t="s">
        <v>315</v>
      </c>
      <c r="B31" s="48">
        <v>720.74</v>
      </c>
      <c r="C31" s="48">
        <f>-1643.32</f>
        <v>-1643.32</v>
      </c>
      <c r="D31" s="48">
        <v>3077.78</v>
      </c>
      <c r="E31" s="48">
        <v>0</v>
      </c>
      <c r="F31" s="48">
        <f>-173.2</f>
        <v>-173.2</v>
      </c>
      <c r="G31" s="48">
        <v>1377.51</v>
      </c>
      <c r="H31" s="48">
        <v>0</v>
      </c>
      <c r="I31" s="48">
        <v>0</v>
      </c>
      <c r="J31" s="48">
        <v>0</v>
      </c>
      <c r="K31" s="48">
        <f t="shared" si="5"/>
        <v>3359.51</v>
      </c>
    </row>
    <row r="32" spans="1:11" x14ac:dyDescent="0.25">
      <c r="A32" t="s">
        <v>326</v>
      </c>
      <c r="B32" s="48">
        <v>0</v>
      </c>
      <c r="C32" s="48">
        <v>0</v>
      </c>
      <c r="D32" s="48">
        <v>-3.34</v>
      </c>
      <c r="E32" s="48">
        <v>0</v>
      </c>
      <c r="F32" s="48">
        <v>-38.909999999999997</v>
      </c>
      <c r="G32" s="48">
        <v>0</v>
      </c>
      <c r="H32" s="48">
        <v>-14.22</v>
      </c>
      <c r="I32" s="48">
        <v>81</v>
      </c>
      <c r="J32" s="48">
        <v>0</v>
      </c>
      <c r="K32" s="48">
        <f t="shared" si="5"/>
        <v>24.53</v>
      </c>
    </row>
    <row r="33" spans="1:14" x14ac:dyDescent="0.25">
      <c r="A33" t="s">
        <v>384</v>
      </c>
      <c r="B33" s="48">
        <v>0</v>
      </c>
      <c r="C33" s="48">
        <v>0</v>
      </c>
      <c r="D33" s="48">
        <v>0</v>
      </c>
      <c r="E33" s="48">
        <v>0</v>
      </c>
      <c r="F33" s="48">
        <v>-4.2</v>
      </c>
      <c r="G33" s="48">
        <v>0</v>
      </c>
      <c r="H33" s="48">
        <v>-74.81</v>
      </c>
      <c r="I33" s="48">
        <v>0</v>
      </c>
      <c r="J33" s="48">
        <v>0</v>
      </c>
      <c r="K33" s="48">
        <f t="shared" si="5"/>
        <v>-79.010000000000005</v>
      </c>
    </row>
    <row r="34" spans="1:14" x14ac:dyDescent="0.25">
      <c r="A34" t="s">
        <v>336</v>
      </c>
      <c r="B34" s="48">
        <v>34120.78</v>
      </c>
      <c r="C34" s="48">
        <v>75014.87</v>
      </c>
      <c r="D34" s="48">
        <v>138492.9</v>
      </c>
      <c r="E34" s="48">
        <v>140698.1</v>
      </c>
      <c r="F34" s="48">
        <v>179668.82</v>
      </c>
      <c r="G34" s="48">
        <v>186806.24</v>
      </c>
      <c r="H34" s="48">
        <v>212480.24</v>
      </c>
      <c r="I34" s="48">
        <v>145987.63</v>
      </c>
      <c r="J34" s="48">
        <v>15830.18</v>
      </c>
      <c r="K34" s="48">
        <f t="shared" si="5"/>
        <v>1129099.76</v>
      </c>
    </row>
    <row r="35" spans="1:14" x14ac:dyDescent="0.25">
      <c r="A35" t="s">
        <v>316</v>
      </c>
      <c r="B35" s="48">
        <v>38830.42</v>
      </c>
      <c r="C35" s="48">
        <v>54101.21</v>
      </c>
      <c r="D35" s="48">
        <v>74590.929999999993</v>
      </c>
      <c r="E35" s="48">
        <v>87541.119999999995</v>
      </c>
      <c r="F35" s="48">
        <v>119335.27</v>
      </c>
      <c r="G35" s="48">
        <v>112054.49</v>
      </c>
      <c r="H35" s="48">
        <v>145061.98000000001</v>
      </c>
      <c r="I35" s="48">
        <v>93104.73</v>
      </c>
      <c r="J35" s="48">
        <v>4132.43</v>
      </c>
      <c r="K35" s="48">
        <f t="shared" si="5"/>
        <v>728752.58000000007</v>
      </c>
      <c r="M35" s="48"/>
      <c r="N35" s="112"/>
    </row>
    <row r="36" spans="1:14" x14ac:dyDescent="0.25">
      <c r="A36" s="47" t="s">
        <v>283</v>
      </c>
      <c r="B36" s="50">
        <f t="shared" ref="B36:K36" si="6">SUM(B20:B35)</f>
        <v>1614895.55</v>
      </c>
      <c r="C36" s="50">
        <f t="shared" si="6"/>
        <v>4338856.2999999989</v>
      </c>
      <c r="D36" s="50">
        <f t="shared" si="6"/>
        <v>7178998.7699999996</v>
      </c>
      <c r="E36" s="50">
        <f t="shared" si="6"/>
        <v>7770402.29</v>
      </c>
      <c r="F36" s="50">
        <f t="shared" si="6"/>
        <v>9533879.5500000026</v>
      </c>
      <c r="G36" s="50">
        <f t="shared" si="6"/>
        <v>10709141.439999998</v>
      </c>
      <c r="H36" s="50">
        <f t="shared" si="6"/>
        <v>12512376.91</v>
      </c>
      <c r="I36" s="50">
        <f t="shared" ref="I36" si="7">SUM(I20:I35)</f>
        <v>8649087.5000000019</v>
      </c>
      <c r="J36" s="50">
        <f t="shared" si="6"/>
        <v>387672.5</v>
      </c>
      <c r="K36" s="50">
        <f t="shared" si="6"/>
        <v>62695310.80999998</v>
      </c>
    </row>
    <row r="38" spans="1:14" ht="15.75" thickBot="1" x14ac:dyDescent="0.3">
      <c r="A38" s="47" t="s">
        <v>211</v>
      </c>
      <c r="B38" s="51">
        <f t="shared" ref="B38:K38" si="8">B17-B36</f>
        <v>711.23999999999069</v>
      </c>
      <c r="C38" s="51">
        <f t="shared" si="8"/>
        <v>78777.040000000969</v>
      </c>
      <c r="D38" s="51">
        <f t="shared" si="8"/>
        <v>65842.620000000112</v>
      </c>
      <c r="E38" s="51">
        <f t="shared" si="8"/>
        <v>140739.32999999914</v>
      </c>
      <c r="F38" s="51">
        <f t="shared" si="8"/>
        <v>125547.94999999739</v>
      </c>
      <c r="G38" s="51">
        <f t="shared" si="8"/>
        <v>130330.74000000209</v>
      </c>
      <c r="H38" s="51">
        <f t="shared" si="8"/>
        <v>199865.85000000149</v>
      </c>
      <c r="I38" s="51">
        <f t="shared" ref="I38" si="9">I17-I36</f>
        <v>78905.009999997914</v>
      </c>
      <c r="J38" s="51">
        <f>J17-J36</f>
        <v>3455.9699999999721</v>
      </c>
      <c r="K38" s="51">
        <f t="shared" si="8"/>
        <v>824175.75000002235</v>
      </c>
    </row>
    <row r="40" spans="1:14" x14ac:dyDescent="0.25">
      <c r="A40" s="47" t="s">
        <v>209</v>
      </c>
    </row>
    <row r="41" spans="1:14" x14ac:dyDescent="0.25">
      <c r="A41" s="47" t="s">
        <v>289</v>
      </c>
    </row>
    <row r="42" spans="1:14" x14ac:dyDescent="0.25">
      <c r="A42" t="s">
        <v>292</v>
      </c>
      <c r="B42" s="48">
        <v>838.82</v>
      </c>
      <c r="C42" s="48">
        <v>672.84</v>
      </c>
      <c r="D42" s="48">
        <v>0</v>
      </c>
      <c r="E42" s="48">
        <v>0</v>
      </c>
      <c r="F42" s="48">
        <v>0</v>
      </c>
      <c r="G42" s="48">
        <v>0</v>
      </c>
      <c r="H42" s="48">
        <v>1208.07</v>
      </c>
      <c r="I42" s="48">
        <v>0</v>
      </c>
      <c r="J42" s="48">
        <v>0</v>
      </c>
      <c r="K42" s="48">
        <f>SUM(B42:J42)</f>
        <v>2719.73</v>
      </c>
    </row>
    <row r="43" spans="1:14" x14ac:dyDescent="0.25">
      <c r="A43" t="s">
        <v>293</v>
      </c>
      <c r="B43" s="48">
        <v>142.41999999999999</v>
      </c>
      <c r="C43" s="48">
        <v>418.29</v>
      </c>
      <c r="D43" s="48">
        <v>418.29</v>
      </c>
      <c r="E43" s="48">
        <v>418.29</v>
      </c>
      <c r="F43" s="48">
        <v>418.29</v>
      </c>
      <c r="G43" s="48">
        <v>418.29</v>
      </c>
      <c r="H43" s="48">
        <v>418.29</v>
      </c>
      <c r="I43" s="48">
        <v>418.29</v>
      </c>
      <c r="J43" s="48">
        <v>418.29</v>
      </c>
      <c r="K43" s="48">
        <f>SUM(B43:J43)</f>
        <v>3488.74</v>
      </c>
    </row>
    <row r="44" spans="1:14" x14ac:dyDescent="0.25">
      <c r="A44" s="47" t="s">
        <v>335</v>
      </c>
      <c r="B44" s="50">
        <f t="shared" ref="B44:K44" si="10">SUM(B42:B43)</f>
        <v>981.24</v>
      </c>
      <c r="C44" s="50">
        <f t="shared" si="10"/>
        <v>1091.1300000000001</v>
      </c>
      <c r="D44" s="50">
        <f t="shared" si="10"/>
        <v>418.29</v>
      </c>
      <c r="E44" s="50">
        <f t="shared" si="10"/>
        <v>418.29</v>
      </c>
      <c r="F44" s="50">
        <f>SUM(F42:F43)</f>
        <v>418.29</v>
      </c>
      <c r="G44" s="50">
        <f>SUM(G42:G43)</f>
        <v>418.29</v>
      </c>
      <c r="H44" s="50">
        <f t="shared" ref="H44:I44" si="11">SUM(H42:H43)</f>
        <v>1626.36</v>
      </c>
      <c r="I44" s="50">
        <f t="shared" si="11"/>
        <v>418.29</v>
      </c>
      <c r="J44" s="50">
        <f t="shared" si="10"/>
        <v>418.29</v>
      </c>
      <c r="K44" s="50">
        <f t="shared" si="10"/>
        <v>6208.4699999999993</v>
      </c>
    </row>
    <row r="46" spans="1:14" x14ac:dyDescent="0.25">
      <c r="A46" s="47" t="s">
        <v>294</v>
      </c>
    </row>
    <row r="47" spans="1:14" x14ac:dyDescent="0.25">
      <c r="A47" t="s">
        <v>253</v>
      </c>
      <c r="B47" s="48">
        <v>699.09</v>
      </c>
      <c r="C47" s="48">
        <v>609.66</v>
      </c>
      <c r="D47" s="48">
        <v>670.54</v>
      </c>
      <c r="E47" s="48">
        <v>716.49</v>
      </c>
      <c r="F47" s="48">
        <v>816.61</v>
      </c>
      <c r="G47" s="48">
        <v>992.7</v>
      </c>
      <c r="H47" s="48">
        <v>1326.01</v>
      </c>
      <c r="I47" s="48">
        <v>1343.92</v>
      </c>
      <c r="J47" s="48">
        <v>562.4</v>
      </c>
      <c r="K47" s="48">
        <f t="shared" ref="K47:K51" si="12">SUM(B47:J47)</f>
        <v>7737.42</v>
      </c>
    </row>
    <row r="48" spans="1:14" x14ac:dyDescent="0.25">
      <c r="A48" t="s">
        <v>257</v>
      </c>
      <c r="B48" s="48">
        <v>0</v>
      </c>
      <c r="C48" s="48">
        <v>587.5</v>
      </c>
      <c r="D48" s="48">
        <v>0</v>
      </c>
      <c r="E48" s="48">
        <v>0</v>
      </c>
      <c r="F48" s="48">
        <v>0</v>
      </c>
      <c r="G48" s="48">
        <v>99.99</v>
      </c>
      <c r="H48" s="48">
        <v>0</v>
      </c>
      <c r="I48" s="48">
        <v>225</v>
      </c>
      <c r="J48" s="48">
        <v>0</v>
      </c>
      <c r="K48" s="48">
        <f t="shared" si="12"/>
        <v>912.49</v>
      </c>
    </row>
    <row r="49" spans="1:12" x14ac:dyDescent="0.25">
      <c r="A49" t="s">
        <v>263</v>
      </c>
      <c r="B49" s="48">
        <v>0</v>
      </c>
      <c r="C49" s="48">
        <v>0</v>
      </c>
      <c r="D49" s="48">
        <v>672.84</v>
      </c>
      <c r="E49" s="48">
        <v>672.82</v>
      </c>
      <c r="F49" s="48">
        <v>672.82</v>
      </c>
      <c r="G49" s="48">
        <v>672.82</v>
      </c>
      <c r="H49" s="48">
        <v>1390.99</v>
      </c>
      <c r="I49" s="48">
        <v>637.99</v>
      </c>
      <c r="J49" s="48">
        <v>698.79</v>
      </c>
      <c r="K49" s="48">
        <f t="shared" si="12"/>
        <v>5419.07</v>
      </c>
    </row>
    <row r="50" spans="1:12" x14ac:dyDescent="0.25">
      <c r="A50" t="s">
        <v>387</v>
      </c>
      <c r="B50" s="48">
        <v>3000</v>
      </c>
      <c r="C50" s="48">
        <v>3000</v>
      </c>
      <c r="D50" s="48">
        <v>3000</v>
      </c>
      <c r="E50" s="48">
        <v>3000</v>
      </c>
      <c r="F50" s="48">
        <v>3000</v>
      </c>
      <c r="G50" s="48">
        <v>2000</v>
      </c>
      <c r="H50" s="48">
        <v>2000</v>
      </c>
      <c r="I50" s="48">
        <v>2000</v>
      </c>
      <c r="J50" s="48">
        <v>-10897</v>
      </c>
      <c r="K50" s="48">
        <f t="shared" si="12"/>
        <v>10103</v>
      </c>
    </row>
    <row r="51" spans="1:12" x14ac:dyDescent="0.25">
      <c r="A51" t="s">
        <v>363</v>
      </c>
      <c r="B51" s="48">
        <v>3750</v>
      </c>
      <c r="C51" s="48">
        <v>3750</v>
      </c>
      <c r="D51" s="48">
        <v>3750</v>
      </c>
      <c r="E51" s="48">
        <v>3750</v>
      </c>
      <c r="F51" s="48">
        <v>3750</v>
      </c>
      <c r="G51" s="48">
        <v>3750</v>
      </c>
      <c r="H51" s="48">
        <v>3750</v>
      </c>
      <c r="I51" s="48">
        <v>3750</v>
      </c>
      <c r="J51" s="48">
        <v>3750</v>
      </c>
      <c r="K51" s="48">
        <f t="shared" si="12"/>
        <v>33750</v>
      </c>
    </row>
    <row r="52" spans="1:12" x14ac:dyDescent="0.25">
      <c r="A52" t="s">
        <v>388</v>
      </c>
      <c r="B52" s="48">
        <v>109</v>
      </c>
      <c r="C52" s="48">
        <v>29.99</v>
      </c>
      <c r="D52" s="48">
        <v>29.99</v>
      </c>
      <c r="E52" s="48">
        <v>29.99</v>
      </c>
      <c r="F52" s="48">
        <v>0</v>
      </c>
      <c r="G52" s="48">
        <v>29.99</v>
      </c>
      <c r="H52" s="48">
        <v>29.99</v>
      </c>
      <c r="I52" s="48">
        <v>29.99</v>
      </c>
      <c r="J52" s="48">
        <f>119.96-59.98+0.1</f>
        <v>60.08</v>
      </c>
      <c r="K52" s="48">
        <f>SUM(B52:J52)</f>
        <v>349.02000000000004</v>
      </c>
    </row>
    <row r="53" spans="1:12" x14ac:dyDescent="0.25">
      <c r="A53" s="47" t="s">
        <v>297</v>
      </c>
      <c r="B53" s="50">
        <f t="shared" ref="B53:K53" si="13">SUM(B47:B52)</f>
        <v>7558.09</v>
      </c>
      <c r="C53" s="50">
        <f t="shared" si="13"/>
        <v>7977.15</v>
      </c>
      <c r="D53" s="50">
        <f t="shared" si="13"/>
        <v>8123.37</v>
      </c>
      <c r="E53" s="50">
        <f t="shared" si="13"/>
        <v>8169.2999999999993</v>
      </c>
      <c r="F53" s="50">
        <f>SUM(F47:F52)</f>
        <v>8239.43</v>
      </c>
      <c r="G53" s="50">
        <f>SUM(G47:G52)</f>
        <v>7545.5</v>
      </c>
      <c r="H53" s="50">
        <f t="shared" ref="H53:I53" si="14">SUM(H47:H52)</f>
        <v>8496.99</v>
      </c>
      <c r="I53" s="50">
        <f t="shared" si="14"/>
        <v>7986.9</v>
      </c>
      <c r="J53" s="50">
        <f t="shared" si="13"/>
        <v>-5825.73</v>
      </c>
      <c r="K53" s="50">
        <f t="shared" si="13"/>
        <v>58270.999999999993</v>
      </c>
    </row>
    <row r="54" spans="1:12" x14ac:dyDescent="0.25">
      <c r="A54" t="s">
        <v>246</v>
      </c>
    </row>
    <row r="55" spans="1:12" x14ac:dyDescent="0.25">
      <c r="A55" s="47" t="s">
        <v>322</v>
      </c>
    </row>
    <row r="56" spans="1:12" x14ac:dyDescent="0.25">
      <c r="A56" t="s">
        <v>323</v>
      </c>
      <c r="B56" s="48">
        <v>34022.5</v>
      </c>
      <c r="C56" s="48">
        <v>34265</v>
      </c>
      <c r="D56" s="48">
        <v>34451.25</v>
      </c>
      <c r="E56" s="48">
        <v>34845</v>
      </c>
      <c r="F56" s="48">
        <v>34565</v>
      </c>
      <c r="G56" s="48">
        <v>34906.25</v>
      </c>
      <c r="H56" s="48">
        <v>36258.75</v>
      </c>
      <c r="I56" s="48">
        <v>35423.75</v>
      </c>
      <c r="J56" s="48">
        <v>32376.25</v>
      </c>
      <c r="K56" s="48">
        <f>SUM(B56:J56)</f>
        <v>311113.75</v>
      </c>
    </row>
    <row r="57" spans="1:12" x14ac:dyDescent="0.25">
      <c r="A57" s="47" t="s">
        <v>389</v>
      </c>
      <c r="B57" s="48">
        <v>0</v>
      </c>
      <c r="C57" s="48">
        <v>0</v>
      </c>
      <c r="D57" s="48">
        <v>0</v>
      </c>
      <c r="E57" s="48">
        <v>0</v>
      </c>
      <c r="F57" s="48">
        <v>31752.38</v>
      </c>
      <c r="G57" s="48">
        <v>5625.56</v>
      </c>
      <c r="H57" s="48">
        <v>4645.78</v>
      </c>
      <c r="I57" s="48">
        <v>3846.94</v>
      </c>
      <c r="J57" s="48">
        <v>3326.21</v>
      </c>
      <c r="K57" s="48">
        <f>SUM(B57:J57)</f>
        <v>49196.87</v>
      </c>
    </row>
    <row r="58" spans="1:12" x14ac:dyDescent="0.25">
      <c r="A58" s="47" t="s">
        <v>271</v>
      </c>
      <c r="B58" s="48">
        <v>0</v>
      </c>
      <c r="C58" s="48">
        <v>0</v>
      </c>
      <c r="D58" s="48">
        <v>0</v>
      </c>
      <c r="E58" s="48">
        <v>-219.74</v>
      </c>
      <c r="F58" s="48">
        <v>-5033.32</v>
      </c>
      <c r="G58" s="48">
        <v>-1000</v>
      </c>
      <c r="H58" s="48">
        <v>-1033.33</v>
      </c>
      <c r="I58" s="48">
        <v>-1033.33</v>
      </c>
      <c r="J58" s="48">
        <v>-1319.44</v>
      </c>
      <c r="K58" s="48">
        <f>SUM(B58:J58)</f>
        <v>-9639.16</v>
      </c>
    </row>
    <row r="59" spans="1:12" x14ac:dyDescent="0.25">
      <c r="A59" s="47" t="s">
        <v>324</v>
      </c>
      <c r="B59" s="50">
        <f>SUM(B56:B58)</f>
        <v>34022.5</v>
      </c>
      <c r="C59" s="50">
        <f t="shared" ref="C59:K59" si="15">SUM(C56:C58)</f>
        <v>34265</v>
      </c>
      <c r="D59" s="50">
        <f t="shared" si="15"/>
        <v>34451.25</v>
      </c>
      <c r="E59" s="50">
        <f t="shared" si="15"/>
        <v>34625.26</v>
      </c>
      <c r="F59" s="50">
        <f>SUM(F56:F58)</f>
        <v>61284.060000000005</v>
      </c>
      <c r="G59" s="50">
        <f>SUM(G56:G58)</f>
        <v>39531.81</v>
      </c>
      <c r="H59" s="50">
        <f t="shared" ref="H59:I59" si="16">SUM(H56:H58)</f>
        <v>39871.199999999997</v>
      </c>
      <c r="I59" s="50">
        <f t="shared" si="16"/>
        <v>38237.360000000001</v>
      </c>
      <c r="J59" s="50">
        <f t="shared" si="15"/>
        <v>34383.019999999997</v>
      </c>
      <c r="K59" s="50">
        <f t="shared" si="15"/>
        <v>350671.46</v>
      </c>
    </row>
    <row r="61" spans="1:12" ht="15.75" thickBot="1" x14ac:dyDescent="0.3">
      <c r="A61" s="47" t="s">
        <v>210</v>
      </c>
      <c r="B61" s="51">
        <f t="shared" ref="B61:K61" si="17">B44+B53+B59</f>
        <v>42561.83</v>
      </c>
      <c r="C61" s="51">
        <f t="shared" si="17"/>
        <v>43333.279999999999</v>
      </c>
      <c r="D61" s="51">
        <f t="shared" si="17"/>
        <v>42992.91</v>
      </c>
      <c r="E61" s="51">
        <f t="shared" si="17"/>
        <v>43212.850000000006</v>
      </c>
      <c r="F61" s="51">
        <f>F44+F53+F59</f>
        <v>69941.78</v>
      </c>
      <c r="G61" s="51">
        <f>G44+G53+G59</f>
        <v>47495.6</v>
      </c>
      <c r="H61" s="51">
        <f t="shared" ref="H61:I61" si="18">H44+H53+H59</f>
        <v>49994.549999999996</v>
      </c>
      <c r="I61" s="51">
        <f t="shared" si="18"/>
        <v>46642.55</v>
      </c>
      <c r="J61" s="51">
        <f>J44+J53+J59</f>
        <v>28975.579999999998</v>
      </c>
      <c r="K61" s="51">
        <f t="shared" si="17"/>
        <v>415150.93</v>
      </c>
    </row>
    <row r="63" spans="1:12" ht="15.75" thickBot="1" x14ac:dyDescent="0.3">
      <c r="A63" s="47" t="s">
        <v>301</v>
      </c>
      <c r="B63" s="52">
        <f t="shared" ref="B63:K63" si="19">B38-B61</f>
        <v>-41850.590000000011</v>
      </c>
      <c r="C63" s="52">
        <f t="shared" si="19"/>
        <v>35443.76000000097</v>
      </c>
      <c r="D63" s="52">
        <f t="shared" si="19"/>
        <v>22849.710000000108</v>
      </c>
      <c r="E63" s="52">
        <f t="shared" si="19"/>
        <v>97526.479999999137</v>
      </c>
      <c r="F63" s="52">
        <f>F38-F61</f>
        <v>55606.169999997393</v>
      </c>
      <c r="G63" s="52">
        <f>G38-G61</f>
        <v>82835.14000000208</v>
      </c>
      <c r="H63" s="52">
        <f t="shared" ref="H63:I63" si="20">H38-H61</f>
        <v>149871.3000000015</v>
      </c>
      <c r="I63" s="52">
        <f t="shared" si="20"/>
        <v>32262.459999997911</v>
      </c>
      <c r="J63" s="52">
        <f t="shared" si="19"/>
        <v>-25519.610000000026</v>
      </c>
      <c r="K63" s="52">
        <f t="shared" si="19"/>
        <v>409024.82000002236</v>
      </c>
      <c r="L63"/>
    </row>
    <row r="64" spans="1:12" ht="15.75" thickTop="1" x14ac:dyDescent="0.25"/>
  </sheetData>
  <mergeCells count="3">
    <mergeCell ref="A1:K1"/>
    <mergeCell ref="A2:K2"/>
    <mergeCell ref="A3:K3"/>
  </mergeCells>
  <pageMargins left="0.7" right="0.7" top="0.75" bottom="0.75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L21"/>
  <sheetViews>
    <sheetView zoomScaleNormal="100" workbookViewId="0">
      <pane ySplit="6" topLeftCell="A7" activePane="bottomLeft" state="frozen"/>
      <selection activeCell="B82" sqref="B82"/>
      <selection pane="bottomLeft" activeCell="I32" sqref="I32"/>
    </sheetView>
  </sheetViews>
  <sheetFormatPr defaultRowHeight="15" x14ac:dyDescent="0.25"/>
  <cols>
    <col min="1" max="1" width="41.28515625" bestFit="1" customWidth="1"/>
    <col min="2" max="10" width="13.28515625" style="48" bestFit="1" customWidth="1"/>
    <col min="11" max="11" width="14.28515625" style="48" bestFit="1" customWidth="1"/>
    <col min="12" max="12" width="9.140625" style="48" customWidth="1"/>
  </cols>
  <sheetData>
    <row r="1" spans="1:11" x14ac:dyDescent="0.25">
      <c r="A1" s="233" t="s">
        <v>328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25">
      <c r="A2" s="233" t="s">
        <v>275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3">
        <v>2018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446</v>
      </c>
      <c r="I6" s="53" t="s">
        <v>456</v>
      </c>
      <c r="J6" s="53" t="s">
        <v>472</v>
      </c>
      <c r="K6" s="53" t="s">
        <v>207</v>
      </c>
    </row>
    <row r="8" spans="1:11" s="48" customFormat="1" x14ac:dyDescent="0.25">
      <c r="A8" s="47" t="s">
        <v>294</v>
      </c>
    </row>
    <row r="9" spans="1:11" s="48" customFormat="1" x14ac:dyDescent="0.25">
      <c r="A9" t="s">
        <v>253</v>
      </c>
      <c r="B9" s="48">
        <v>218.79</v>
      </c>
      <c r="C9" s="48">
        <v>218.72</v>
      </c>
      <c r="D9" s="48">
        <v>219.51</v>
      </c>
      <c r="E9" s="48">
        <v>218.41</v>
      </c>
      <c r="F9" s="48">
        <v>216.38</v>
      </c>
      <c r="G9" s="48">
        <v>185.13</v>
      </c>
      <c r="H9" s="48">
        <v>185.13</v>
      </c>
      <c r="I9" s="48">
        <v>185.13</v>
      </c>
      <c r="J9" s="48">
        <v>186.01</v>
      </c>
      <c r="K9" s="48">
        <f>SUM(B9:J9)</f>
        <v>1833.2100000000003</v>
      </c>
    </row>
    <row r="10" spans="1:11" s="48" customFormat="1" x14ac:dyDescent="0.25">
      <c r="A10" t="s">
        <v>329</v>
      </c>
      <c r="B10" s="48">
        <v>109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f>SUM(B10:J10)</f>
        <v>109</v>
      </c>
    </row>
    <row r="11" spans="1:11" s="48" customFormat="1" x14ac:dyDescent="0.25">
      <c r="A11" t="s">
        <v>364</v>
      </c>
      <c r="B11" s="48">
        <v>0</v>
      </c>
      <c r="C11" s="48">
        <v>0</v>
      </c>
      <c r="D11" s="48">
        <v>0</v>
      </c>
      <c r="E11" s="48">
        <v>0</v>
      </c>
      <c r="F11" s="48">
        <v>1250</v>
      </c>
      <c r="G11" s="48">
        <v>1250</v>
      </c>
      <c r="H11" s="48">
        <v>1250</v>
      </c>
      <c r="I11" s="48">
        <v>3750</v>
      </c>
      <c r="J11" s="48">
        <v>3750</v>
      </c>
      <c r="K11" s="48">
        <f>SUM(B11:J11)</f>
        <v>11250</v>
      </c>
    </row>
    <row r="12" spans="1:11" s="48" customFormat="1" x14ac:dyDescent="0.25">
      <c r="A12" t="s">
        <v>428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270</v>
      </c>
      <c r="H12" s="48">
        <v>384.17</v>
      </c>
      <c r="I12" s="48">
        <v>384.17</v>
      </c>
      <c r="J12" s="48">
        <v>384.17</v>
      </c>
      <c r="K12" s="48">
        <f>SUM(B12:J12)</f>
        <v>1422.5100000000002</v>
      </c>
    </row>
    <row r="13" spans="1:11" s="48" customFormat="1" x14ac:dyDescent="0.25">
      <c r="A13" s="47" t="s">
        <v>297</v>
      </c>
      <c r="B13" s="50">
        <f>SUM(B9:B12)</f>
        <v>327.78999999999996</v>
      </c>
      <c r="C13" s="50">
        <f t="shared" ref="C13:K13" si="0">SUM(C9:C12)</f>
        <v>218.72</v>
      </c>
      <c r="D13" s="50">
        <f t="shared" si="0"/>
        <v>219.51</v>
      </c>
      <c r="E13" s="50">
        <f t="shared" si="0"/>
        <v>218.41</v>
      </c>
      <c r="F13" s="50">
        <f t="shared" si="0"/>
        <v>1466.38</v>
      </c>
      <c r="G13" s="50">
        <f t="shared" si="0"/>
        <v>1705.13</v>
      </c>
      <c r="H13" s="50">
        <f t="shared" si="0"/>
        <v>1819.3000000000002</v>
      </c>
      <c r="I13" s="50">
        <f t="shared" ref="I13" si="1">SUM(I9:I12)</f>
        <v>4319.3</v>
      </c>
      <c r="J13" s="50">
        <f t="shared" si="0"/>
        <v>4320.18</v>
      </c>
      <c r="K13" s="50">
        <f t="shared" si="0"/>
        <v>14614.720000000001</v>
      </c>
    </row>
    <row r="14" spans="1:11" s="48" customFormat="1" x14ac:dyDescent="0.25">
      <c r="A14" t="s">
        <v>246</v>
      </c>
    </row>
    <row r="15" spans="1:11" s="48" customFormat="1" x14ac:dyDescent="0.25">
      <c r="A15" s="47" t="s">
        <v>322</v>
      </c>
    </row>
    <row r="16" spans="1:11" s="48" customFormat="1" x14ac:dyDescent="0.25">
      <c r="A16" t="s">
        <v>271</v>
      </c>
      <c r="B16" s="48">
        <v>3744.3</v>
      </c>
      <c r="C16" s="48">
        <v>2815.01</v>
      </c>
      <c r="D16" s="48">
        <v>3116.6</v>
      </c>
      <c r="E16" s="48">
        <v>2687.25</v>
      </c>
      <c r="F16" s="48">
        <v>3286.89</v>
      </c>
      <c r="G16" s="48">
        <v>5798.93</v>
      </c>
      <c r="H16" s="48">
        <v>5986.2</v>
      </c>
      <c r="I16" s="48">
        <v>8330.66</v>
      </c>
      <c r="J16" s="48">
        <v>3960.03</v>
      </c>
      <c r="K16" s="48">
        <f>SUM(B16:J16)</f>
        <v>39725.869999999995</v>
      </c>
    </row>
    <row r="17" spans="1:12" s="48" customFormat="1" x14ac:dyDescent="0.25">
      <c r="A17" t="s">
        <v>272</v>
      </c>
      <c r="B17" s="48">
        <v>-881.76</v>
      </c>
      <c r="C17" s="48">
        <v>-506.4</v>
      </c>
      <c r="D17" s="48">
        <v>-560.66</v>
      </c>
      <c r="E17" s="48">
        <v>-542.57000000000005</v>
      </c>
      <c r="F17" s="48">
        <v>-280.69</v>
      </c>
      <c r="G17" s="48">
        <v>-562.42999999999995</v>
      </c>
      <c r="H17" s="48">
        <v>-581.17999999999995</v>
      </c>
      <c r="I17" s="48">
        <v>-554.73</v>
      </c>
      <c r="J17" s="48">
        <v>-231.6</v>
      </c>
      <c r="K17" s="48">
        <f>SUM(B17:J17)</f>
        <v>-4702.0200000000004</v>
      </c>
    </row>
    <row r="18" spans="1:12" s="48" customFormat="1" x14ac:dyDescent="0.25">
      <c r="A18" s="47" t="s">
        <v>324</v>
      </c>
      <c r="B18" s="50">
        <f t="shared" ref="B18:K18" si="2">SUM(B16:B17)</f>
        <v>2862.54</v>
      </c>
      <c r="C18" s="50">
        <f t="shared" si="2"/>
        <v>2308.61</v>
      </c>
      <c r="D18" s="50">
        <f t="shared" si="2"/>
        <v>2555.94</v>
      </c>
      <c r="E18" s="50">
        <f t="shared" si="2"/>
        <v>2144.6799999999998</v>
      </c>
      <c r="F18" s="50">
        <f t="shared" si="2"/>
        <v>3006.2</v>
      </c>
      <c r="G18" s="50">
        <f t="shared" si="2"/>
        <v>5236.5</v>
      </c>
      <c r="H18" s="50">
        <f t="shared" si="2"/>
        <v>5405.0199999999995</v>
      </c>
      <c r="I18" s="50">
        <f t="shared" ref="I18" si="3">SUM(I16:I17)</f>
        <v>7775.93</v>
      </c>
      <c r="J18" s="50">
        <f t="shared" si="2"/>
        <v>3728.4300000000003</v>
      </c>
      <c r="K18" s="50">
        <f t="shared" si="2"/>
        <v>35023.849999999991</v>
      </c>
    </row>
    <row r="20" spans="1:12" ht="15.75" thickBot="1" x14ac:dyDescent="0.3">
      <c r="A20" s="47" t="s">
        <v>301</v>
      </c>
      <c r="B20" s="52">
        <f t="shared" ref="B20:K20" si="4">B18-B13</f>
        <v>2534.75</v>
      </c>
      <c r="C20" s="52">
        <f t="shared" si="4"/>
        <v>2089.8900000000003</v>
      </c>
      <c r="D20" s="52">
        <f t="shared" si="4"/>
        <v>2336.4300000000003</v>
      </c>
      <c r="E20" s="52">
        <f t="shared" si="4"/>
        <v>1926.2699999999998</v>
      </c>
      <c r="F20" s="52">
        <f t="shared" si="4"/>
        <v>1539.8199999999997</v>
      </c>
      <c r="G20" s="52">
        <f t="shared" si="4"/>
        <v>3531.37</v>
      </c>
      <c r="H20" s="52">
        <f t="shared" si="4"/>
        <v>3585.7199999999993</v>
      </c>
      <c r="I20" s="52">
        <f t="shared" ref="I20" si="5">I18-I13</f>
        <v>3456.63</v>
      </c>
      <c r="J20" s="52">
        <f t="shared" si="4"/>
        <v>-591.75</v>
      </c>
      <c r="K20" s="52">
        <f t="shared" si="4"/>
        <v>20409.12999999999</v>
      </c>
      <c r="L20"/>
    </row>
    <row r="21" spans="1:12" ht="15.75" thickTop="1" x14ac:dyDescent="0.25"/>
  </sheetData>
  <mergeCells count="3">
    <mergeCell ref="A1:K1"/>
    <mergeCell ref="A2:K2"/>
    <mergeCell ref="A3:K3"/>
  </mergeCells>
  <pageMargins left="0.7" right="0.7" top="0.75" bottom="0.75" header="0.3" footer="0.3"/>
  <pageSetup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M85"/>
  <sheetViews>
    <sheetView zoomScaleNormal="100" workbookViewId="0">
      <pane ySplit="6" topLeftCell="A55" activePane="bottomLeft" state="frozen"/>
      <selection activeCell="B82" sqref="B82"/>
      <selection pane="bottomLeft" activeCell="K85" sqref="K85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6" width="13" style="48" bestFit="1" customWidth="1"/>
    <col min="7" max="7" width="13" style="48" customWidth="1"/>
    <col min="8" max="10" width="13" style="48" bestFit="1" customWidth="1"/>
    <col min="11" max="11" width="13.42578125" style="48" bestFit="1" customWidth="1"/>
    <col min="12" max="12" width="9.140625" style="48" customWidth="1"/>
    <col min="13" max="13" width="9.5703125" bestFit="1" customWidth="1"/>
    <col min="15" max="15" width="11.5703125" bestFit="1" customWidth="1"/>
  </cols>
  <sheetData>
    <row r="1" spans="1:11" x14ac:dyDescent="0.25">
      <c r="A1" s="233" t="s">
        <v>349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25">
      <c r="A2" s="233" t="s">
        <v>275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3">
        <v>2018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446</v>
      </c>
      <c r="I6" s="53" t="s">
        <v>456</v>
      </c>
      <c r="J6" s="53" t="s">
        <v>472</v>
      </c>
      <c r="K6" s="53" t="s">
        <v>207</v>
      </c>
    </row>
    <row r="7" spans="1:11" x14ac:dyDescent="0.25">
      <c r="A7" s="47" t="s">
        <v>62</v>
      </c>
    </row>
    <row r="8" spans="1:11" x14ac:dyDescent="0.25">
      <c r="A8" t="s">
        <v>350</v>
      </c>
      <c r="B8" s="48">
        <v>365</v>
      </c>
      <c r="C8" s="48">
        <v>372</v>
      </c>
      <c r="D8" s="48">
        <v>340</v>
      </c>
      <c r="E8" s="48">
        <v>208</v>
      </c>
      <c r="F8" s="48">
        <v>0</v>
      </c>
      <c r="G8" s="48">
        <v>65</v>
      </c>
      <c r="H8" s="48">
        <v>0</v>
      </c>
      <c r="I8" s="48">
        <v>0</v>
      </c>
      <c r="J8" s="48">
        <v>0</v>
      </c>
      <c r="K8" s="48">
        <f t="shared" ref="K8:K13" si="0">SUM(B8:J8)</f>
        <v>1350</v>
      </c>
    </row>
    <row r="9" spans="1:11" x14ac:dyDescent="0.25">
      <c r="A9" t="s">
        <v>351</v>
      </c>
      <c r="B9" s="48">
        <v>697</v>
      </c>
      <c r="C9" s="48">
        <v>736</v>
      </c>
      <c r="D9" s="48">
        <v>692</v>
      </c>
      <c r="E9" s="48">
        <v>462</v>
      </c>
      <c r="F9" s="48">
        <v>0</v>
      </c>
      <c r="G9" s="48">
        <v>89</v>
      </c>
      <c r="H9" s="48">
        <v>0</v>
      </c>
      <c r="I9" s="48">
        <v>0</v>
      </c>
      <c r="J9" s="48">
        <v>0</v>
      </c>
      <c r="K9" s="48">
        <f t="shared" si="0"/>
        <v>2676</v>
      </c>
    </row>
    <row r="10" spans="1:11" x14ac:dyDescent="0.25">
      <c r="A10" t="s">
        <v>375</v>
      </c>
      <c r="B10" s="48">
        <v>207.81</v>
      </c>
      <c r="C10" s="48">
        <v>0</v>
      </c>
      <c r="D10" s="48">
        <v>101.02</v>
      </c>
      <c r="E10" s="48">
        <f>55.84+184</f>
        <v>239.84</v>
      </c>
      <c r="F10" s="48">
        <v>52.71</v>
      </c>
      <c r="G10" s="48">
        <v>12.7</v>
      </c>
      <c r="H10" s="48">
        <v>0</v>
      </c>
      <c r="I10" s="48">
        <v>0</v>
      </c>
      <c r="J10" s="48">
        <v>0</v>
      </c>
      <c r="K10" s="48">
        <f t="shared" si="0"/>
        <v>614.08000000000004</v>
      </c>
    </row>
    <row r="11" spans="1:11" x14ac:dyDescent="0.25">
      <c r="A11" t="s">
        <v>353</v>
      </c>
      <c r="B11" s="48">
        <v>904.5</v>
      </c>
      <c r="C11" s="48">
        <v>1299.6300000000001</v>
      </c>
      <c r="D11" s="48">
        <v>1258.3699999999999</v>
      </c>
      <c r="E11" s="48">
        <v>992.9</v>
      </c>
      <c r="F11" s="48">
        <v>403.64</v>
      </c>
      <c r="G11" s="48">
        <v>147.37</v>
      </c>
      <c r="H11" s="48">
        <v>0</v>
      </c>
      <c r="I11" s="48">
        <v>76.73</v>
      </c>
      <c r="J11" s="48">
        <v>1350</v>
      </c>
      <c r="K11" s="48">
        <f t="shared" si="0"/>
        <v>6433.1399999999994</v>
      </c>
    </row>
    <row r="12" spans="1:11" x14ac:dyDescent="0.25">
      <c r="A12" t="s">
        <v>352</v>
      </c>
      <c r="B12" s="48">
        <v>55.65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f t="shared" si="0"/>
        <v>55.65</v>
      </c>
    </row>
    <row r="13" spans="1:11" x14ac:dyDescent="0.25">
      <c r="A13" t="s">
        <v>354</v>
      </c>
      <c r="B13" s="48">
        <v>140541.41</v>
      </c>
      <c r="C13" s="48">
        <v>129527.17</v>
      </c>
      <c r="D13" s="48">
        <v>122190.47</v>
      </c>
      <c r="E13" s="48">
        <v>75732.429999999993</v>
      </c>
      <c r="F13" s="48">
        <v>28298</v>
      </c>
      <c r="G13" s="48">
        <v>13693.62</v>
      </c>
      <c r="H13" s="48">
        <v>7035</v>
      </c>
      <c r="I13" s="48">
        <v>12270</v>
      </c>
      <c r="J13" s="48">
        <v>6947</v>
      </c>
      <c r="K13" s="48">
        <f t="shared" si="0"/>
        <v>536235.10000000009</v>
      </c>
    </row>
    <row r="14" spans="1:11" s="48" customFormat="1" x14ac:dyDescent="0.25">
      <c r="A14" s="47" t="s">
        <v>223</v>
      </c>
      <c r="B14" s="50">
        <f t="shared" ref="B14:K14" si="1">SUM(B8:B13)</f>
        <v>142771.37</v>
      </c>
      <c r="C14" s="50">
        <f t="shared" si="1"/>
        <v>131934.79999999999</v>
      </c>
      <c r="D14" s="50">
        <f t="shared" si="1"/>
        <v>124581.86</v>
      </c>
      <c r="E14" s="50">
        <f t="shared" si="1"/>
        <v>77635.17</v>
      </c>
      <c r="F14" s="50">
        <f>SUM(F8:F13)</f>
        <v>28754.35</v>
      </c>
      <c r="G14" s="50">
        <f t="shared" ref="G14:I14" si="2">SUM(G8:G13)</f>
        <v>14007.69</v>
      </c>
      <c r="H14" s="50">
        <f t="shared" si="2"/>
        <v>7035</v>
      </c>
      <c r="I14" s="50">
        <f t="shared" si="2"/>
        <v>12346.73</v>
      </c>
      <c r="J14" s="50">
        <f t="shared" si="1"/>
        <v>8297</v>
      </c>
      <c r="K14" s="50">
        <f t="shared" si="1"/>
        <v>547363.97000000009</v>
      </c>
    </row>
    <row r="16" spans="1:11" s="48" customFormat="1" x14ac:dyDescent="0.25">
      <c r="A16" s="47"/>
    </row>
    <row r="17" spans="1:11" s="48" customFormat="1" x14ac:dyDescent="0.25">
      <c r="A17" t="s">
        <v>355</v>
      </c>
      <c r="B17" s="48">
        <v>489.92</v>
      </c>
      <c r="C17" s="48">
        <v>578.66999999999996</v>
      </c>
      <c r="D17" s="48">
        <v>0</v>
      </c>
      <c r="E17" s="48">
        <v>0</v>
      </c>
      <c r="F17" s="48">
        <v>0</v>
      </c>
      <c r="G17" s="48">
        <v>579.63</v>
      </c>
      <c r="H17" s="48">
        <v>0</v>
      </c>
      <c r="I17" s="48">
        <v>0</v>
      </c>
      <c r="J17" s="48">
        <v>0</v>
      </c>
      <c r="K17" s="48">
        <f>SUM(B17:J17)</f>
        <v>1648.2199999999998</v>
      </c>
    </row>
    <row r="18" spans="1:11" s="48" customFormat="1" x14ac:dyDescent="0.25">
      <c r="A18" s="47" t="s">
        <v>283</v>
      </c>
      <c r="B18" s="50">
        <f t="shared" ref="B18:K18" si="3">SUM(B17:B17)</f>
        <v>489.92</v>
      </c>
      <c r="C18" s="50">
        <f t="shared" si="3"/>
        <v>578.66999999999996</v>
      </c>
      <c r="D18" s="50">
        <f t="shared" si="3"/>
        <v>0</v>
      </c>
      <c r="E18" s="50">
        <f t="shared" si="3"/>
        <v>0</v>
      </c>
      <c r="F18" s="50">
        <f>SUM(F17:F17)</f>
        <v>0</v>
      </c>
      <c r="G18" s="50">
        <f t="shared" ref="G18:I18" si="4">SUM(G17:G17)</f>
        <v>579.63</v>
      </c>
      <c r="H18" s="50">
        <f t="shared" si="4"/>
        <v>0</v>
      </c>
      <c r="I18" s="50">
        <f t="shared" si="4"/>
        <v>0</v>
      </c>
      <c r="J18" s="50">
        <f t="shared" si="3"/>
        <v>0</v>
      </c>
      <c r="K18" s="50">
        <f t="shared" si="3"/>
        <v>1648.2199999999998</v>
      </c>
    </row>
    <row r="20" spans="1:11" s="48" customFormat="1" ht="15.75" thickBot="1" x14ac:dyDescent="0.3">
      <c r="A20" s="47" t="s">
        <v>211</v>
      </c>
      <c r="B20" s="51">
        <f t="shared" ref="B20:K20" si="5">B14-B18</f>
        <v>142281.44999999998</v>
      </c>
      <c r="C20" s="51">
        <f t="shared" si="5"/>
        <v>131356.12999999998</v>
      </c>
      <c r="D20" s="51">
        <f t="shared" si="5"/>
        <v>124581.86</v>
      </c>
      <c r="E20" s="51">
        <f t="shared" si="5"/>
        <v>77635.17</v>
      </c>
      <c r="F20" s="51">
        <f>F14-F18</f>
        <v>28754.35</v>
      </c>
      <c r="G20" s="51">
        <f t="shared" ref="G20:I20" si="6">G14-G18</f>
        <v>13428.060000000001</v>
      </c>
      <c r="H20" s="51">
        <f t="shared" si="6"/>
        <v>7035</v>
      </c>
      <c r="I20" s="51">
        <f t="shared" si="6"/>
        <v>12346.73</v>
      </c>
      <c r="J20" s="51">
        <f t="shared" si="5"/>
        <v>8297</v>
      </c>
      <c r="K20" s="51">
        <f t="shared" si="5"/>
        <v>545715.75000000012</v>
      </c>
    </row>
    <row r="22" spans="1:11" s="48" customFormat="1" x14ac:dyDescent="0.25">
      <c r="A22" s="47" t="s">
        <v>209</v>
      </c>
    </row>
    <row r="23" spans="1:11" s="48" customFormat="1" x14ac:dyDescent="0.25">
      <c r="A23" t="s">
        <v>225</v>
      </c>
      <c r="K23" s="48">
        <f>SUM(B23:E23)</f>
        <v>0</v>
      </c>
    </row>
    <row r="24" spans="1:11" s="48" customFormat="1" x14ac:dyDescent="0.25">
      <c r="A24" t="s">
        <v>284</v>
      </c>
      <c r="B24" s="48">
        <v>15834.2</v>
      </c>
      <c r="C24" s="48">
        <v>24166.18</v>
      </c>
      <c r="D24" s="48">
        <v>37081.71</v>
      </c>
      <c r="E24" s="48">
        <v>20886.21</v>
      </c>
      <c r="F24" s="48">
        <v>18251.09</v>
      </c>
      <c r="G24" s="48">
        <v>16382.41</v>
      </c>
      <c r="H24" s="48">
        <v>15402.13</v>
      </c>
      <c r="I24" s="48">
        <v>14659.46</v>
      </c>
      <c r="J24" s="48">
        <v>15909.62</v>
      </c>
      <c r="K24" s="48">
        <f>SUM(B24:J24)</f>
        <v>178573.00999999998</v>
      </c>
    </row>
    <row r="25" spans="1:11" s="48" customFormat="1" x14ac:dyDescent="0.25">
      <c r="A25" t="s">
        <v>285</v>
      </c>
      <c r="B25" s="48">
        <v>1521.73</v>
      </c>
      <c r="C25" s="48">
        <v>2302.9</v>
      </c>
      <c r="D25" s="48">
        <v>3377.89</v>
      </c>
      <c r="E25" s="48">
        <v>1767.49</v>
      </c>
      <c r="F25" s="48">
        <v>1425.45</v>
      </c>
      <c r="G25" s="48">
        <v>1258.53</v>
      </c>
      <c r="H25" s="48">
        <v>1187.17</v>
      </c>
      <c r="I25" s="48">
        <v>1193.8399999999999</v>
      </c>
      <c r="J25" s="48">
        <v>1151.3499999999999</v>
      </c>
      <c r="K25" s="48">
        <f t="shared" ref="K25:K31" si="7">SUM(B25:J25)</f>
        <v>15186.350000000002</v>
      </c>
    </row>
    <row r="26" spans="1:11" s="48" customFormat="1" x14ac:dyDescent="0.25">
      <c r="A26" t="s">
        <v>286</v>
      </c>
      <c r="B26" s="48">
        <v>5181.21</v>
      </c>
      <c r="C26" s="48">
        <v>5181.21</v>
      </c>
      <c r="D26" s="48">
        <v>5370.82</v>
      </c>
      <c r="E26" s="48">
        <v>5181.21</v>
      </c>
      <c r="F26" s="48">
        <v>5181.21</v>
      </c>
      <c r="G26" s="48">
        <v>5181.21</v>
      </c>
      <c r="H26" s="48">
        <v>4324.3999999999996</v>
      </c>
      <c r="I26" s="48">
        <v>4597.0200000000004</v>
      </c>
      <c r="J26" s="48">
        <v>4597.0200000000004</v>
      </c>
      <c r="K26" s="48">
        <f t="shared" si="7"/>
        <v>44795.31</v>
      </c>
    </row>
    <row r="27" spans="1:11" s="48" customFormat="1" x14ac:dyDescent="0.25">
      <c r="A27" t="s">
        <v>287</v>
      </c>
      <c r="B27" s="48">
        <v>362.79</v>
      </c>
      <c r="C27" s="48">
        <v>362.79</v>
      </c>
      <c r="D27" s="48">
        <v>0</v>
      </c>
      <c r="E27" s="48">
        <v>362.79</v>
      </c>
      <c r="F27" s="48">
        <v>362.79</v>
      </c>
      <c r="G27" s="48">
        <v>362.79</v>
      </c>
      <c r="H27" s="48">
        <v>288.14999999999998</v>
      </c>
      <c r="I27" s="48">
        <v>325.47000000000003</v>
      </c>
      <c r="J27" s="48">
        <v>325.47000000000003</v>
      </c>
      <c r="K27" s="48">
        <f t="shared" si="7"/>
        <v>2753.04</v>
      </c>
    </row>
    <row r="28" spans="1:11" s="48" customFormat="1" x14ac:dyDescent="0.25">
      <c r="A28" t="s">
        <v>357</v>
      </c>
      <c r="B28" s="48">
        <v>131.22999999999999</v>
      </c>
      <c r="C28" s="48">
        <v>131.22999999999999</v>
      </c>
      <c r="D28" s="48">
        <v>131.13</v>
      </c>
      <c r="E28" s="48">
        <v>131.22999999999999</v>
      </c>
      <c r="F28" s="48">
        <v>131.22999999999999</v>
      </c>
      <c r="G28" s="48">
        <v>131.22999999999999</v>
      </c>
      <c r="H28" s="48">
        <v>76.239999999999995</v>
      </c>
      <c r="I28" s="48">
        <v>103.75</v>
      </c>
      <c r="J28" s="48">
        <v>103.75</v>
      </c>
      <c r="K28" s="48">
        <f t="shared" si="7"/>
        <v>1071.02</v>
      </c>
    </row>
    <row r="29" spans="1:11" s="48" customFormat="1" x14ac:dyDescent="0.25">
      <c r="A29" t="s">
        <v>333</v>
      </c>
      <c r="B29" s="48">
        <v>450</v>
      </c>
      <c r="C29" s="48">
        <v>450</v>
      </c>
      <c r="D29" s="48">
        <v>450</v>
      </c>
      <c r="E29" s="48">
        <v>450</v>
      </c>
      <c r="F29" s="48">
        <v>450</v>
      </c>
      <c r="G29" s="48">
        <v>500</v>
      </c>
      <c r="H29" s="48">
        <v>500</v>
      </c>
      <c r="I29" s="48">
        <v>500</v>
      </c>
      <c r="J29" s="48">
        <v>500</v>
      </c>
      <c r="K29" s="48">
        <f t="shared" si="7"/>
        <v>4250</v>
      </c>
    </row>
    <row r="30" spans="1:11" s="48" customFormat="1" x14ac:dyDescent="0.25">
      <c r="A30" t="s">
        <v>288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1575.5</v>
      </c>
      <c r="H30" s="48">
        <v>0</v>
      </c>
      <c r="I30" s="48">
        <v>0</v>
      </c>
      <c r="J30" s="48">
        <v>0.05</v>
      </c>
      <c r="K30" s="48">
        <f t="shared" si="7"/>
        <v>1575.55</v>
      </c>
    </row>
    <row r="31" spans="1:11" s="48" customFormat="1" x14ac:dyDescent="0.25">
      <c r="A31" t="s">
        <v>356</v>
      </c>
      <c r="B31" s="48">
        <v>6984.2</v>
      </c>
      <c r="C31" s="48">
        <v>11650.4</v>
      </c>
      <c r="D31" s="48">
        <v>16897.400000000001</v>
      </c>
      <c r="E31" s="48">
        <v>4709.3999999999996</v>
      </c>
      <c r="F31" s="48">
        <v>1677.6</v>
      </c>
      <c r="G31" s="48">
        <v>1704</v>
      </c>
      <c r="H31" s="48">
        <v>2415</v>
      </c>
      <c r="I31" s="48">
        <v>1907.5</v>
      </c>
      <c r="J31" s="48">
        <v>1785</v>
      </c>
      <c r="K31" s="48">
        <f t="shared" si="7"/>
        <v>49730.5</v>
      </c>
    </row>
    <row r="32" spans="1:11" s="48" customFormat="1" x14ac:dyDescent="0.25">
      <c r="A32" s="47" t="s">
        <v>233</v>
      </c>
      <c r="B32" s="50">
        <f>SUM(B24:B31)</f>
        <v>30465.360000000001</v>
      </c>
      <c r="C32" s="50">
        <f t="shared" ref="C32:K32" si="8">SUM(C24:C31)</f>
        <v>44244.71</v>
      </c>
      <c r="D32" s="50">
        <f t="shared" si="8"/>
        <v>63308.95</v>
      </c>
      <c r="E32" s="50">
        <f t="shared" si="8"/>
        <v>33488.33</v>
      </c>
      <c r="F32" s="50">
        <f>SUM(F24:F31)</f>
        <v>27479.37</v>
      </c>
      <c r="G32" s="50">
        <f>SUM(G24:G31)</f>
        <v>27095.67</v>
      </c>
      <c r="H32" s="50">
        <f>SUM(H24:H31)</f>
        <v>24193.09</v>
      </c>
      <c r="I32" s="50">
        <f>SUM(I24:I31)</f>
        <v>23287.040000000001</v>
      </c>
      <c r="J32" s="50">
        <f>SUM(J24:J31)</f>
        <v>24372.260000000002</v>
      </c>
      <c r="K32" s="50">
        <f t="shared" si="8"/>
        <v>297934.77999999997</v>
      </c>
    </row>
    <row r="33" spans="1:11" s="48" customFormat="1" x14ac:dyDescent="0.25">
      <c r="A33" t="s">
        <v>61</v>
      </c>
    </row>
    <row r="34" spans="1:11" s="48" customFormat="1" x14ac:dyDescent="0.25">
      <c r="A34" s="47" t="s">
        <v>289</v>
      </c>
    </row>
    <row r="35" spans="1:11" s="48" customFormat="1" x14ac:dyDescent="0.25">
      <c r="A35" t="s">
        <v>235</v>
      </c>
      <c r="B35" s="48">
        <v>1000</v>
      </c>
      <c r="C35" s="48">
        <v>1000</v>
      </c>
      <c r="D35" s="48">
        <v>1000</v>
      </c>
      <c r="E35" s="48">
        <v>1000</v>
      </c>
      <c r="F35" s="48">
        <v>1000</v>
      </c>
      <c r="G35" s="48">
        <v>1000</v>
      </c>
      <c r="H35" s="48">
        <v>1000</v>
      </c>
      <c r="I35" s="48">
        <v>1000</v>
      </c>
      <c r="J35" s="48">
        <v>1000</v>
      </c>
      <c r="K35" s="48">
        <f>SUM(B35:J35)</f>
        <v>9000</v>
      </c>
    </row>
    <row r="36" spans="1:11" s="48" customFormat="1" x14ac:dyDescent="0.25">
      <c r="A36" t="s">
        <v>237</v>
      </c>
      <c r="B36" s="48">
        <v>18970.560000000001</v>
      </c>
      <c r="C36" s="48">
        <v>2008.94</v>
      </c>
      <c r="D36" s="48">
        <v>22275.65</v>
      </c>
      <c r="E36" s="48">
        <v>11359.93</v>
      </c>
      <c r="F36" s="48">
        <v>3739.77</v>
      </c>
      <c r="G36" s="48">
        <v>91.8</v>
      </c>
      <c r="H36" s="48">
        <v>583.80999999999995</v>
      </c>
      <c r="I36" s="48">
        <v>487.15</v>
      </c>
      <c r="J36" s="48">
        <v>507.76</v>
      </c>
      <c r="K36" s="48">
        <f t="shared" ref="K36:K54" si="9">SUM(B36:J36)</f>
        <v>60025.37</v>
      </c>
    </row>
    <row r="37" spans="1:11" s="48" customFormat="1" x14ac:dyDescent="0.25">
      <c r="A37" t="s">
        <v>236</v>
      </c>
      <c r="B37" s="48">
        <v>883.5</v>
      </c>
      <c r="C37" s="48">
        <v>864.5</v>
      </c>
      <c r="D37" s="48">
        <v>800</v>
      </c>
      <c r="E37" s="48">
        <v>739.5</v>
      </c>
      <c r="F37" s="48">
        <v>416</v>
      </c>
      <c r="G37" s="48">
        <v>379.5</v>
      </c>
      <c r="H37" s="48">
        <v>446</v>
      </c>
      <c r="I37" s="48">
        <v>439.5</v>
      </c>
      <c r="J37" s="48">
        <v>416</v>
      </c>
      <c r="K37" s="48">
        <f t="shared" si="9"/>
        <v>5384.5</v>
      </c>
    </row>
    <row r="38" spans="1:11" s="48" customFormat="1" x14ac:dyDescent="0.25">
      <c r="A38" t="s">
        <v>338</v>
      </c>
      <c r="B38" s="48">
        <v>233.88</v>
      </c>
      <c r="C38" s="48">
        <v>0</v>
      </c>
      <c r="D38" s="48">
        <v>0</v>
      </c>
      <c r="E38" s="48">
        <v>0</v>
      </c>
      <c r="F38" s="48">
        <v>1298.1400000000001</v>
      </c>
      <c r="G38" s="48">
        <v>0</v>
      </c>
      <c r="H38" s="48">
        <v>0</v>
      </c>
      <c r="I38" s="48">
        <v>0</v>
      </c>
      <c r="J38" s="48">
        <v>500</v>
      </c>
      <c r="K38" s="48">
        <f t="shared" si="9"/>
        <v>2032.02</v>
      </c>
    </row>
    <row r="39" spans="1:11" s="48" customFormat="1" x14ac:dyDescent="0.25">
      <c r="A39" t="s">
        <v>291</v>
      </c>
      <c r="B39" s="48">
        <v>624.76</v>
      </c>
      <c r="C39" s="48">
        <v>504.76</v>
      </c>
      <c r="D39" s="48">
        <v>624.76</v>
      </c>
      <c r="E39" s="48">
        <v>624.76</v>
      </c>
      <c r="F39" s="48">
        <v>624.76</v>
      </c>
      <c r="G39" s="48">
        <v>624.76</v>
      </c>
      <c r="H39" s="48">
        <v>624.76</v>
      </c>
      <c r="I39" s="48">
        <v>747.91</v>
      </c>
      <c r="J39" s="48">
        <v>747.91</v>
      </c>
      <c r="K39" s="48">
        <f t="shared" si="9"/>
        <v>5749.14</v>
      </c>
    </row>
    <row r="40" spans="1:11" s="48" customFormat="1" x14ac:dyDescent="0.25">
      <c r="A40" t="s">
        <v>451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f t="shared" si="9"/>
        <v>0</v>
      </c>
    </row>
    <row r="41" spans="1:11" s="48" customFormat="1" x14ac:dyDescent="0.25">
      <c r="A41" t="s">
        <v>359</v>
      </c>
      <c r="B41" s="48">
        <v>990</v>
      </c>
      <c r="C41" s="48">
        <v>399.19</v>
      </c>
      <c r="D41" s="48">
        <f>292.3+700.49</f>
        <v>992.79</v>
      </c>
      <c r="E41" s="48">
        <v>0</v>
      </c>
      <c r="F41" s="48">
        <v>0</v>
      </c>
      <c r="G41" s="48">
        <v>66.2</v>
      </c>
      <c r="H41" s="48">
        <f>360+106.4</f>
        <v>466.4</v>
      </c>
      <c r="I41" s="48">
        <v>0</v>
      </c>
      <c r="J41" s="48">
        <v>0</v>
      </c>
      <c r="K41" s="48">
        <f t="shared" si="9"/>
        <v>2914.58</v>
      </c>
    </row>
    <row r="42" spans="1:11" s="48" customFormat="1" x14ac:dyDescent="0.25">
      <c r="A42" t="s">
        <v>360</v>
      </c>
      <c r="B42" s="48">
        <v>1367.42</v>
      </c>
      <c r="C42" s="48">
        <v>0</v>
      </c>
      <c r="D42" s="48">
        <v>573.99</v>
      </c>
      <c r="E42" s="48">
        <v>425.44</v>
      </c>
      <c r="F42" s="48">
        <v>1130</v>
      </c>
      <c r="G42" s="48">
        <v>3112</v>
      </c>
      <c r="H42" s="48">
        <v>0</v>
      </c>
      <c r="I42" s="48">
        <v>470</v>
      </c>
      <c r="J42" s="48">
        <v>0</v>
      </c>
      <c r="K42" s="48">
        <f t="shared" si="9"/>
        <v>7078.85</v>
      </c>
    </row>
    <row r="43" spans="1:11" s="48" customFormat="1" x14ac:dyDescent="0.25">
      <c r="A43" t="s">
        <v>361</v>
      </c>
      <c r="B43" s="48">
        <f>103.4+4531.26</f>
        <v>4634.66</v>
      </c>
      <c r="C43" s="48">
        <f>106.4+1356.39</f>
        <v>1462.7900000000002</v>
      </c>
      <c r="D43" s="48">
        <f>106.4+1345.43</f>
        <v>1451.8300000000002</v>
      </c>
      <c r="E43" s="48">
        <f>106.4+873.33</f>
        <v>979.73</v>
      </c>
      <c r="F43" s="48">
        <f>106.4+1079.16</f>
        <v>1185.5600000000002</v>
      </c>
      <c r="G43" s="48">
        <f>281.25+106.4</f>
        <v>387.65</v>
      </c>
      <c r="H43" s="48">
        <v>1838.18</v>
      </c>
      <c r="I43" s="48">
        <f>106.4+977.97</f>
        <v>1084.3700000000001</v>
      </c>
      <c r="J43" s="48">
        <f>106.4+248.19</f>
        <v>354.59000000000003</v>
      </c>
      <c r="K43" s="48">
        <f t="shared" si="9"/>
        <v>13379.36</v>
      </c>
    </row>
    <row r="44" spans="1:11" s="48" customFormat="1" x14ac:dyDescent="0.25">
      <c r="A44" t="s">
        <v>240</v>
      </c>
      <c r="B44" s="48">
        <v>0</v>
      </c>
      <c r="C44" s="48">
        <v>0</v>
      </c>
      <c r="D44" s="48">
        <v>0</v>
      </c>
      <c r="E44" s="48">
        <v>233.66</v>
      </c>
      <c r="F44" s="48">
        <v>0</v>
      </c>
      <c r="G44" s="48">
        <v>0</v>
      </c>
      <c r="H44" s="48">
        <v>253.01</v>
      </c>
      <c r="I44" s="48">
        <v>0</v>
      </c>
      <c r="J44" s="48">
        <v>0</v>
      </c>
      <c r="K44" s="48">
        <f t="shared" si="9"/>
        <v>486.66999999999996</v>
      </c>
    </row>
    <row r="45" spans="1:11" s="48" customFormat="1" x14ac:dyDescent="0.25">
      <c r="A45" t="s">
        <v>241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f t="shared" si="9"/>
        <v>0</v>
      </c>
    </row>
    <row r="46" spans="1:11" s="48" customFormat="1" x14ac:dyDescent="0.25">
      <c r="A46" t="s">
        <v>239</v>
      </c>
      <c r="B46" s="48">
        <v>2424</v>
      </c>
      <c r="C46" s="48">
        <v>2424</v>
      </c>
      <c r="D46" s="48">
        <v>2424</v>
      </c>
      <c r="E46" s="48">
        <v>2424</v>
      </c>
      <c r="F46" s="48">
        <v>2426</v>
      </c>
      <c r="G46" s="48">
        <v>2424</v>
      </c>
      <c r="H46" s="48">
        <v>2424</v>
      </c>
      <c r="I46" s="48">
        <v>2424</v>
      </c>
      <c r="J46" s="48">
        <v>2424</v>
      </c>
      <c r="K46" s="48">
        <f t="shared" si="9"/>
        <v>21818</v>
      </c>
    </row>
    <row r="47" spans="1:11" s="48" customFormat="1" x14ac:dyDescent="0.25">
      <c r="A47" t="s">
        <v>358</v>
      </c>
      <c r="B47" s="48">
        <v>109</v>
      </c>
      <c r="C47" s="48">
        <v>0</v>
      </c>
      <c r="D47" s="48">
        <v>456</v>
      </c>
      <c r="E47" s="48">
        <v>0</v>
      </c>
      <c r="G47" s="48">
        <v>0</v>
      </c>
      <c r="H47" s="48">
        <v>0</v>
      </c>
      <c r="I47" s="48">
        <v>300</v>
      </c>
      <c r="J47" s="48">
        <v>0</v>
      </c>
      <c r="K47" s="48">
        <f t="shared" si="9"/>
        <v>865</v>
      </c>
    </row>
    <row r="48" spans="1:11" s="48" customFormat="1" x14ac:dyDescent="0.25">
      <c r="A48" t="s">
        <v>374</v>
      </c>
      <c r="B48" s="48">
        <v>0</v>
      </c>
      <c r="C48" s="48">
        <v>0</v>
      </c>
      <c r="D48" s="48">
        <v>803.9</v>
      </c>
      <c r="E48" s="48">
        <v>0</v>
      </c>
      <c r="F48" s="48">
        <v>1736.17</v>
      </c>
      <c r="G48" s="48">
        <v>378.9</v>
      </c>
      <c r="H48" s="48">
        <v>0</v>
      </c>
      <c r="I48" s="48">
        <v>0</v>
      </c>
      <c r="J48" s="48">
        <v>1137.54</v>
      </c>
      <c r="K48" s="48">
        <f t="shared" si="9"/>
        <v>4056.51</v>
      </c>
    </row>
    <row r="49" spans="1:11" s="48" customFormat="1" x14ac:dyDescent="0.25">
      <c r="A49" t="s">
        <v>242</v>
      </c>
      <c r="B49" s="48">
        <v>491.08</v>
      </c>
      <c r="C49" s="48">
        <v>758.32</v>
      </c>
      <c r="D49" s="48">
        <v>0</v>
      </c>
      <c r="E49" s="48">
        <v>168.11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f t="shared" si="9"/>
        <v>1417.5100000000002</v>
      </c>
    </row>
    <row r="50" spans="1:11" s="48" customFormat="1" x14ac:dyDescent="0.25">
      <c r="A50" t="s">
        <v>249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f t="shared" si="9"/>
        <v>0</v>
      </c>
    </row>
    <row r="51" spans="1:11" s="48" customFormat="1" x14ac:dyDescent="0.25">
      <c r="A51" t="s">
        <v>243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f t="shared" si="9"/>
        <v>0</v>
      </c>
    </row>
    <row r="52" spans="1:11" s="48" customFormat="1" x14ac:dyDescent="0.25">
      <c r="A52" t="s">
        <v>293</v>
      </c>
      <c r="B52" s="48">
        <v>9382.49</v>
      </c>
      <c r="C52" s="48">
        <v>9382.09</v>
      </c>
      <c r="D52" s="48">
        <v>9382.09</v>
      </c>
      <c r="E52" s="48">
        <v>9382.09</v>
      </c>
      <c r="F52" s="48">
        <v>9382.09</v>
      </c>
      <c r="G52" s="48">
        <v>9382.09</v>
      </c>
      <c r="H52" s="48">
        <v>9382.09</v>
      </c>
      <c r="I52" s="48">
        <v>9429.58</v>
      </c>
      <c r="J52" s="48">
        <v>9491.2900000000009</v>
      </c>
      <c r="K52" s="48">
        <f t="shared" si="9"/>
        <v>84595.9</v>
      </c>
    </row>
    <row r="53" spans="1:11" s="48" customFormat="1" x14ac:dyDescent="0.25">
      <c r="A53" t="s">
        <v>296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f t="shared" si="9"/>
        <v>0</v>
      </c>
    </row>
    <row r="54" spans="1:11" s="48" customFormat="1" x14ac:dyDescent="0.25">
      <c r="A54" t="s">
        <v>371</v>
      </c>
      <c r="B54" s="48">
        <v>0</v>
      </c>
      <c r="C54" s="48">
        <v>2048</v>
      </c>
      <c r="D54" s="48">
        <v>0</v>
      </c>
      <c r="E54" s="48">
        <v>324.79000000000002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f t="shared" si="9"/>
        <v>2372.79</v>
      </c>
    </row>
    <row r="55" spans="1:11" s="48" customFormat="1" x14ac:dyDescent="0.25">
      <c r="A55" t="s">
        <v>372</v>
      </c>
      <c r="B55" s="48">
        <v>1140.8399999999999</v>
      </c>
      <c r="C55" s="48">
        <v>925.84</v>
      </c>
      <c r="D55" s="48">
        <v>0</v>
      </c>
      <c r="E55" s="48">
        <v>795.42</v>
      </c>
      <c r="F55" s="48">
        <v>345.42</v>
      </c>
      <c r="G55" s="48">
        <v>359.24</v>
      </c>
      <c r="H55" s="48">
        <v>809.24</v>
      </c>
      <c r="I55" s="48">
        <v>359.24</v>
      </c>
      <c r="J55" s="48">
        <v>359.24</v>
      </c>
      <c r="K55" s="48">
        <f>SUM(B55:J55)</f>
        <v>5094.4799999999996</v>
      </c>
    </row>
    <row r="56" spans="1:11" s="48" customFormat="1" x14ac:dyDescent="0.25">
      <c r="A56" s="47" t="s">
        <v>335</v>
      </c>
      <c r="B56" s="50">
        <f t="shared" ref="B56:K56" si="10">SUM(B35:B55)</f>
        <v>42252.19</v>
      </c>
      <c r="C56" s="50">
        <f t="shared" si="10"/>
        <v>21778.43</v>
      </c>
      <c r="D56" s="50">
        <f t="shared" si="10"/>
        <v>40785.010000000009</v>
      </c>
      <c r="E56" s="50">
        <f t="shared" si="10"/>
        <v>28457.43</v>
      </c>
      <c r="F56" s="50">
        <f>SUM(F35:F55)</f>
        <v>23283.91</v>
      </c>
      <c r="G56" s="50">
        <f t="shared" ref="G56:I56" si="11">SUM(G35:G55)</f>
        <v>18206.140000000003</v>
      </c>
      <c r="H56" s="50">
        <f t="shared" si="11"/>
        <v>17827.490000000002</v>
      </c>
      <c r="I56" s="50">
        <f t="shared" si="11"/>
        <v>16741.75</v>
      </c>
      <c r="J56" s="50">
        <f t="shared" si="10"/>
        <v>16938.330000000002</v>
      </c>
      <c r="K56" s="50">
        <f t="shared" si="10"/>
        <v>226270.68000000002</v>
      </c>
    </row>
    <row r="58" spans="1:11" s="48" customFormat="1" x14ac:dyDescent="0.25">
      <c r="A58" s="47" t="s">
        <v>294</v>
      </c>
    </row>
    <row r="59" spans="1:11" s="48" customFormat="1" x14ac:dyDescent="0.25">
      <c r="A59" t="s">
        <v>252</v>
      </c>
      <c r="B59" s="48">
        <v>312.36</v>
      </c>
      <c r="C59" s="48">
        <v>716.18</v>
      </c>
      <c r="D59" s="48">
        <v>449.5</v>
      </c>
      <c r="E59" s="48">
        <v>269.7</v>
      </c>
      <c r="F59" s="48">
        <v>285.98</v>
      </c>
      <c r="G59" s="48">
        <v>195.44</v>
      </c>
      <c r="H59" s="48">
        <v>201.76</v>
      </c>
      <c r="I59" s="48">
        <v>295.45999999999998</v>
      </c>
      <c r="J59" s="48">
        <v>200.18</v>
      </c>
      <c r="K59" s="48">
        <f>SUM(B59:J59)</f>
        <v>2926.56</v>
      </c>
    </row>
    <row r="60" spans="1:11" s="48" customFormat="1" ht="14.25" customHeight="1" x14ac:dyDescent="0.25">
      <c r="A60" t="s">
        <v>253</v>
      </c>
      <c r="B60" s="48">
        <v>695.17</v>
      </c>
      <c r="C60" s="48">
        <v>459.08</v>
      </c>
      <c r="D60" s="48">
        <v>395.17</v>
      </c>
      <c r="E60" s="48">
        <v>502.1</v>
      </c>
      <c r="F60" s="48">
        <v>-70.98</v>
      </c>
      <c r="G60" s="48">
        <v>481.53</v>
      </c>
      <c r="H60" s="48">
        <v>-592.38</v>
      </c>
      <c r="I60" s="48">
        <v>238</v>
      </c>
      <c r="J60" s="48">
        <v>220.43</v>
      </c>
      <c r="K60" s="48">
        <f t="shared" ref="K60:K69" si="12">SUM(B60:J60)</f>
        <v>2328.1199999999994</v>
      </c>
    </row>
    <row r="61" spans="1:11" s="48" customFormat="1" ht="14.25" customHeight="1" x14ac:dyDescent="0.25">
      <c r="A61" t="s">
        <v>365</v>
      </c>
      <c r="B61" s="48">
        <v>485.42</v>
      </c>
      <c r="C61" s="48">
        <v>636.49</v>
      </c>
      <c r="D61" s="48">
        <v>407.96</v>
      </c>
      <c r="E61" s="48">
        <v>543.39</v>
      </c>
      <c r="F61" s="48">
        <v>372.65</v>
      </c>
      <c r="G61" s="48">
        <v>279.72000000000003</v>
      </c>
      <c r="H61" s="48">
        <v>177.55</v>
      </c>
      <c r="I61" s="48">
        <v>395.46</v>
      </c>
      <c r="J61" s="48">
        <v>197.06</v>
      </c>
      <c r="K61" s="48">
        <f t="shared" si="12"/>
        <v>3495.7000000000003</v>
      </c>
    </row>
    <row r="62" spans="1:11" s="48" customFormat="1" x14ac:dyDescent="0.25">
      <c r="A62" t="s">
        <v>295</v>
      </c>
      <c r="B62" s="48">
        <v>0</v>
      </c>
      <c r="C62" s="48">
        <v>200</v>
      </c>
      <c r="D62" s="48">
        <v>250</v>
      </c>
      <c r="E62" s="48">
        <v>300</v>
      </c>
      <c r="F62" s="48">
        <v>850</v>
      </c>
      <c r="G62" s="48">
        <v>0</v>
      </c>
      <c r="H62" s="48">
        <v>1000</v>
      </c>
      <c r="I62" s="48">
        <v>0</v>
      </c>
      <c r="J62" s="48">
        <v>0</v>
      </c>
      <c r="K62" s="48">
        <f t="shared" si="12"/>
        <v>2600</v>
      </c>
    </row>
    <row r="63" spans="1:11" s="48" customFormat="1" x14ac:dyDescent="0.25">
      <c r="A63" t="s">
        <v>307</v>
      </c>
      <c r="B63" s="48">
        <v>265.62</v>
      </c>
      <c r="C63" s="48">
        <v>265.62</v>
      </c>
      <c r="D63" s="48">
        <v>0</v>
      </c>
      <c r="E63" s="48">
        <v>132.81</v>
      </c>
      <c r="F63" s="48">
        <v>132.81</v>
      </c>
      <c r="G63" s="48">
        <v>132.81</v>
      </c>
      <c r="H63" s="48">
        <v>132.81</v>
      </c>
      <c r="I63" s="48">
        <v>132.81</v>
      </c>
      <c r="J63" s="48">
        <v>132.81</v>
      </c>
      <c r="K63" s="48">
        <f t="shared" si="12"/>
        <v>1328.0999999999997</v>
      </c>
    </row>
    <row r="64" spans="1:11" s="48" customFormat="1" x14ac:dyDescent="0.25">
      <c r="A64" t="s">
        <v>373</v>
      </c>
      <c r="B64" s="48">
        <v>0</v>
      </c>
      <c r="C64" s="48">
        <v>7242.01</v>
      </c>
      <c r="D64" s="48">
        <v>0</v>
      </c>
      <c r="E64" s="48">
        <v>3087.89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f t="shared" si="12"/>
        <v>10329.9</v>
      </c>
    </row>
    <row r="65" spans="1:13" s="48" customFormat="1" x14ac:dyDescent="0.25">
      <c r="A65" t="s">
        <v>254</v>
      </c>
      <c r="B65" s="48">
        <v>792.59</v>
      </c>
      <c r="C65" s="48">
        <v>18.940000000000001</v>
      </c>
      <c r="D65" s="48">
        <v>0</v>
      </c>
      <c r="E65" s="48">
        <v>164.03</v>
      </c>
      <c r="F65" s="48">
        <v>0</v>
      </c>
      <c r="G65" s="48">
        <v>0</v>
      </c>
      <c r="H65" s="48">
        <v>0</v>
      </c>
      <c r="I65" s="48">
        <v>12.74</v>
      </c>
      <c r="J65" s="48">
        <v>79.900000000000006</v>
      </c>
      <c r="K65" s="48">
        <f t="shared" si="12"/>
        <v>1068.2</v>
      </c>
    </row>
    <row r="66" spans="1:13" s="48" customFormat="1" x14ac:dyDescent="0.25">
      <c r="A66" t="s">
        <v>362</v>
      </c>
      <c r="B66" s="48">
        <v>550</v>
      </c>
      <c r="C66" s="48">
        <v>550</v>
      </c>
      <c r="D66" s="48">
        <v>550</v>
      </c>
      <c r="E66" s="48">
        <v>550</v>
      </c>
      <c r="F66" s="48">
        <v>550</v>
      </c>
      <c r="G66" s="48">
        <v>375</v>
      </c>
      <c r="H66" s="48">
        <v>375</v>
      </c>
      <c r="I66" s="48">
        <v>375</v>
      </c>
      <c r="J66" s="48">
        <v>375</v>
      </c>
      <c r="K66" s="48">
        <f t="shared" si="12"/>
        <v>4250</v>
      </c>
    </row>
    <row r="67" spans="1:13" s="48" customFormat="1" x14ac:dyDescent="0.25">
      <c r="A67" t="s">
        <v>363</v>
      </c>
      <c r="B67" s="48">
        <v>1500</v>
      </c>
      <c r="C67" s="48">
        <v>1500</v>
      </c>
      <c r="D67" s="48">
        <v>1500</v>
      </c>
      <c r="E67" s="48">
        <v>1500</v>
      </c>
      <c r="F67" s="48">
        <v>1500</v>
      </c>
      <c r="G67" s="48">
        <v>1500</v>
      </c>
      <c r="H67" s="48">
        <v>1500</v>
      </c>
      <c r="I67" s="48">
        <v>1500</v>
      </c>
      <c r="J67" s="48">
        <v>1500</v>
      </c>
      <c r="K67" s="48">
        <f t="shared" si="12"/>
        <v>13500</v>
      </c>
    </row>
    <row r="68" spans="1:13" s="48" customFormat="1" x14ac:dyDescent="0.25">
      <c r="A68" t="s">
        <v>364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f t="shared" si="12"/>
        <v>0</v>
      </c>
    </row>
    <row r="69" spans="1:13" s="48" customFormat="1" x14ac:dyDescent="0.25">
      <c r="A69" t="s">
        <v>257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642</v>
      </c>
      <c r="H69" s="48">
        <v>0</v>
      </c>
      <c r="I69" s="48">
        <v>0</v>
      </c>
      <c r="J69" s="48">
        <v>0</v>
      </c>
      <c r="K69" s="48">
        <f t="shared" si="12"/>
        <v>642</v>
      </c>
    </row>
    <row r="70" spans="1:13" s="48" customFormat="1" x14ac:dyDescent="0.25">
      <c r="A70" s="47" t="s">
        <v>297</v>
      </c>
      <c r="B70" s="50">
        <f>SUM(B59:B69)</f>
        <v>4601.16</v>
      </c>
      <c r="C70" s="50">
        <f t="shared" ref="C70:K70" si="13">SUM(C59:C69)</f>
        <v>11588.320000000002</v>
      </c>
      <c r="D70" s="50">
        <f t="shared" si="13"/>
        <v>3552.63</v>
      </c>
      <c r="E70" s="50">
        <f t="shared" si="13"/>
        <v>7049.9199999999992</v>
      </c>
      <c r="F70" s="50">
        <f>SUM(F59:F69)</f>
        <v>3620.46</v>
      </c>
      <c r="G70" s="50">
        <f>SUM(G59:G69)</f>
        <v>3606.5</v>
      </c>
      <c r="H70" s="50">
        <f>SUM(H59:H69)</f>
        <v>2794.74</v>
      </c>
      <c r="I70" s="50">
        <f>SUM(I59:I69)</f>
        <v>2949.4700000000003</v>
      </c>
      <c r="J70" s="50">
        <f>SUM(J59:J69)</f>
        <v>2705.38</v>
      </c>
      <c r="K70" s="50">
        <f t="shared" si="13"/>
        <v>42468.58</v>
      </c>
    </row>
    <row r="71" spans="1:13" s="48" customFormat="1" x14ac:dyDescent="0.25">
      <c r="A71" t="s">
        <v>246</v>
      </c>
    </row>
    <row r="72" spans="1:13" s="48" customFormat="1" ht="15.75" thickBot="1" x14ac:dyDescent="0.3">
      <c r="A72" s="47" t="s">
        <v>210</v>
      </c>
      <c r="B72" s="51">
        <f t="shared" ref="B72:K72" si="14">B32+B56+B70</f>
        <v>77318.710000000006</v>
      </c>
      <c r="C72" s="51">
        <f t="shared" si="14"/>
        <v>77611.460000000006</v>
      </c>
      <c r="D72" s="51">
        <f t="shared" si="14"/>
        <v>107646.59000000001</v>
      </c>
      <c r="E72" s="51">
        <f t="shared" si="14"/>
        <v>68995.680000000008</v>
      </c>
      <c r="F72" s="51">
        <f>F32+F56+F70</f>
        <v>54383.74</v>
      </c>
      <c r="G72" s="51">
        <f t="shared" ref="G72:I72" si="15">G32+G56+G70</f>
        <v>48908.31</v>
      </c>
      <c r="H72" s="51">
        <f t="shared" si="15"/>
        <v>44815.32</v>
      </c>
      <c r="I72" s="51">
        <f t="shared" si="15"/>
        <v>42978.26</v>
      </c>
      <c r="J72" s="51">
        <f t="shared" si="14"/>
        <v>44015.97</v>
      </c>
      <c r="K72" s="51">
        <f t="shared" si="14"/>
        <v>566674.03999999992</v>
      </c>
    </row>
    <row r="74" spans="1:13" s="48" customFormat="1" x14ac:dyDescent="0.25">
      <c r="A74" s="47" t="s">
        <v>298</v>
      </c>
      <c r="M74" s="48">
        <v>0</v>
      </c>
    </row>
    <row r="75" spans="1:13" s="48" customFormat="1" x14ac:dyDescent="0.25">
      <c r="A75" t="s">
        <v>367</v>
      </c>
      <c r="B75" s="48">
        <v>5000</v>
      </c>
      <c r="C75" s="48">
        <v>5000</v>
      </c>
      <c r="D75" s="48">
        <v>5000</v>
      </c>
      <c r="E75" s="48">
        <v>5000</v>
      </c>
      <c r="F75" s="48">
        <v>5000</v>
      </c>
      <c r="G75" s="48">
        <v>5000</v>
      </c>
      <c r="H75" s="48">
        <v>5000</v>
      </c>
      <c r="I75" s="48">
        <v>5000</v>
      </c>
      <c r="J75" s="48">
        <v>5000</v>
      </c>
      <c r="K75" s="48">
        <f>SUM(B75:J75)</f>
        <v>45000</v>
      </c>
    </row>
    <row r="76" spans="1:13" s="48" customFormat="1" x14ac:dyDescent="0.25">
      <c r="A76" t="s">
        <v>366</v>
      </c>
      <c r="B76" s="48">
        <v>1000</v>
      </c>
      <c r="C76" s="48">
        <v>1000</v>
      </c>
      <c r="D76" s="48">
        <v>1000</v>
      </c>
      <c r="E76" s="48">
        <v>1000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f>SUM(B76:J76)</f>
        <v>4000</v>
      </c>
    </row>
    <row r="77" spans="1:13" s="48" customFormat="1" x14ac:dyDescent="0.25">
      <c r="A77" t="s">
        <v>368</v>
      </c>
      <c r="B77" s="48">
        <v>1833.08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79.900000000000006</v>
      </c>
      <c r="K77" s="48">
        <f>SUM(B77:J77)</f>
        <v>1912.98</v>
      </c>
    </row>
    <row r="78" spans="1:13" s="48" customFormat="1" x14ac:dyDescent="0.25">
      <c r="A78" t="s">
        <v>369</v>
      </c>
      <c r="B78" s="48">
        <v>-3691.03</v>
      </c>
      <c r="C78" s="48">
        <v>-3673.36</v>
      </c>
      <c r="D78" s="48">
        <v>-3655.63</v>
      </c>
      <c r="E78" s="48">
        <v>-3637.86</v>
      </c>
      <c r="F78" s="48">
        <v>-3620.04</v>
      </c>
      <c r="G78" s="48">
        <v>-3602.17</v>
      </c>
      <c r="H78" s="48">
        <v>-3584.24</v>
      </c>
      <c r="I78" s="48">
        <v>-3566.27</v>
      </c>
      <c r="J78" s="48">
        <v>-3548.25</v>
      </c>
      <c r="K78" s="48">
        <f>SUM(B78:J78)</f>
        <v>-32578.850000000002</v>
      </c>
    </row>
    <row r="79" spans="1:13" s="48" customFormat="1" x14ac:dyDescent="0.25">
      <c r="A79" t="s">
        <v>370</v>
      </c>
      <c r="B79" s="48">
        <v>-6058.71</v>
      </c>
      <c r="C79" s="48">
        <v>-6058.71</v>
      </c>
      <c r="D79" s="48">
        <v>-6058.71</v>
      </c>
      <c r="E79" s="48">
        <v>-6058.71</v>
      </c>
      <c r="F79" s="48">
        <v>-6058.71</v>
      </c>
      <c r="G79" s="48">
        <v>-6058.71</v>
      </c>
      <c r="H79" s="48">
        <v>-6058.71</v>
      </c>
      <c r="I79" s="48">
        <v>-6058.71</v>
      </c>
      <c r="J79" s="48">
        <v>-6058.71</v>
      </c>
      <c r="K79" s="48">
        <f>SUM(B79:J79)</f>
        <v>-54528.39</v>
      </c>
    </row>
    <row r="80" spans="1:13" x14ac:dyDescent="0.25">
      <c r="A80" s="47" t="s">
        <v>300</v>
      </c>
      <c r="B80" s="50">
        <f t="shared" ref="B80:K80" si="16">SUM(B75:B79)</f>
        <v>-1916.6600000000008</v>
      </c>
      <c r="C80" s="50">
        <f t="shared" si="16"/>
        <v>-3732.07</v>
      </c>
      <c r="D80" s="50">
        <f t="shared" si="16"/>
        <v>-3714.34</v>
      </c>
      <c r="E80" s="50">
        <f t="shared" si="16"/>
        <v>-3696.57</v>
      </c>
      <c r="F80" s="50">
        <f>SUM(F75:F79)</f>
        <v>-4678.75</v>
      </c>
      <c r="G80" s="50">
        <f t="shared" ref="G80:I80" si="17">SUM(G75:G79)</f>
        <v>-4660.88</v>
      </c>
      <c r="H80" s="50">
        <f t="shared" si="17"/>
        <v>-4642.95</v>
      </c>
      <c r="I80" s="50">
        <f t="shared" si="17"/>
        <v>-4624.9799999999996</v>
      </c>
      <c r="J80" s="50">
        <f t="shared" si="16"/>
        <v>-4527.0600000000004</v>
      </c>
      <c r="K80" s="50">
        <f t="shared" si="16"/>
        <v>-36194.259999999995</v>
      </c>
    </row>
    <row r="82" spans="1:12" ht="15.75" thickBot="1" x14ac:dyDescent="0.3">
      <c r="A82" s="47" t="s">
        <v>301</v>
      </c>
      <c r="B82" s="52">
        <f t="shared" ref="B82:J82" si="18">B20-B72+B80</f>
        <v>63046.079999999973</v>
      </c>
      <c r="C82" s="52">
        <f t="shared" si="18"/>
        <v>50012.599999999969</v>
      </c>
      <c r="D82" s="52">
        <f t="shared" si="18"/>
        <v>13220.929999999989</v>
      </c>
      <c r="E82" s="52">
        <f t="shared" si="18"/>
        <v>4942.919999999991</v>
      </c>
      <c r="F82" s="52">
        <f>F20-F72+F80</f>
        <v>-30308.14</v>
      </c>
      <c r="G82" s="52">
        <f t="shared" ref="G82:I82" si="19">G20-G72+G80</f>
        <v>-40141.129999999997</v>
      </c>
      <c r="H82" s="52">
        <f t="shared" si="19"/>
        <v>-42423.27</v>
      </c>
      <c r="I82" s="52">
        <f t="shared" si="19"/>
        <v>-35256.51</v>
      </c>
      <c r="J82" s="52">
        <f t="shared" si="18"/>
        <v>-40246.03</v>
      </c>
      <c r="K82" s="52">
        <f>K20-K72+K80</f>
        <v>-57152.549999999799</v>
      </c>
      <c r="L82"/>
    </row>
    <row r="83" spans="1:12" ht="15.75" thickTop="1" x14ac:dyDescent="0.25"/>
    <row r="84" spans="1:12" x14ac:dyDescent="0.25">
      <c r="B84" s="48">
        <v>63046.080000000002</v>
      </c>
      <c r="C84" s="48">
        <v>50012.6</v>
      </c>
      <c r="D84" s="48">
        <v>13220.93</v>
      </c>
      <c r="E84" s="48">
        <v>4942.92</v>
      </c>
      <c r="F84" s="48">
        <v>-30308.14</v>
      </c>
      <c r="G84" s="48">
        <v>-40141.129999999997</v>
      </c>
      <c r="H84" s="48">
        <v>-42423.27</v>
      </c>
      <c r="I84" s="48">
        <v>-35256.51</v>
      </c>
      <c r="J84" s="48">
        <v>-40246.03</v>
      </c>
      <c r="K84" s="48">
        <v>-57152.55</v>
      </c>
    </row>
    <row r="85" spans="1:12" x14ac:dyDescent="0.25">
      <c r="B85" s="48">
        <f t="shared" ref="B85:K85" si="20">B82-B84</f>
        <v>0</v>
      </c>
      <c r="C85" s="48">
        <f t="shared" si="20"/>
        <v>0</v>
      </c>
      <c r="D85" s="48">
        <f t="shared" si="20"/>
        <v>0</v>
      </c>
      <c r="E85" s="48">
        <f t="shared" si="20"/>
        <v>-9.0949470177292824E-12</v>
      </c>
      <c r="F85" s="48">
        <f t="shared" si="20"/>
        <v>0</v>
      </c>
      <c r="G85" s="48">
        <f t="shared" ref="G85:I85" si="21">G82-G84</f>
        <v>0</v>
      </c>
      <c r="H85" s="48">
        <f t="shared" si="21"/>
        <v>0</v>
      </c>
      <c r="I85" s="48">
        <f t="shared" si="21"/>
        <v>0</v>
      </c>
      <c r="J85" s="48">
        <f t="shared" si="20"/>
        <v>0</v>
      </c>
      <c r="K85" s="48">
        <f t="shared" si="20"/>
        <v>2.0372681319713593E-10</v>
      </c>
    </row>
  </sheetData>
  <mergeCells count="3">
    <mergeCell ref="A1:K1"/>
    <mergeCell ref="A2:K2"/>
    <mergeCell ref="A3:K3"/>
  </mergeCells>
  <pageMargins left="0.7" right="0.7" top="0.75" bottom="0.75" header="0.3" footer="0.3"/>
  <pageSetup scale="57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Summary YTD 09.30.18 (condensd)</vt:lpstr>
      <vt:lpstr>Summary YTD 08.31.18</vt:lpstr>
      <vt:lpstr>Comp Summary YTD 2018-2017 Sept</vt:lpstr>
      <vt:lpstr>Comp YTD 2018-2017 10.18.18</vt:lpstr>
      <vt:lpstr>Comp YTD 2018-2017 10.28.18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Sept'!Print_Area</vt:lpstr>
      <vt:lpstr>'Comp YTD 2018-2017 10.18.18'!Print_Area</vt:lpstr>
      <vt:lpstr>'Comp YTD 2018-2017 10.28.18'!Print_Area</vt:lpstr>
      <vt:lpstr>DEP!Print_Area</vt:lpstr>
      <vt:lpstr>'Oliari Co.'!Print_Area</vt:lpstr>
      <vt:lpstr>'Summary YTD 08.31.18'!Print_Area</vt:lpstr>
      <vt:lpstr>'Summary YTD 09.30.18 (condensd)'!Print_Area</vt:lpstr>
      <vt:lpstr>CNT!Print_Titles</vt:lpstr>
      <vt:lpstr>'Comp Summary YTD 2018-2017 Sept'!Print_Titles</vt:lpstr>
      <vt:lpstr>'Comp YTD 2018-2017 10.18.18'!Print_Titles</vt:lpstr>
      <vt:lpstr>'Comp YTD 2018-2017 10.28.18'!Print_Titles</vt:lpstr>
      <vt:lpstr>'Summary YTD 08.31.18'!Print_Titles</vt:lpstr>
      <vt:lpstr>'Summary YTD 09.30.18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Accounting User</cp:lastModifiedBy>
  <cp:lastPrinted>2018-10-17T20:08:11Z</cp:lastPrinted>
  <dcterms:created xsi:type="dcterms:W3CDTF">2018-05-13T15:03:39Z</dcterms:created>
  <dcterms:modified xsi:type="dcterms:W3CDTF">2019-01-31T19:59:05Z</dcterms:modified>
</cp:coreProperties>
</file>