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Accting\Pez Work\Published Financial Reports\Combined 2018\"/>
    </mc:Choice>
  </mc:AlternateContent>
  <xr:revisionPtr revIDLastSave="0" documentId="13_ncr:1_{D6D14DC5-A659-4B14-8543-BFC88590976E}" xr6:coauthVersionLast="38" xr6:coauthVersionMax="38" xr10:uidLastSave="{00000000-0000-0000-0000-000000000000}"/>
  <bookViews>
    <workbookView xWindow="0" yWindow="0" windowWidth="19200" windowHeight="7620" tabRatio="911" activeTab="2" xr2:uid="{00000000-000D-0000-FFFF-FFFF00000000}"/>
  </bookViews>
  <sheets>
    <sheet name="Summary YTD 10.31.18 (condensd)" sheetId="16" r:id="rId1"/>
    <sheet name="Summary YTD 10.31.18" sheetId="11" r:id="rId2"/>
    <sheet name="Comp Summary YTD 2018-2017 Oct" sheetId="15" r:id="rId3"/>
    <sheet name="Comp YTD 2018-2017 Oct" sheetId="12" r:id="rId4"/>
    <sheet name="DEP" sheetId="5" r:id="rId5"/>
    <sheet name="BPM" sheetId="6" r:id="rId6"/>
    <sheet name="Lending" sheetId="7" r:id="rId7"/>
    <sheet name="BSC (Dome)" sheetId="10" r:id="rId8"/>
    <sheet name="Oliari Co." sheetId="14" r:id="rId9"/>
    <sheet name="722 Bedford St" sheetId="17" r:id="rId10"/>
    <sheet name="CNT" sheetId="2" r:id="rId11"/>
  </sheets>
  <externalReferences>
    <externalReference r:id="rId12"/>
    <externalReference r:id="rId13"/>
    <externalReference r:id="rId14"/>
    <externalReference r:id="rId15"/>
  </externalReferences>
  <definedNames>
    <definedName name="_xlnm.Print_Area" localSheetId="9">'722 Bedford St'!$A$1:$L$29</definedName>
    <definedName name="_xlnm.Print_Area" localSheetId="7">'BSC (Dome)'!$A$1:$L$82</definedName>
    <definedName name="_xlnm.Print_Area" localSheetId="10">CNT!$A$1:$N$284</definedName>
    <definedName name="_xlnm.Print_Area" localSheetId="2">'Comp Summary YTD 2018-2017 Oct'!$A$9:$AE$37</definedName>
    <definedName name="_xlnm.Print_Area" localSheetId="3">'Comp YTD 2018-2017 Oct'!$A$2:$AF$117</definedName>
    <definedName name="_xlnm.Print_Area" localSheetId="4">DEP!$A$1:$L$81</definedName>
    <definedName name="_xlnm.Print_Area" localSheetId="8">'Oliari Co.'!$A$1:$L$29</definedName>
    <definedName name="_xlnm.Print_Area" localSheetId="1">'Summary YTD 10.31.18'!$A$1:$I$108</definedName>
    <definedName name="_xlnm.Print_Area" localSheetId="0">'Summary YTD 10.31.18 (condensd)'!$A$1:$I$63</definedName>
    <definedName name="_xlnm.Print_Titles" localSheetId="10">CNT!$A:$A,CNT!$1:$3</definedName>
    <definedName name="_xlnm.Print_Titles" localSheetId="2">'Comp Summary YTD 2018-2017 Oct'!$9:$18</definedName>
    <definedName name="_xlnm.Print_Titles" localSheetId="3">'Comp YTD 2018-2017 Oct'!$5:$14</definedName>
    <definedName name="_xlnm.Print_Titles" localSheetId="1">'Summary YTD 10.31.18'!$1:$6</definedName>
    <definedName name="_xlnm.Print_Titles" localSheetId="0">'Summary YTD 10.31.18 (condensd)'!$1:$6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8" i="11" l="1"/>
  <c r="B70" i="11"/>
  <c r="D38" i="11"/>
  <c r="D40" i="11"/>
  <c r="E55" i="11"/>
  <c r="K40" i="5" l="1"/>
  <c r="L46" i="6" l="1"/>
  <c r="C44" i="12" s="1"/>
  <c r="C36" i="11" l="1"/>
  <c r="K32" i="2"/>
  <c r="F64" i="16" l="1"/>
  <c r="K74" i="2" l="1"/>
  <c r="K59" i="2"/>
  <c r="K60" i="2"/>
  <c r="K61" i="2"/>
  <c r="K62" i="2"/>
  <c r="K63" i="2"/>
  <c r="K64" i="2"/>
  <c r="K66" i="2"/>
  <c r="K53" i="2"/>
  <c r="K54" i="2"/>
  <c r="K55" i="2"/>
  <c r="K56" i="2"/>
  <c r="K263" i="2"/>
  <c r="K72" i="2" s="1"/>
  <c r="K278" i="2"/>
  <c r="K73" i="2" s="1"/>
  <c r="K14" i="2"/>
  <c r="K15" i="2"/>
  <c r="K16" i="2"/>
  <c r="K17" i="2"/>
  <c r="K18" i="2"/>
  <c r="K19" i="2"/>
  <c r="K20" i="2"/>
  <c r="K22" i="2"/>
  <c r="K23" i="2"/>
  <c r="K24" i="2"/>
  <c r="K25" i="2"/>
  <c r="K27" i="2"/>
  <c r="K28" i="2"/>
  <c r="K29" i="2"/>
  <c r="K30" i="2"/>
  <c r="K33" i="2"/>
  <c r="K5" i="2"/>
  <c r="K6" i="2"/>
  <c r="K7" i="2"/>
  <c r="K8" i="2"/>
  <c r="K9" i="2"/>
  <c r="K10" i="2"/>
  <c r="K231" i="2"/>
  <c r="K71" i="2" s="1"/>
  <c r="K210" i="2"/>
  <c r="K70" i="2" s="1"/>
  <c r="K196" i="2"/>
  <c r="K127" i="2"/>
  <c r="L68" i="5" l="1"/>
  <c r="D73" i="11" s="1"/>
  <c r="K39" i="5"/>
  <c r="D81" i="12" l="1"/>
  <c r="K43" i="10"/>
  <c r="H82" i="12" l="1"/>
  <c r="L15" i="17"/>
  <c r="H74" i="11" s="1"/>
  <c r="R101" i="12" l="1"/>
  <c r="R107" i="12"/>
  <c r="Q101" i="12" l="1"/>
  <c r="Q107" i="12"/>
  <c r="Q68" i="12"/>
  <c r="Q63" i="12"/>
  <c r="Q59" i="12"/>
  <c r="Q40" i="12"/>
  <c r="O22" i="12"/>
  <c r="N32" i="12"/>
  <c r="N30" i="12"/>
  <c r="N29" i="12"/>
  <c r="N28" i="12"/>
  <c r="N27" i="12"/>
  <c r="N26" i="12"/>
  <c r="N22" i="12"/>
  <c r="N20" i="12"/>
  <c r="N19" i="12"/>
  <c r="N18" i="12"/>
  <c r="N17" i="12"/>
  <c r="N16" i="12"/>
  <c r="M52" i="12"/>
  <c r="M46" i="12"/>
  <c r="M27" i="12"/>
  <c r="M28" i="12"/>
  <c r="T28" i="12" s="1"/>
  <c r="M29" i="12"/>
  <c r="M32" i="12"/>
  <c r="M30" i="12"/>
  <c r="T30" i="12" s="1"/>
  <c r="M26" i="12"/>
  <c r="M22" i="12"/>
  <c r="M20" i="12"/>
  <c r="M16" i="12"/>
  <c r="M19" i="12"/>
  <c r="M18" i="12"/>
  <c r="M17" i="12"/>
  <c r="T17" i="12"/>
  <c r="T21" i="12"/>
  <c r="T31" i="12"/>
  <c r="N267" i="2"/>
  <c r="N268" i="2"/>
  <c r="N269" i="2"/>
  <c r="N270" i="2"/>
  <c r="N271" i="2"/>
  <c r="N272" i="2"/>
  <c r="N273" i="2"/>
  <c r="N274" i="2"/>
  <c r="N275" i="2"/>
  <c r="N276" i="2"/>
  <c r="N277" i="2"/>
  <c r="N234" i="2"/>
  <c r="N235" i="2"/>
  <c r="N236" i="2"/>
  <c r="N237" i="2"/>
  <c r="N238" i="2"/>
  <c r="N239" i="2"/>
  <c r="N240" i="2"/>
  <c r="N241" i="2"/>
  <c r="N242" i="2"/>
  <c r="N243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00" i="2"/>
  <c r="N180" i="2"/>
  <c r="N181" i="2"/>
  <c r="N182" i="2"/>
  <c r="N183" i="2"/>
  <c r="N184" i="2"/>
  <c r="N185" i="2"/>
  <c r="N186" i="2"/>
  <c r="N188" i="2"/>
  <c r="N189" i="2"/>
  <c r="N190" i="2"/>
  <c r="N191" i="2"/>
  <c r="N192" i="2"/>
  <c r="N193" i="2"/>
  <c r="N194" i="2"/>
  <c r="N195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3" i="2"/>
  <c r="N174" i="2"/>
  <c r="N175" i="2"/>
  <c r="N176" i="2"/>
  <c r="N177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04" i="2"/>
  <c r="N65" i="2"/>
  <c r="N42" i="2"/>
  <c r="N44" i="2"/>
  <c r="N45" i="2"/>
  <c r="J23" i="17"/>
  <c r="J27" i="17" s="1"/>
  <c r="J17" i="17"/>
  <c r="J12" i="17"/>
  <c r="J27" i="14"/>
  <c r="J16" i="14"/>
  <c r="J12" i="14"/>
  <c r="J80" i="10"/>
  <c r="J70" i="10"/>
  <c r="J43" i="10"/>
  <c r="J56" i="10" s="1"/>
  <c r="J32" i="10"/>
  <c r="J18" i="10"/>
  <c r="J14" i="10"/>
  <c r="J18" i="7"/>
  <c r="J13" i="7"/>
  <c r="L66" i="6"/>
  <c r="J76" i="6"/>
  <c r="J63" i="6"/>
  <c r="J70" i="6" s="1"/>
  <c r="J56" i="6"/>
  <c r="J49" i="6"/>
  <c r="J36" i="6"/>
  <c r="J17" i="6"/>
  <c r="L65" i="5"/>
  <c r="J78" i="5"/>
  <c r="J71" i="5"/>
  <c r="J43" i="5"/>
  <c r="J39" i="5"/>
  <c r="J34" i="5"/>
  <c r="J36" i="5" s="1"/>
  <c r="J23" i="5"/>
  <c r="J17" i="5"/>
  <c r="J38" i="6" l="1"/>
  <c r="N127" i="2"/>
  <c r="T19" i="12"/>
  <c r="T27" i="12"/>
  <c r="T29" i="12"/>
  <c r="T20" i="12"/>
  <c r="T18" i="12"/>
  <c r="T26" i="12"/>
  <c r="J20" i="10"/>
  <c r="J72" i="10"/>
  <c r="T32" i="12"/>
  <c r="J25" i="5"/>
  <c r="J54" i="5"/>
  <c r="J73" i="5" s="1"/>
  <c r="J80" i="5" s="1"/>
  <c r="J83" i="5" s="1"/>
  <c r="J20" i="7"/>
  <c r="J18" i="14"/>
  <c r="T16" i="12"/>
  <c r="J78" i="6"/>
  <c r="J80" i="6" s="1"/>
  <c r="J19" i="17"/>
  <c r="J29" i="17" s="1"/>
  <c r="T22" i="12"/>
  <c r="J29" i="14"/>
  <c r="J82" i="10" l="1"/>
  <c r="J85" i="10" s="1"/>
  <c r="L23" i="14"/>
  <c r="L63" i="6" l="1"/>
  <c r="K70" i="6"/>
  <c r="L68" i="6"/>
  <c r="L62" i="6"/>
  <c r="L67" i="6"/>
  <c r="L47" i="6"/>
  <c r="L54" i="6"/>
  <c r="L53" i="6"/>
  <c r="L44" i="6"/>
  <c r="L45" i="6"/>
  <c r="K49" i="6"/>
  <c r="I49" i="6"/>
  <c r="H49" i="6"/>
  <c r="G49" i="6"/>
  <c r="F49" i="6"/>
  <c r="E49" i="6"/>
  <c r="D49" i="6"/>
  <c r="C49" i="6"/>
  <c r="B49" i="6"/>
  <c r="L48" i="6"/>
  <c r="L43" i="6"/>
  <c r="C62" i="12" l="1"/>
  <c r="C54" i="11"/>
  <c r="C43" i="12"/>
  <c r="C35" i="11"/>
  <c r="C77" i="11"/>
  <c r="C85" i="12"/>
  <c r="C40" i="12"/>
  <c r="C32" i="11"/>
  <c r="C42" i="12"/>
  <c r="C34" i="11"/>
  <c r="C69" i="12"/>
  <c r="C55" i="11"/>
  <c r="C84" i="12"/>
  <c r="C76" i="11"/>
  <c r="C62" i="11"/>
  <c r="C70" i="12"/>
  <c r="C37" i="11"/>
  <c r="C45" i="12"/>
  <c r="C48" i="12"/>
  <c r="C40" i="11"/>
  <c r="C50" i="11"/>
  <c r="C59" i="12"/>
  <c r="C63" i="11"/>
  <c r="C71" i="12"/>
  <c r="L49" i="6"/>
  <c r="L67" i="5"/>
  <c r="L66" i="5"/>
  <c r="H34" i="5"/>
  <c r="G34" i="5"/>
  <c r="B36" i="5"/>
  <c r="L34" i="5" l="1"/>
  <c r="D46" i="12" s="1"/>
  <c r="D84" i="11"/>
  <c r="D92" i="12"/>
  <c r="D81" i="11"/>
  <c r="D89" i="12"/>
  <c r="D77" i="11"/>
  <c r="D85" i="12"/>
  <c r="B67" i="12"/>
  <c r="B60" i="11" s="1"/>
  <c r="B66" i="12"/>
  <c r="B59" i="11" s="1"/>
  <c r="B65" i="12"/>
  <c r="B58" i="11" s="1"/>
  <c r="B61" i="12"/>
  <c r="B53" i="11" s="1"/>
  <c r="B60" i="12"/>
  <c r="B52" i="11" s="1"/>
  <c r="B58" i="12"/>
  <c r="B50" i="11" s="1"/>
  <c r="B55" i="12"/>
  <c r="B47" i="11" s="1"/>
  <c r="B54" i="12"/>
  <c r="B46" i="11" s="1"/>
  <c r="B53" i="12"/>
  <c r="B45" i="11" s="1"/>
  <c r="B95" i="11"/>
  <c r="B78" i="11"/>
  <c r="B72" i="11"/>
  <c r="B56" i="11"/>
  <c r="B51" i="11"/>
  <c r="B31" i="12"/>
  <c r="B23" i="11" s="1"/>
  <c r="B30" i="12"/>
  <c r="B22" i="11" s="1"/>
  <c r="B28" i="12"/>
  <c r="B20" i="11" s="1"/>
  <c r="B27" i="12"/>
  <c r="B19" i="11" s="1"/>
  <c r="B26" i="12"/>
  <c r="B18" i="11" s="1"/>
  <c r="B90" i="12"/>
  <c r="B82" i="11" s="1"/>
  <c r="B64" i="12"/>
  <c r="B57" i="11" s="1"/>
  <c r="B73" i="12"/>
  <c r="B65" i="11" s="1"/>
  <c r="B72" i="12"/>
  <c r="B64" i="11" s="1"/>
  <c r="B69" i="12"/>
  <c r="B55" i="11" s="1"/>
  <c r="B68" i="12"/>
  <c r="B61" i="11" s="1"/>
  <c r="B57" i="12"/>
  <c r="B49" i="11" s="1"/>
  <c r="B56" i="12"/>
  <c r="B48" i="11" s="1"/>
  <c r="B22" i="12"/>
  <c r="B14" i="11" s="1"/>
  <c r="B21" i="12"/>
  <c r="B13" i="11" s="1"/>
  <c r="B20" i="12"/>
  <c r="B12" i="11" s="1"/>
  <c r="B19" i="12"/>
  <c r="B11" i="11" s="1"/>
  <c r="B18" i="12"/>
  <c r="B10" i="11" s="1"/>
  <c r="B17" i="12"/>
  <c r="B9" i="11" s="1"/>
  <c r="B16" i="12"/>
  <c r="B8" i="11" s="1"/>
  <c r="J60" i="2" l="1"/>
  <c r="J32" i="2"/>
  <c r="J43" i="2"/>
  <c r="J41" i="2"/>
  <c r="J40" i="2"/>
  <c r="J39" i="2"/>
  <c r="J38" i="2"/>
  <c r="J14" i="2"/>
  <c r="J15" i="2"/>
  <c r="J16" i="2"/>
  <c r="J17" i="2"/>
  <c r="J18" i="2"/>
  <c r="J19" i="2"/>
  <c r="J20" i="2"/>
  <c r="J22" i="2"/>
  <c r="J23" i="2"/>
  <c r="J24" i="2"/>
  <c r="J25" i="2"/>
  <c r="J27" i="2"/>
  <c r="J28" i="2"/>
  <c r="J29" i="2"/>
  <c r="J30" i="2"/>
  <c r="J33" i="2"/>
  <c r="J10" i="2"/>
  <c r="J9" i="2"/>
  <c r="J8" i="2"/>
  <c r="J7" i="2"/>
  <c r="J6" i="2"/>
  <c r="J5" i="2"/>
  <c r="I127" i="2"/>
  <c r="I6" i="2"/>
  <c r="I196" i="2"/>
  <c r="I210" i="2"/>
  <c r="I231" i="2"/>
  <c r="I263" i="2"/>
  <c r="I278" i="2"/>
  <c r="J231" i="2"/>
  <c r="J47" i="2" l="1"/>
  <c r="L62" i="5" l="1"/>
  <c r="L69" i="6" l="1"/>
  <c r="L8" i="6"/>
  <c r="C92" i="12" l="1"/>
  <c r="C84" i="11"/>
  <c r="J278" i="2" l="1"/>
  <c r="J263" i="2"/>
  <c r="J210" i="2"/>
  <c r="J196" i="2"/>
  <c r="J127" i="2"/>
  <c r="I27" i="17"/>
  <c r="I17" i="17"/>
  <c r="I12" i="17"/>
  <c r="L10" i="14"/>
  <c r="I27" i="14"/>
  <c r="I16" i="14"/>
  <c r="I12" i="14"/>
  <c r="K70" i="10"/>
  <c r="I80" i="10"/>
  <c r="I70" i="10"/>
  <c r="I43" i="10"/>
  <c r="I56" i="10" s="1"/>
  <c r="I32" i="10"/>
  <c r="I18" i="10"/>
  <c r="I14" i="10"/>
  <c r="I18" i="7"/>
  <c r="I13" i="7"/>
  <c r="I76" i="6"/>
  <c r="I70" i="6"/>
  <c r="I56" i="6"/>
  <c r="I78" i="6" s="1"/>
  <c r="I36" i="6"/>
  <c r="I15" i="6"/>
  <c r="I17" i="6" s="1"/>
  <c r="I38" i="6" s="1"/>
  <c r="I78" i="5"/>
  <c r="I71" i="5"/>
  <c r="I39" i="5"/>
  <c r="I54" i="5" s="1"/>
  <c r="I36" i="5"/>
  <c r="I23" i="5"/>
  <c r="I17" i="5"/>
  <c r="I20" i="7" l="1"/>
  <c r="I20" i="10"/>
  <c r="I72" i="10"/>
  <c r="I19" i="17"/>
  <c r="I29" i="17" s="1"/>
  <c r="I18" i="14"/>
  <c r="I29" i="14" s="1"/>
  <c r="I80" i="6"/>
  <c r="I25" i="5"/>
  <c r="I73" i="5"/>
  <c r="I80" i="5" s="1"/>
  <c r="I83" i="5" s="1"/>
  <c r="I82" i="10"/>
  <c r="I85" i="10" s="1"/>
  <c r="L12" i="6" l="1"/>
  <c r="L11" i="6"/>
  <c r="L15" i="6"/>
  <c r="B20" i="7"/>
  <c r="B18" i="7"/>
  <c r="C13" i="7"/>
  <c r="D13" i="7"/>
  <c r="E13" i="7"/>
  <c r="F13" i="7"/>
  <c r="G13" i="7"/>
  <c r="H13" i="7"/>
  <c r="K13" i="7"/>
  <c r="B13" i="7"/>
  <c r="C21" i="12" l="1"/>
  <c r="C13" i="11" s="1"/>
  <c r="K17" i="6"/>
  <c r="H231" i="2" l="1"/>
  <c r="H71" i="2" s="1"/>
  <c r="I33" i="2"/>
  <c r="I32" i="2"/>
  <c r="I30" i="2"/>
  <c r="I29" i="2"/>
  <c r="I28" i="2"/>
  <c r="I27" i="2"/>
  <c r="I25" i="2"/>
  <c r="I24" i="2"/>
  <c r="I23" i="2"/>
  <c r="I22" i="2"/>
  <c r="I20" i="2"/>
  <c r="I19" i="2"/>
  <c r="I18" i="2"/>
  <c r="I17" i="2"/>
  <c r="I16" i="2"/>
  <c r="I15" i="2"/>
  <c r="I14" i="2"/>
  <c r="I41" i="2"/>
  <c r="I40" i="2"/>
  <c r="I39" i="2"/>
  <c r="I38" i="2"/>
  <c r="P42" i="2"/>
  <c r="Q42" i="2" s="1"/>
  <c r="G41" i="2"/>
  <c r="C41" i="2"/>
  <c r="B41" i="2"/>
  <c r="I10" i="2"/>
  <c r="I9" i="2"/>
  <c r="I8" i="2"/>
  <c r="I7" i="2"/>
  <c r="I5" i="2"/>
  <c r="N41" i="2" l="1"/>
  <c r="I47" i="2"/>
  <c r="P41" i="2"/>
  <c r="Q41" i="2" s="1"/>
  <c r="H278" i="2" l="1"/>
  <c r="H73" i="2" s="1"/>
  <c r="H263" i="2"/>
  <c r="H72" i="2" s="1"/>
  <c r="H209" i="2"/>
  <c r="N209" i="2" s="1"/>
  <c r="H208" i="2"/>
  <c r="N208" i="2" s="1"/>
  <c r="H207" i="2"/>
  <c r="N207" i="2" s="1"/>
  <c r="H206" i="2"/>
  <c r="N206" i="2" s="1"/>
  <c r="H205" i="2"/>
  <c r="N205" i="2" s="1"/>
  <c r="H204" i="2"/>
  <c r="N204" i="2" s="1"/>
  <c r="H203" i="2"/>
  <c r="N203" i="2" s="1"/>
  <c r="H202" i="2"/>
  <c r="N202" i="2" s="1"/>
  <c r="H201" i="2"/>
  <c r="N201" i="2" s="1"/>
  <c r="H196" i="2"/>
  <c r="H127" i="2"/>
  <c r="H91" i="2"/>
  <c r="H90" i="2"/>
  <c r="H74" i="2"/>
  <c r="H66" i="2"/>
  <c r="H92" i="2" s="1"/>
  <c r="H64" i="2"/>
  <c r="H63" i="2"/>
  <c r="H62" i="2"/>
  <c r="H61" i="2"/>
  <c r="H60" i="2"/>
  <c r="H59" i="2"/>
  <c r="H88" i="2" s="1"/>
  <c r="H56" i="2"/>
  <c r="H55" i="2"/>
  <c r="H54" i="2"/>
  <c r="H84" i="2" s="1"/>
  <c r="H53" i="2"/>
  <c r="H40" i="2"/>
  <c r="H39" i="2"/>
  <c r="H38" i="2"/>
  <c r="H33" i="2"/>
  <c r="H32" i="2"/>
  <c r="H30" i="2"/>
  <c r="H29" i="2"/>
  <c r="H28" i="2"/>
  <c r="H27" i="2"/>
  <c r="H25" i="2"/>
  <c r="H24" i="2"/>
  <c r="H23" i="2"/>
  <c r="H22" i="2"/>
  <c r="H20" i="2"/>
  <c r="H19" i="2"/>
  <c r="H18" i="2"/>
  <c r="H17" i="2"/>
  <c r="H16" i="2"/>
  <c r="H15" i="2"/>
  <c r="H14" i="2"/>
  <c r="H10" i="2"/>
  <c r="H9" i="2"/>
  <c r="H8" i="2"/>
  <c r="H7" i="2"/>
  <c r="H6" i="2"/>
  <c r="H5" i="2"/>
  <c r="H27" i="17"/>
  <c r="H17" i="17"/>
  <c r="H12" i="17"/>
  <c r="H27" i="14"/>
  <c r="H16" i="14"/>
  <c r="H12" i="14"/>
  <c r="H18" i="14" s="1"/>
  <c r="H80" i="10"/>
  <c r="H70" i="10"/>
  <c r="H41" i="10"/>
  <c r="H56" i="10" s="1"/>
  <c r="H32" i="10"/>
  <c r="H18" i="10"/>
  <c r="H14" i="10"/>
  <c r="H18" i="7"/>
  <c r="H20" i="7" s="1"/>
  <c r="H76" i="6"/>
  <c r="H70" i="6"/>
  <c r="H56" i="6"/>
  <c r="H36" i="6"/>
  <c r="H17" i="6"/>
  <c r="K78" i="5"/>
  <c r="H78" i="5"/>
  <c r="H71" i="5"/>
  <c r="H39" i="5"/>
  <c r="H54" i="5" s="1"/>
  <c r="H36" i="5"/>
  <c r="H23" i="5"/>
  <c r="H8" i="5"/>
  <c r="H17" i="5" s="1"/>
  <c r="Z113" i="12"/>
  <c r="S114" i="12"/>
  <c r="T111" i="12"/>
  <c r="Z111" i="12" s="1"/>
  <c r="T110" i="12"/>
  <c r="Z110" i="12" s="1"/>
  <c r="T109" i="12"/>
  <c r="R114" i="12"/>
  <c r="Q114" i="12"/>
  <c r="P114" i="12"/>
  <c r="M114" i="12"/>
  <c r="M74" i="12"/>
  <c r="H78" i="6" l="1"/>
  <c r="H73" i="5"/>
  <c r="H210" i="2"/>
  <c r="H70" i="2" s="1"/>
  <c r="H20" i="10"/>
  <c r="H25" i="5"/>
  <c r="H38" i="6"/>
  <c r="H57" i="2"/>
  <c r="H11" i="2"/>
  <c r="H197" i="2"/>
  <c r="H67" i="2"/>
  <c r="H83" i="2"/>
  <c r="H85" i="2" s="1"/>
  <c r="H72" i="10"/>
  <c r="H19" i="17"/>
  <c r="H29" i="17" s="1"/>
  <c r="H47" i="2"/>
  <c r="H34" i="2"/>
  <c r="H89" i="2"/>
  <c r="H93" i="2" s="1"/>
  <c r="H94" i="2" s="1"/>
  <c r="H29" i="14"/>
  <c r="H68" i="2" l="1"/>
  <c r="H80" i="5"/>
  <c r="H83" i="5" s="1"/>
  <c r="H75" i="2"/>
  <c r="H80" i="6"/>
  <c r="H82" i="10"/>
  <c r="H85" i="10" s="1"/>
  <c r="H35" i="2"/>
  <c r="H36" i="2" s="1"/>
  <c r="H280" i="2"/>
  <c r="B196" i="2"/>
  <c r="G196" i="2"/>
  <c r="B263" i="2"/>
  <c r="B278" i="2"/>
  <c r="C278" i="2"/>
  <c r="D278" i="2"/>
  <c r="E278" i="2"/>
  <c r="F278" i="2"/>
  <c r="G278" i="2"/>
  <c r="H48" i="2" l="1"/>
  <c r="H76" i="2"/>
  <c r="H80" i="2" s="1"/>
  <c r="H282" i="2" l="1"/>
  <c r="B113" i="12"/>
  <c r="B105" i="11" s="1"/>
  <c r="B60" i="16" s="1"/>
  <c r="G78" i="5"/>
  <c r="G71" i="5"/>
  <c r="G39" i="5"/>
  <c r="G54" i="5" s="1"/>
  <c r="G36" i="5"/>
  <c r="G23" i="5"/>
  <c r="G8" i="5"/>
  <c r="G17" i="5" s="1"/>
  <c r="G25" i="5" l="1"/>
  <c r="G73" i="5"/>
  <c r="I105" i="11"/>
  <c r="I113" i="12"/>
  <c r="L25" i="6"/>
  <c r="C23" i="11" l="1"/>
  <c r="G80" i="5"/>
  <c r="G83" i="5" s="1"/>
  <c r="C31" i="12"/>
  <c r="N266" i="2" l="1"/>
  <c r="I74" i="2"/>
  <c r="I73" i="2"/>
  <c r="G127" i="2"/>
  <c r="G210" i="2"/>
  <c r="G231" i="2"/>
  <c r="G263" i="2"/>
  <c r="I71" i="2"/>
  <c r="I91" i="2"/>
  <c r="I90" i="2"/>
  <c r="I66" i="2"/>
  <c r="I92" i="2" s="1"/>
  <c r="I64" i="2"/>
  <c r="I63" i="2"/>
  <c r="I62" i="2"/>
  <c r="I61" i="2"/>
  <c r="I60" i="2"/>
  <c r="I89" i="2" s="1"/>
  <c r="I59" i="2"/>
  <c r="I88" i="2" s="1"/>
  <c r="I56" i="2"/>
  <c r="I55" i="2"/>
  <c r="I54" i="2"/>
  <c r="I84" i="2" s="1"/>
  <c r="I53" i="2"/>
  <c r="I83" i="2" s="1"/>
  <c r="I70" i="2" l="1"/>
  <c r="I11" i="2"/>
  <c r="I34" i="2"/>
  <c r="G43" i="10"/>
  <c r="G56" i="10" s="1"/>
  <c r="G80" i="10"/>
  <c r="G70" i="10"/>
  <c r="G32" i="10"/>
  <c r="G18" i="10"/>
  <c r="G14" i="10"/>
  <c r="G20" i="10" l="1"/>
  <c r="I35" i="2"/>
  <c r="G72" i="10"/>
  <c r="G82" i="10" s="1"/>
  <c r="G85" i="10" s="1"/>
  <c r="T40" i="12"/>
  <c r="Z40" i="12" s="1"/>
  <c r="G18" i="7"/>
  <c r="G20" i="7" s="1"/>
  <c r="L28" i="6"/>
  <c r="G76" i="6"/>
  <c r="G70" i="6"/>
  <c r="G56" i="6"/>
  <c r="G36" i="6"/>
  <c r="G17" i="6"/>
  <c r="Z29" i="12"/>
  <c r="Z16" i="12"/>
  <c r="G27" i="17"/>
  <c r="G17" i="17"/>
  <c r="G12" i="17"/>
  <c r="G19" i="17" s="1"/>
  <c r="G29" i="17" s="1"/>
  <c r="R49" i="12"/>
  <c r="G27" i="14"/>
  <c r="G16" i="14"/>
  <c r="G12" i="14"/>
  <c r="G18" i="14" s="1"/>
  <c r="G55" i="11"/>
  <c r="G28" i="16" s="1"/>
  <c r="I68" i="11"/>
  <c r="AF86" i="12"/>
  <c r="AF85" i="12"/>
  <c r="AF84" i="12"/>
  <c r="B210" i="2"/>
  <c r="B70" i="2" s="1"/>
  <c r="C210" i="2"/>
  <c r="C70" i="2" s="1"/>
  <c r="D210" i="2"/>
  <c r="D70" i="2" s="1"/>
  <c r="E210" i="2"/>
  <c r="F210" i="2"/>
  <c r="F70" i="2" s="1"/>
  <c r="G43" i="2"/>
  <c r="G40" i="2"/>
  <c r="G39" i="2"/>
  <c r="G38" i="2"/>
  <c r="G20" i="2"/>
  <c r="G18" i="2"/>
  <c r="G8" i="2"/>
  <c r="C263" i="2"/>
  <c r="C72" i="2" s="1"/>
  <c r="D263" i="2"/>
  <c r="F263" i="2"/>
  <c r="F72" i="2" s="1"/>
  <c r="B231" i="2"/>
  <c r="B71" i="2" s="1"/>
  <c r="C231" i="2"/>
  <c r="D231" i="2"/>
  <c r="D71" i="2" s="1"/>
  <c r="E231" i="2"/>
  <c r="E71" i="2" s="1"/>
  <c r="F231" i="2"/>
  <c r="F71" i="2" s="1"/>
  <c r="C196" i="2"/>
  <c r="G59" i="2"/>
  <c r="G88" i="2" s="1"/>
  <c r="G61" i="2"/>
  <c r="G62" i="2"/>
  <c r="G64" i="2"/>
  <c r="G66" i="2"/>
  <c r="G92" i="2" s="1"/>
  <c r="G53" i="2"/>
  <c r="G83" i="2" s="1"/>
  <c r="G54" i="2"/>
  <c r="G84" i="2" s="1"/>
  <c r="G55" i="2"/>
  <c r="G56" i="2"/>
  <c r="G63" i="2"/>
  <c r="G60" i="2"/>
  <c r="L61" i="5"/>
  <c r="C23" i="5"/>
  <c r="D23" i="5"/>
  <c r="E23" i="5"/>
  <c r="F23" i="5"/>
  <c r="K23" i="5"/>
  <c r="B23" i="5"/>
  <c r="L22" i="5"/>
  <c r="L16" i="5"/>
  <c r="L15" i="5"/>
  <c r="C17" i="5"/>
  <c r="D17" i="5"/>
  <c r="E17" i="5"/>
  <c r="F17" i="5"/>
  <c r="B17" i="5"/>
  <c r="K17" i="5"/>
  <c r="D84" i="12"/>
  <c r="K18" i="7"/>
  <c r="L11" i="7"/>
  <c r="L12" i="7"/>
  <c r="F27" i="17"/>
  <c r="F17" i="17"/>
  <c r="F12" i="17"/>
  <c r="F19" i="17" s="1"/>
  <c r="F29" i="17" s="1"/>
  <c r="F27" i="14"/>
  <c r="F16" i="14"/>
  <c r="F12" i="14"/>
  <c r="F80" i="10"/>
  <c r="F70" i="10"/>
  <c r="F43" i="10"/>
  <c r="F56" i="10" s="1"/>
  <c r="F32" i="10"/>
  <c r="F18" i="10"/>
  <c r="F14" i="10"/>
  <c r="L9" i="7"/>
  <c r="E79" i="12" s="1"/>
  <c r="F18" i="7"/>
  <c r="F20" i="7"/>
  <c r="K56" i="6"/>
  <c r="C16" i="12"/>
  <c r="F76" i="6"/>
  <c r="F70" i="6"/>
  <c r="F56" i="6"/>
  <c r="F31" i="6"/>
  <c r="F13" i="6"/>
  <c r="F17" i="6" s="1"/>
  <c r="L77" i="5"/>
  <c r="L76" i="5"/>
  <c r="L58" i="5"/>
  <c r="L59" i="5"/>
  <c r="D90" i="12" s="1"/>
  <c r="L60" i="5"/>
  <c r="D87" i="12" s="1"/>
  <c r="D82" i="12"/>
  <c r="L63" i="5"/>
  <c r="L69" i="5"/>
  <c r="D55" i="11" s="1"/>
  <c r="D28" i="16" s="1"/>
  <c r="L70" i="5"/>
  <c r="L57" i="5"/>
  <c r="L41" i="5"/>
  <c r="L42" i="5"/>
  <c r="D49" i="11" s="1"/>
  <c r="L43" i="5"/>
  <c r="L44" i="5"/>
  <c r="L45" i="5"/>
  <c r="L46" i="5"/>
  <c r="D54" i="11" s="1"/>
  <c r="D27" i="16" s="1"/>
  <c r="L47" i="5"/>
  <c r="L48" i="5"/>
  <c r="L49" i="5"/>
  <c r="L50" i="5"/>
  <c r="D60" i="11" s="1"/>
  <c r="D31" i="16" s="1"/>
  <c r="L51" i="5"/>
  <c r="L52" i="5"/>
  <c r="L53" i="5"/>
  <c r="L30" i="5"/>
  <c r="L31" i="5"/>
  <c r="L32" i="5"/>
  <c r="D44" i="12" s="1"/>
  <c r="L33" i="5"/>
  <c r="L29" i="5"/>
  <c r="L21" i="5"/>
  <c r="L20" i="5"/>
  <c r="L9" i="5"/>
  <c r="L10" i="5"/>
  <c r="L14" i="5"/>
  <c r="L11" i="5"/>
  <c r="L12" i="5"/>
  <c r="L13" i="5"/>
  <c r="L8" i="5"/>
  <c r="K71" i="5"/>
  <c r="K54" i="5"/>
  <c r="G60" i="16"/>
  <c r="G50" i="16"/>
  <c r="G49" i="16"/>
  <c r="G47" i="16"/>
  <c r="G46" i="16"/>
  <c r="G45" i="16"/>
  <c r="G44" i="16"/>
  <c r="G42" i="16"/>
  <c r="G41" i="16"/>
  <c r="G40" i="16"/>
  <c r="G39" i="16"/>
  <c r="G35" i="16"/>
  <c r="G34" i="16"/>
  <c r="G33" i="16"/>
  <c r="G32" i="16"/>
  <c r="G29" i="16"/>
  <c r="G27" i="16"/>
  <c r="G26" i="16"/>
  <c r="G25" i="16"/>
  <c r="G24" i="16"/>
  <c r="G23" i="16"/>
  <c r="G22" i="16"/>
  <c r="G17" i="16"/>
  <c r="G16" i="16"/>
  <c r="G58" i="11"/>
  <c r="G30" i="16" s="1"/>
  <c r="G41" i="11"/>
  <c r="G25" i="11"/>
  <c r="G15" i="11"/>
  <c r="G27" i="11" s="1"/>
  <c r="L16" i="17"/>
  <c r="H79" i="12" s="1"/>
  <c r="H96" i="12" s="1"/>
  <c r="H32" i="15" s="1"/>
  <c r="G49" i="12"/>
  <c r="G30" i="15" s="1"/>
  <c r="G33" i="12"/>
  <c r="G24" i="15"/>
  <c r="G25" i="15" s="1"/>
  <c r="G9" i="16" s="1"/>
  <c r="G23" i="12"/>
  <c r="Q35" i="15"/>
  <c r="R96" i="12"/>
  <c r="Q32" i="15" s="1"/>
  <c r="R74" i="12"/>
  <c r="Q31" i="15" s="1"/>
  <c r="R33" i="12"/>
  <c r="Q24" i="15" s="1"/>
  <c r="Q25" i="15" s="1"/>
  <c r="R23" i="12"/>
  <c r="L11" i="17"/>
  <c r="L23" i="17"/>
  <c r="L24" i="17"/>
  <c r="L25" i="17"/>
  <c r="L26" i="17"/>
  <c r="L22" i="17"/>
  <c r="L10" i="17"/>
  <c r="H55" i="11" s="1"/>
  <c r="C17" i="17"/>
  <c r="D17" i="17"/>
  <c r="E17" i="17"/>
  <c r="K17" i="17"/>
  <c r="B17" i="17"/>
  <c r="K27" i="17"/>
  <c r="E27" i="17"/>
  <c r="D27" i="17"/>
  <c r="C27" i="17"/>
  <c r="B27" i="17"/>
  <c r="K12" i="17"/>
  <c r="E12" i="17"/>
  <c r="D12" i="17"/>
  <c r="C12" i="17"/>
  <c r="B12" i="17"/>
  <c r="G20" i="15"/>
  <c r="G21" i="15" s="1"/>
  <c r="Q20" i="15"/>
  <c r="Q21" i="15" s="1"/>
  <c r="T101" i="12"/>
  <c r="Z101" i="12" s="1"/>
  <c r="D60" i="16"/>
  <c r="E60" i="16"/>
  <c r="F60" i="16"/>
  <c r="C59" i="16"/>
  <c r="D59" i="16"/>
  <c r="F58" i="16"/>
  <c r="D57" i="16"/>
  <c r="E57" i="16"/>
  <c r="C50" i="16"/>
  <c r="D50" i="16"/>
  <c r="E50" i="16"/>
  <c r="F50" i="16"/>
  <c r="H50" i="16"/>
  <c r="E49" i="16"/>
  <c r="F49" i="16"/>
  <c r="H49" i="16"/>
  <c r="C42" i="16"/>
  <c r="D42" i="16"/>
  <c r="E47" i="16"/>
  <c r="B47" i="16"/>
  <c r="D46" i="16"/>
  <c r="E46" i="16"/>
  <c r="F46" i="16"/>
  <c r="H46" i="16"/>
  <c r="E45" i="16"/>
  <c r="H45" i="16"/>
  <c r="C44" i="16"/>
  <c r="E44" i="16"/>
  <c r="C41" i="16"/>
  <c r="D41" i="16"/>
  <c r="E41" i="16"/>
  <c r="H41" i="16"/>
  <c r="B41" i="16"/>
  <c r="C39" i="16"/>
  <c r="E39" i="16"/>
  <c r="H39" i="16"/>
  <c r="E35" i="16"/>
  <c r="C34" i="16"/>
  <c r="E34" i="16"/>
  <c r="C33" i="16"/>
  <c r="D33" i="16"/>
  <c r="E33" i="16"/>
  <c r="F33" i="16"/>
  <c r="H33" i="16"/>
  <c r="C32" i="16"/>
  <c r="D32" i="16"/>
  <c r="E32" i="16"/>
  <c r="F32" i="16"/>
  <c r="H32" i="16"/>
  <c r="E31" i="16"/>
  <c r="C30" i="16"/>
  <c r="E30" i="16"/>
  <c r="C29" i="16"/>
  <c r="E29" i="16"/>
  <c r="H29" i="16"/>
  <c r="E28" i="16"/>
  <c r="C27" i="16"/>
  <c r="E27" i="16"/>
  <c r="H27" i="16"/>
  <c r="C26" i="16"/>
  <c r="E26" i="16"/>
  <c r="F26" i="16"/>
  <c r="H26" i="16"/>
  <c r="C25" i="16"/>
  <c r="E25" i="16"/>
  <c r="E24" i="16"/>
  <c r="E22" i="16"/>
  <c r="C23" i="16"/>
  <c r="E23" i="16"/>
  <c r="C18" i="16"/>
  <c r="E18" i="16"/>
  <c r="C17" i="16"/>
  <c r="E17" i="16"/>
  <c r="C16" i="16"/>
  <c r="E16" i="16"/>
  <c r="H18" i="16"/>
  <c r="I62" i="16"/>
  <c r="I52" i="16"/>
  <c r="H48" i="16"/>
  <c r="I38" i="16"/>
  <c r="I37" i="16"/>
  <c r="S40" i="15"/>
  <c r="S36" i="15"/>
  <c r="Y36" i="15" s="1"/>
  <c r="I36" i="15"/>
  <c r="Y34" i="15"/>
  <c r="I29" i="15"/>
  <c r="I28" i="15"/>
  <c r="S26" i="15"/>
  <c r="Y26" i="15" s="1"/>
  <c r="I26" i="15"/>
  <c r="W26" i="15" s="1"/>
  <c r="S23" i="15"/>
  <c r="Y23" i="15" s="1"/>
  <c r="I23" i="15"/>
  <c r="S22" i="15"/>
  <c r="Y22" i="15" s="1"/>
  <c r="I22" i="15"/>
  <c r="H47" i="16"/>
  <c r="H44" i="16"/>
  <c r="H42" i="16"/>
  <c r="H35" i="16"/>
  <c r="H34" i="16"/>
  <c r="H58" i="11"/>
  <c r="H30" i="16" s="1"/>
  <c r="H25" i="16"/>
  <c r="H24" i="16"/>
  <c r="H23" i="16"/>
  <c r="H22" i="16"/>
  <c r="H41" i="11"/>
  <c r="H17" i="16"/>
  <c r="H16" i="16"/>
  <c r="H25" i="11"/>
  <c r="H15" i="11"/>
  <c r="B27" i="14"/>
  <c r="K27" i="14"/>
  <c r="E27" i="14"/>
  <c r="D27" i="14"/>
  <c r="C27" i="14"/>
  <c r="L25" i="14"/>
  <c r="G98" i="11" s="1"/>
  <c r="G58" i="16" s="1"/>
  <c r="L24" i="14"/>
  <c r="G100" i="11" s="1"/>
  <c r="G57" i="16" s="1"/>
  <c r="L22" i="14"/>
  <c r="L21" i="14"/>
  <c r="K16" i="14"/>
  <c r="E16" i="14"/>
  <c r="D16" i="14"/>
  <c r="C16" i="14"/>
  <c r="B16" i="14"/>
  <c r="L15" i="14"/>
  <c r="L16" i="14" s="1"/>
  <c r="L11" i="14"/>
  <c r="K12" i="14"/>
  <c r="E12" i="14"/>
  <c r="C12" i="14"/>
  <c r="C18" i="14" s="1"/>
  <c r="B12" i="14"/>
  <c r="R35" i="15"/>
  <c r="Q49" i="12"/>
  <c r="P30" i="15" s="1"/>
  <c r="Q33" i="12"/>
  <c r="P24" i="15" s="1"/>
  <c r="P25" i="15" s="1"/>
  <c r="Q23" i="12"/>
  <c r="H49" i="12"/>
  <c r="H30" i="15" s="1"/>
  <c r="G67" i="12"/>
  <c r="G108" i="12"/>
  <c r="H43" i="16"/>
  <c r="Q96" i="12"/>
  <c r="P32" i="15" s="1"/>
  <c r="L26" i="14"/>
  <c r="G107" i="12" s="1"/>
  <c r="D12" i="14"/>
  <c r="Z50" i="12"/>
  <c r="Z51" i="12"/>
  <c r="Z75" i="12"/>
  <c r="Z76" i="12"/>
  <c r="Z99" i="12"/>
  <c r="Z100" i="12"/>
  <c r="Z104" i="12"/>
  <c r="Z109" i="12"/>
  <c r="Z112" i="12"/>
  <c r="T103" i="12"/>
  <c r="Z103" i="12" s="1"/>
  <c r="D143" i="2"/>
  <c r="F143" i="2"/>
  <c r="F196" i="2" s="1"/>
  <c r="T85" i="12"/>
  <c r="Z85" i="12" s="1"/>
  <c r="F19" i="2"/>
  <c r="N19" i="2" s="1"/>
  <c r="B109" i="12"/>
  <c r="B112" i="12"/>
  <c r="L278" i="2"/>
  <c r="L73" i="2" s="1"/>
  <c r="M278" i="2"/>
  <c r="M73" i="2" s="1"/>
  <c r="I72" i="2"/>
  <c r="I75" i="2" s="1"/>
  <c r="J72" i="2"/>
  <c r="L263" i="2"/>
  <c r="L72" i="2" s="1"/>
  <c r="M263" i="2"/>
  <c r="M72" i="2" s="1"/>
  <c r="B28" i="16"/>
  <c r="B82" i="12"/>
  <c r="B74" i="11" s="1"/>
  <c r="F5" i="2"/>
  <c r="T78" i="12"/>
  <c r="Z78" i="12" s="1"/>
  <c r="T69" i="12"/>
  <c r="Z69" i="12" s="1"/>
  <c r="T86" i="12"/>
  <c r="Z86" i="12" s="1"/>
  <c r="F64" i="5"/>
  <c r="L64" i="5" s="1"/>
  <c r="F40" i="5"/>
  <c r="L40" i="5" s="1"/>
  <c r="F39" i="5"/>
  <c r="E78" i="5"/>
  <c r="E71" i="5"/>
  <c r="E39" i="5"/>
  <c r="E54" i="5" s="1"/>
  <c r="E36" i="5"/>
  <c r="C18" i="7"/>
  <c r="D18" i="7"/>
  <c r="E18" i="7"/>
  <c r="L17" i="7"/>
  <c r="E99" i="11" s="1"/>
  <c r="E59" i="16" s="1"/>
  <c r="K36" i="6"/>
  <c r="K38" i="6" s="1"/>
  <c r="C76" i="6"/>
  <c r="D76" i="6"/>
  <c r="E76" i="6"/>
  <c r="K76" i="6"/>
  <c r="B76" i="6"/>
  <c r="L74" i="6"/>
  <c r="L64" i="6"/>
  <c r="L65" i="6"/>
  <c r="C31" i="6"/>
  <c r="C36" i="6" s="1"/>
  <c r="L30" i="6"/>
  <c r="L29" i="6"/>
  <c r="L35" i="6"/>
  <c r="L21" i="6"/>
  <c r="L22" i="6"/>
  <c r="L23" i="6"/>
  <c r="L24" i="6"/>
  <c r="L26" i="6"/>
  <c r="L27" i="6"/>
  <c r="L32" i="6"/>
  <c r="L33" i="6"/>
  <c r="L34" i="6"/>
  <c r="L20" i="6"/>
  <c r="N33" i="12"/>
  <c r="M24" i="15" s="1"/>
  <c r="M25" i="15" s="1"/>
  <c r="E70" i="6"/>
  <c r="E56" i="6"/>
  <c r="E36" i="6"/>
  <c r="E17" i="6"/>
  <c r="S74" i="12"/>
  <c r="R31" i="15" s="1"/>
  <c r="T87" i="12"/>
  <c r="Z87" i="12" s="1"/>
  <c r="T115" i="12"/>
  <c r="Z115" i="12" s="1"/>
  <c r="I115" i="12"/>
  <c r="O114" i="12"/>
  <c r="N35" i="15" s="1"/>
  <c r="N114" i="12"/>
  <c r="M35" i="15" s="1"/>
  <c r="T108" i="12"/>
  <c r="Z108" i="12" s="1"/>
  <c r="T106" i="12"/>
  <c r="Z106" i="12" s="1"/>
  <c r="T105" i="12"/>
  <c r="Z105" i="12" s="1"/>
  <c r="T102" i="12"/>
  <c r="Z102" i="12" s="1"/>
  <c r="T97" i="12"/>
  <c r="Z97" i="12" s="1"/>
  <c r="I97" i="12"/>
  <c r="P96" i="12"/>
  <c r="O32" i="15" s="1"/>
  <c r="O96" i="12"/>
  <c r="N32" i="15" s="1"/>
  <c r="N96" i="12"/>
  <c r="M32" i="15" s="1"/>
  <c r="M96" i="12"/>
  <c r="L32" i="15" s="1"/>
  <c r="T95" i="12"/>
  <c r="Z95" i="12" s="1"/>
  <c r="T94" i="12"/>
  <c r="Z94" i="12" s="1"/>
  <c r="T93" i="12"/>
  <c r="Z93" i="12" s="1"/>
  <c r="T92" i="12"/>
  <c r="Z92" i="12" s="1"/>
  <c r="T91" i="12"/>
  <c r="Z91" i="12" s="1"/>
  <c r="T90" i="12"/>
  <c r="Z90" i="12" s="1"/>
  <c r="C90" i="12"/>
  <c r="T89" i="12"/>
  <c r="Z89" i="12" s="1"/>
  <c r="C89" i="12"/>
  <c r="T88" i="12"/>
  <c r="Z88" i="12" s="1"/>
  <c r="T84" i="12"/>
  <c r="Z84" i="12" s="1"/>
  <c r="T83" i="12"/>
  <c r="Z83" i="12" s="1"/>
  <c r="T82" i="12"/>
  <c r="T81" i="12"/>
  <c r="Z81" i="12" s="1"/>
  <c r="T80" i="12"/>
  <c r="Z80" i="12" s="1"/>
  <c r="T79" i="12"/>
  <c r="Z79" i="12" s="1"/>
  <c r="T77" i="12"/>
  <c r="Z77" i="12" s="1"/>
  <c r="P74" i="12"/>
  <c r="O31" i="15" s="1"/>
  <c r="N74" i="12"/>
  <c r="M31" i="15" s="1"/>
  <c r="AF73" i="12"/>
  <c r="T73" i="12"/>
  <c r="Z73" i="12" s="1"/>
  <c r="AF72" i="12"/>
  <c r="T72" i="12"/>
  <c r="Z72" i="12" s="1"/>
  <c r="T71" i="12"/>
  <c r="T70" i="12"/>
  <c r="Z70" i="12" s="1"/>
  <c r="T68" i="12"/>
  <c r="Z68" i="12" s="1"/>
  <c r="T67" i="12"/>
  <c r="Z67" i="12" s="1"/>
  <c r="T66" i="12"/>
  <c r="Z66" i="12" s="1"/>
  <c r="T65" i="12"/>
  <c r="Z65" i="12" s="1"/>
  <c r="T64" i="12"/>
  <c r="Z64" i="12" s="1"/>
  <c r="T63" i="12"/>
  <c r="Z63" i="12" s="1"/>
  <c r="T62" i="12"/>
  <c r="T61" i="12"/>
  <c r="Z61" i="12" s="1"/>
  <c r="T60" i="12"/>
  <c r="Z60" i="12" s="1"/>
  <c r="T57" i="12"/>
  <c r="Z57" i="12" s="1"/>
  <c r="T56" i="12"/>
  <c r="Z56" i="12" s="1"/>
  <c r="T55" i="12"/>
  <c r="T54" i="12"/>
  <c r="Z54" i="12" s="1"/>
  <c r="T53" i="12"/>
  <c r="Z53" i="12" s="1"/>
  <c r="O74" i="12"/>
  <c r="N31" i="15" s="1"/>
  <c r="L31" i="15"/>
  <c r="P49" i="12"/>
  <c r="O30" i="15" s="1"/>
  <c r="O49" i="12"/>
  <c r="N30" i="15" s="1"/>
  <c r="N49" i="12"/>
  <c r="M30" i="15" s="1"/>
  <c r="E49" i="12"/>
  <c r="C49" i="12"/>
  <c r="C30" i="15" s="1"/>
  <c r="T48" i="12"/>
  <c r="Z48" i="12" s="1"/>
  <c r="T47" i="12"/>
  <c r="Z47" i="12" s="1"/>
  <c r="T46" i="12"/>
  <c r="Z46" i="12" s="1"/>
  <c r="M49" i="12"/>
  <c r="L30" i="15" s="1"/>
  <c r="T45" i="12"/>
  <c r="Z45" i="12" s="1"/>
  <c r="T44" i="12"/>
  <c r="Z44" i="12" s="1"/>
  <c r="T43" i="12"/>
  <c r="Z43" i="12" s="1"/>
  <c r="T42" i="12"/>
  <c r="Z42" i="12" s="1"/>
  <c r="T41" i="12"/>
  <c r="Z41" i="12" s="1"/>
  <c r="S49" i="12"/>
  <c r="R30" i="15" s="1"/>
  <c r="T39" i="12"/>
  <c r="Z39" i="12" s="1"/>
  <c r="I39" i="12"/>
  <c r="T38" i="12"/>
  <c r="Z38" i="12" s="1"/>
  <c r="I38" i="12"/>
  <c r="I36" i="12"/>
  <c r="S33" i="12"/>
  <c r="R24" i="15" s="1"/>
  <c r="R25" i="15" s="1"/>
  <c r="P33" i="12"/>
  <c r="O24" i="15" s="1"/>
  <c r="O25" i="15" s="1"/>
  <c r="O33" i="12"/>
  <c r="N24" i="15" s="1"/>
  <c r="N25" i="15" s="1"/>
  <c r="E33" i="12"/>
  <c r="E24" i="15" s="1"/>
  <c r="E25" i="15" s="1"/>
  <c r="E9" i="16" s="1"/>
  <c r="H33" i="12"/>
  <c r="H24" i="15" s="1"/>
  <c r="H25" i="15" s="1"/>
  <c r="H9" i="16" s="1"/>
  <c r="Z30" i="12"/>
  <c r="C30" i="12"/>
  <c r="Z28" i="12"/>
  <c r="T24" i="12"/>
  <c r="Z24" i="12" s="1"/>
  <c r="I24" i="12"/>
  <c r="S23" i="12"/>
  <c r="R20" i="15" s="1"/>
  <c r="R21" i="15" s="1"/>
  <c r="P23" i="12"/>
  <c r="O23" i="12"/>
  <c r="N20" i="15" s="1"/>
  <c r="N21" i="15" s="1"/>
  <c r="E23" i="12"/>
  <c r="E20" i="15" s="1"/>
  <c r="E21" i="15" s="1"/>
  <c r="Z22" i="12"/>
  <c r="H23" i="12"/>
  <c r="H20" i="15" s="1"/>
  <c r="H21" i="15" s="1"/>
  <c r="Z21" i="12"/>
  <c r="Z20" i="12"/>
  <c r="C20" i="12"/>
  <c r="Z19" i="12"/>
  <c r="Z18" i="12"/>
  <c r="N23" i="12"/>
  <c r="M20" i="15" s="1"/>
  <c r="M21" i="15" s="1"/>
  <c r="Z17" i="12"/>
  <c r="L35" i="15"/>
  <c r="S96" i="12"/>
  <c r="R32" i="15" s="1"/>
  <c r="M33" i="12"/>
  <c r="Z26" i="12"/>
  <c r="M23" i="12"/>
  <c r="T58" i="12"/>
  <c r="Z58" i="12" s="1"/>
  <c r="Z27" i="12"/>
  <c r="T52" i="12"/>
  <c r="Z52" i="12" s="1"/>
  <c r="Z32" i="12"/>
  <c r="AF94" i="12"/>
  <c r="I107" i="11"/>
  <c r="I89" i="11"/>
  <c r="D49" i="16"/>
  <c r="C49" i="16"/>
  <c r="C82" i="11"/>
  <c r="C47" i="16" s="1"/>
  <c r="C81" i="11"/>
  <c r="C46" i="16" s="1"/>
  <c r="I67" i="11"/>
  <c r="E66" i="11"/>
  <c r="F63" i="11"/>
  <c r="F34" i="16" s="1"/>
  <c r="F58" i="11"/>
  <c r="F30" i="16" s="1"/>
  <c r="E41" i="11"/>
  <c r="C41" i="11"/>
  <c r="E25" i="11"/>
  <c r="E15" i="11"/>
  <c r="C12" i="11"/>
  <c r="K56" i="10"/>
  <c r="L76" i="10"/>
  <c r="L77" i="10"/>
  <c r="F108" i="12" s="1"/>
  <c r="L78" i="10"/>
  <c r="L79" i="10"/>
  <c r="L75" i="10"/>
  <c r="F101" i="12" s="1"/>
  <c r="L60" i="10"/>
  <c r="F79" i="12" s="1"/>
  <c r="L61" i="10"/>
  <c r="F72" i="11" s="1"/>
  <c r="F41" i="16" s="1"/>
  <c r="L62" i="10"/>
  <c r="F90" i="12" s="1"/>
  <c r="L63" i="10"/>
  <c r="F79" i="11" s="1"/>
  <c r="L64" i="10"/>
  <c r="F48" i="16" s="1"/>
  <c r="L65" i="10"/>
  <c r="L66" i="10"/>
  <c r="F74" i="11" s="1"/>
  <c r="L67" i="10"/>
  <c r="L68" i="10"/>
  <c r="L69" i="10"/>
  <c r="F88" i="12" s="1"/>
  <c r="L59" i="10"/>
  <c r="L55" i="10"/>
  <c r="F73" i="12" s="1"/>
  <c r="L36" i="10"/>
  <c r="L37" i="10"/>
  <c r="F53" i="12" s="1"/>
  <c r="L38" i="10"/>
  <c r="L39" i="10"/>
  <c r="F56" i="12" s="1"/>
  <c r="L40" i="10"/>
  <c r="F49" i="11" s="1"/>
  <c r="L42" i="10"/>
  <c r="L44" i="10"/>
  <c r="F60" i="12" s="1"/>
  <c r="L45" i="10"/>
  <c r="L46" i="10"/>
  <c r="F62" i="12" s="1"/>
  <c r="L47" i="10"/>
  <c r="F69" i="12" s="1"/>
  <c r="L48" i="10"/>
  <c r="L49" i="10"/>
  <c r="F64" i="12" s="1"/>
  <c r="L50" i="10"/>
  <c r="L51" i="10"/>
  <c r="L52" i="10"/>
  <c r="F60" i="11" s="1"/>
  <c r="F31" i="16" s="1"/>
  <c r="L53" i="10"/>
  <c r="F62" i="11" s="1"/>
  <c r="L54" i="10"/>
  <c r="F64" i="11" s="1"/>
  <c r="L35" i="10"/>
  <c r="F52" i="12" s="1"/>
  <c r="L25" i="10"/>
  <c r="F42" i="12" s="1"/>
  <c r="L26" i="10"/>
  <c r="F43" i="12" s="1"/>
  <c r="L27" i="10"/>
  <c r="F44" i="12" s="1"/>
  <c r="L28" i="10"/>
  <c r="L29" i="10"/>
  <c r="L30" i="10"/>
  <c r="L31" i="10"/>
  <c r="L24" i="10"/>
  <c r="L17" i="10"/>
  <c r="L18" i="10" s="1"/>
  <c r="F32" i="12" s="1"/>
  <c r="F33" i="12" s="1"/>
  <c r="F24" i="15" s="1"/>
  <c r="F25" i="15" s="1"/>
  <c r="F9" i="16" s="1"/>
  <c r="L9" i="10"/>
  <c r="L11" i="10"/>
  <c r="L12" i="10"/>
  <c r="L13" i="10"/>
  <c r="L8" i="10"/>
  <c r="K80" i="10"/>
  <c r="K32" i="10"/>
  <c r="K18" i="10"/>
  <c r="K14" i="10"/>
  <c r="F100" i="11"/>
  <c r="F57" i="16" s="1"/>
  <c r="T37" i="12"/>
  <c r="Z37" i="12" s="1"/>
  <c r="AF92" i="12"/>
  <c r="AF89" i="12"/>
  <c r="E43" i="10"/>
  <c r="E10" i="10"/>
  <c r="L10" i="10"/>
  <c r="D43" i="10"/>
  <c r="D41" i="10"/>
  <c r="C43" i="10"/>
  <c r="C56" i="10" s="1"/>
  <c r="B43" i="10"/>
  <c r="B32" i="10"/>
  <c r="E80" i="10"/>
  <c r="D80" i="10"/>
  <c r="C80" i="10"/>
  <c r="B80" i="10"/>
  <c r="E70" i="10"/>
  <c r="D70" i="10"/>
  <c r="C70" i="10"/>
  <c r="B70" i="10"/>
  <c r="E56" i="10"/>
  <c r="E32" i="10"/>
  <c r="D32" i="10"/>
  <c r="C32" i="10"/>
  <c r="L23" i="10"/>
  <c r="E18" i="10"/>
  <c r="D18" i="10"/>
  <c r="C18" i="10"/>
  <c r="B18" i="10"/>
  <c r="E14" i="10"/>
  <c r="E20" i="10" s="1"/>
  <c r="D14" i="10"/>
  <c r="C14" i="10"/>
  <c r="C20" i="10" s="1"/>
  <c r="B14" i="10"/>
  <c r="B20" i="10" s="1"/>
  <c r="L16" i="7"/>
  <c r="E106" i="12" s="1"/>
  <c r="D20" i="7"/>
  <c r="L10" i="7"/>
  <c r="L75" i="6"/>
  <c r="C28" i="16"/>
  <c r="L61" i="6"/>
  <c r="C65" i="11" s="1"/>
  <c r="C70" i="6"/>
  <c r="D70" i="6"/>
  <c r="B70" i="6"/>
  <c r="L60" i="6"/>
  <c r="C80" i="11" s="1"/>
  <c r="L73" i="6"/>
  <c r="L16" i="6"/>
  <c r="L59" i="6"/>
  <c r="L55" i="6"/>
  <c r="L52" i="6"/>
  <c r="D56" i="6"/>
  <c r="C56" i="6"/>
  <c r="B56" i="6"/>
  <c r="D36" i="6"/>
  <c r="B36" i="6"/>
  <c r="L19" i="6"/>
  <c r="D17" i="6"/>
  <c r="D38" i="6" s="1"/>
  <c r="C17" i="6"/>
  <c r="B17" i="6"/>
  <c r="B38" i="6" s="1"/>
  <c r="L14" i="6"/>
  <c r="L13" i="6"/>
  <c r="L10" i="6"/>
  <c r="L9" i="6"/>
  <c r="D39" i="5"/>
  <c r="D54" i="5" s="1"/>
  <c r="C39" i="5"/>
  <c r="C54" i="5" s="1"/>
  <c r="B39" i="5"/>
  <c r="B54" i="5" s="1"/>
  <c r="C71" i="5"/>
  <c r="D71" i="5"/>
  <c r="B71" i="5"/>
  <c r="C78" i="5"/>
  <c r="D78" i="5"/>
  <c r="F78" i="5"/>
  <c r="B78" i="5"/>
  <c r="C36" i="5"/>
  <c r="D36" i="5"/>
  <c r="F36" i="5"/>
  <c r="D25" i="5"/>
  <c r="L19" i="5"/>
  <c r="L28" i="5"/>
  <c r="B5" i="2"/>
  <c r="B6" i="2"/>
  <c r="B7" i="2"/>
  <c r="B8" i="2"/>
  <c r="B9" i="2"/>
  <c r="B14" i="2"/>
  <c r="B15" i="2"/>
  <c r="B16" i="2"/>
  <c r="B17" i="2"/>
  <c r="B18" i="2"/>
  <c r="N18" i="2" s="1"/>
  <c r="B22" i="2"/>
  <c r="B23" i="2"/>
  <c r="B24" i="2"/>
  <c r="B25" i="2"/>
  <c r="B27" i="2"/>
  <c r="B28" i="2"/>
  <c r="B29" i="2"/>
  <c r="B32" i="2"/>
  <c r="B33" i="2"/>
  <c r="B38" i="2"/>
  <c r="B39" i="2"/>
  <c r="B40" i="2"/>
  <c r="B43" i="2"/>
  <c r="B53" i="2"/>
  <c r="B54" i="2"/>
  <c r="B84" i="2" s="1"/>
  <c r="B55" i="2"/>
  <c r="B56" i="2"/>
  <c r="B59" i="2"/>
  <c r="B88" i="2" s="1"/>
  <c r="B60" i="2"/>
  <c r="B61" i="2"/>
  <c r="B62" i="2"/>
  <c r="B63" i="2"/>
  <c r="B64" i="2"/>
  <c r="B66" i="2"/>
  <c r="B92" i="2" s="1"/>
  <c r="B74" i="2"/>
  <c r="B89" i="2"/>
  <c r="B90" i="2"/>
  <c r="B91" i="2"/>
  <c r="B127" i="2"/>
  <c r="B197" i="2" s="1"/>
  <c r="B72" i="2"/>
  <c r="B73" i="2"/>
  <c r="C5" i="2"/>
  <c r="N5" i="2" s="1"/>
  <c r="C6" i="2"/>
  <c r="C7" i="2"/>
  <c r="C8" i="2"/>
  <c r="N8" i="2" s="1"/>
  <c r="C9" i="2"/>
  <c r="C14" i="2"/>
  <c r="C15" i="2"/>
  <c r="C16" i="2"/>
  <c r="C17" i="2"/>
  <c r="C18" i="2"/>
  <c r="C22" i="2"/>
  <c r="C23" i="2"/>
  <c r="C24" i="2"/>
  <c r="C25" i="2"/>
  <c r="C27" i="2"/>
  <c r="C28" i="2"/>
  <c r="C29" i="2"/>
  <c r="C32" i="2"/>
  <c r="C33" i="2"/>
  <c r="C38" i="2"/>
  <c r="C39" i="2"/>
  <c r="C40" i="2"/>
  <c r="C43" i="2"/>
  <c r="C46" i="2"/>
  <c r="C53" i="2"/>
  <c r="C54" i="2"/>
  <c r="C84" i="2" s="1"/>
  <c r="C55" i="2"/>
  <c r="C56" i="2"/>
  <c r="C59" i="2"/>
  <c r="C60" i="2"/>
  <c r="C61" i="2"/>
  <c r="C62" i="2"/>
  <c r="C63" i="2"/>
  <c r="C64" i="2"/>
  <c r="C66" i="2"/>
  <c r="C92" i="2" s="1"/>
  <c r="C74" i="2"/>
  <c r="C89" i="2"/>
  <c r="C90" i="2"/>
  <c r="C91" i="2"/>
  <c r="C127" i="2"/>
  <c r="C71" i="2"/>
  <c r="C73" i="2"/>
  <c r="P281" i="2"/>
  <c r="Q281" i="2" s="1"/>
  <c r="P279" i="2"/>
  <c r="Q279" i="2" s="1"/>
  <c r="J73" i="2"/>
  <c r="G73" i="2"/>
  <c r="F73" i="2"/>
  <c r="D73" i="2"/>
  <c r="P272" i="2"/>
  <c r="Q272" i="2" s="1"/>
  <c r="P271" i="2"/>
  <c r="Q271" i="2" s="1"/>
  <c r="B105" i="12"/>
  <c r="B97" i="11" s="1"/>
  <c r="P265" i="2"/>
  <c r="Q265" i="2" s="1"/>
  <c r="P264" i="2"/>
  <c r="Q264" i="2" s="1"/>
  <c r="G72" i="2"/>
  <c r="D72" i="2"/>
  <c r="P251" i="2"/>
  <c r="Q251" i="2" s="1"/>
  <c r="B93" i="12"/>
  <c r="P247" i="2"/>
  <c r="Q247" i="2" s="1"/>
  <c r="P246" i="2"/>
  <c r="Q246" i="2" s="1"/>
  <c r="I68" i="12"/>
  <c r="E244" i="2"/>
  <c r="N244" i="2" s="1"/>
  <c r="B91" i="12"/>
  <c r="B83" i="11" s="1"/>
  <c r="P241" i="2"/>
  <c r="Q241" i="2" s="1"/>
  <c r="P240" i="2"/>
  <c r="Q240" i="2" s="1"/>
  <c r="P239" i="2"/>
  <c r="Q239" i="2" s="1"/>
  <c r="B81" i="12"/>
  <c r="B73" i="11" s="1"/>
  <c r="P237" i="2"/>
  <c r="Q237" i="2" s="1"/>
  <c r="P236" i="2"/>
  <c r="Q236" i="2" s="1"/>
  <c r="B77" i="12"/>
  <c r="B69" i="11" s="1"/>
  <c r="N233" i="2"/>
  <c r="N263" i="2" s="1"/>
  <c r="P232" i="2"/>
  <c r="Q232" i="2" s="1"/>
  <c r="M231" i="2"/>
  <c r="M71" i="2" s="1"/>
  <c r="L231" i="2"/>
  <c r="L71" i="2" s="1"/>
  <c r="J71" i="2"/>
  <c r="P228" i="2"/>
  <c r="Q228" i="2" s="1"/>
  <c r="P227" i="2"/>
  <c r="Q227" i="2" s="1"/>
  <c r="B32" i="16"/>
  <c r="P223" i="2"/>
  <c r="Q223" i="2" s="1"/>
  <c r="P221" i="2"/>
  <c r="Q221" i="2" s="1"/>
  <c r="P220" i="2"/>
  <c r="Q220" i="2" s="1"/>
  <c r="P219" i="2"/>
  <c r="Q219" i="2" s="1"/>
  <c r="P215" i="2"/>
  <c r="Q215" i="2" s="1"/>
  <c r="N212" i="2"/>
  <c r="B52" i="12" s="1"/>
  <c r="B44" i="11" s="1"/>
  <c r="P211" i="2"/>
  <c r="Q211" i="2" s="1"/>
  <c r="M210" i="2"/>
  <c r="M70" i="2" s="1"/>
  <c r="L210" i="2"/>
  <c r="L70" i="2" s="1"/>
  <c r="J70" i="2"/>
  <c r="N70" i="2" s="1"/>
  <c r="G70" i="2"/>
  <c r="E70" i="2"/>
  <c r="P208" i="2"/>
  <c r="Q208" i="2" s="1"/>
  <c r="P207" i="2"/>
  <c r="Q207" i="2" s="1"/>
  <c r="P206" i="2"/>
  <c r="Q206" i="2" s="1"/>
  <c r="P200" i="2"/>
  <c r="Q200" i="2" s="1"/>
  <c r="N199" i="2"/>
  <c r="P198" i="2"/>
  <c r="Q198" i="2" s="1"/>
  <c r="M196" i="2"/>
  <c r="L196" i="2"/>
  <c r="E187" i="2"/>
  <c r="P186" i="2"/>
  <c r="Q186" i="2" s="1"/>
  <c r="P185" i="2"/>
  <c r="Q185" i="2" s="1"/>
  <c r="P184" i="2"/>
  <c r="Q184" i="2" s="1"/>
  <c r="P183" i="2"/>
  <c r="Q183" i="2" s="1"/>
  <c r="P181" i="2"/>
  <c r="Q181" i="2" s="1"/>
  <c r="P180" i="2"/>
  <c r="Q180" i="2" s="1"/>
  <c r="N179" i="2"/>
  <c r="P179" i="2" s="1"/>
  <c r="Q179" i="2" s="1"/>
  <c r="N178" i="2"/>
  <c r="P178" i="2" s="1"/>
  <c r="Q178" i="2" s="1"/>
  <c r="P177" i="2"/>
  <c r="Q177" i="2" s="1"/>
  <c r="P176" i="2"/>
  <c r="Q176" i="2" s="1"/>
  <c r="P175" i="2"/>
  <c r="Q175" i="2" s="1"/>
  <c r="P174" i="2"/>
  <c r="Q174" i="2" s="1"/>
  <c r="P173" i="2"/>
  <c r="Q173" i="2" s="1"/>
  <c r="E172" i="2"/>
  <c r="N172" i="2" s="1"/>
  <c r="B29" i="12" s="1"/>
  <c r="B21" i="11" s="1"/>
  <c r="P171" i="2"/>
  <c r="Q171" i="2" s="1"/>
  <c r="P170" i="2"/>
  <c r="Q170" i="2" s="1"/>
  <c r="P169" i="2"/>
  <c r="Q169" i="2" s="1"/>
  <c r="P167" i="2"/>
  <c r="Q167" i="2" s="1"/>
  <c r="P165" i="2"/>
  <c r="Q165" i="2" s="1"/>
  <c r="P164" i="2"/>
  <c r="Q164" i="2" s="1"/>
  <c r="P163" i="2"/>
  <c r="Q163" i="2" s="1"/>
  <c r="P162" i="2"/>
  <c r="Q162" i="2" s="1"/>
  <c r="P161" i="2"/>
  <c r="Q161" i="2" s="1"/>
  <c r="P160" i="2"/>
  <c r="Q160" i="2" s="1"/>
  <c r="P159" i="2"/>
  <c r="Q159" i="2" s="1"/>
  <c r="P158" i="2"/>
  <c r="Q158" i="2" s="1"/>
  <c r="P157" i="2"/>
  <c r="Q157" i="2" s="1"/>
  <c r="P156" i="2"/>
  <c r="Q156" i="2" s="1"/>
  <c r="P155" i="2"/>
  <c r="Q155" i="2" s="1"/>
  <c r="P153" i="2"/>
  <c r="Q153" i="2" s="1"/>
  <c r="P152" i="2"/>
  <c r="Q152" i="2" s="1"/>
  <c r="P151" i="2"/>
  <c r="Q151" i="2" s="1"/>
  <c r="P150" i="2"/>
  <c r="Q150" i="2" s="1"/>
  <c r="P149" i="2"/>
  <c r="Q149" i="2" s="1"/>
  <c r="P148" i="2"/>
  <c r="Q148" i="2" s="1"/>
  <c r="P147" i="2"/>
  <c r="Q147" i="2" s="1"/>
  <c r="P146" i="2"/>
  <c r="Q146" i="2" s="1"/>
  <c r="P145" i="2"/>
  <c r="Q145" i="2" s="1"/>
  <c r="P141" i="2"/>
  <c r="Q141" i="2" s="1"/>
  <c r="P140" i="2"/>
  <c r="Q140" i="2" s="1"/>
  <c r="N129" i="2"/>
  <c r="P128" i="2"/>
  <c r="Q128" i="2" s="1"/>
  <c r="M127" i="2"/>
  <c r="M197" i="2" s="1"/>
  <c r="L127" i="2"/>
  <c r="J197" i="2"/>
  <c r="G197" i="2"/>
  <c r="F127" i="2"/>
  <c r="E127" i="2"/>
  <c r="D127" i="2"/>
  <c r="P122" i="2"/>
  <c r="Q122" i="2" s="1"/>
  <c r="P121" i="2"/>
  <c r="Q121" i="2" s="1"/>
  <c r="P120" i="2"/>
  <c r="Q120" i="2" s="1"/>
  <c r="P119" i="2"/>
  <c r="Q119" i="2" s="1"/>
  <c r="P118" i="2"/>
  <c r="Q118" i="2" s="1"/>
  <c r="P115" i="2"/>
  <c r="Q115" i="2" s="1"/>
  <c r="P114" i="2"/>
  <c r="Q114" i="2" s="1"/>
  <c r="P113" i="2"/>
  <c r="Q113" i="2" s="1"/>
  <c r="P111" i="2"/>
  <c r="Q111" i="2" s="1"/>
  <c r="P110" i="2"/>
  <c r="Q110" i="2" s="1"/>
  <c r="P109" i="2"/>
  <c r="Q109" i="2" s="1"/>
  <c r="P106" i="2"/>
  <c r="Q106" i="2" s="1"/>
  <c r="P105" i="2"/>
  <c r="Q105" i="2" s="1"/>
  <c r="P103" i="2"/>
  <c r="Q103" i="2" s="1"/>
  <c r="P102" i="2"/>
  <c r="Q102" i="2" s="1"/>
  <c r="P101" i="2"/>
  <c r="Q101" i="2" s="1"/>
  <c r="P100" i="2"/>
  <c r="Q100" i="2" s="1"/>
  <c r="P99" i="2"/>
  <c r="Q99" i="2" s="1"/>
  <c r="N98" i="2"/>
  <c r="P98" i="2" s="1"/>
  <c r="Q98" i="2" s="1"/>
  <c r="P97" i="2"/>
  <c r="Q97" i="2" s="1"/>
  <c r="P96" i="2"/>
  <c r="Q96" i="2" s="1"/>
  <c r="P95" i="2"/>
  <c r="Q95" i="2" s="1"/>
  <c r="F92" i="2"/>
  <c r="M91" i="2"/>
  <c r="L91" i="2"/>
  <c r="K91" i="2"/>
  <c r="J91" i="2"/>
  <c r="G91" i="2"/>
  <c r="F91" i="2"/>
  <c r="E91" i="2"/>
  <c r="D91" i="2"/>
  <c r="L90" i="2"/>
  <c r="K90" i="2"/>
  <c r="J90" i="2"/>
  <c r="G90" i="2"/>
  <c r="F90" i="2"/>
  <c r="E90" i="2"/>
  <c r="D90" i="2"/>
  <c r="G89" i="2"/>
  <c r="F89" i="2"/>
  <c r="E89" i="2"/>
  <c r="D89" i="2"/>
  <c r="F88" i="2"/>
  <c r="P87" i="2"/>
  <c r="Q87" i="2" s="1"/>
  <c r="P86" i="2"/>
  <c r="Q86" i="2" s="1"/>
  <c r="F84" i="2"/>
  <c r="F83" i="2"/>
  <c r="P82" i="2"/>
  <c r="Q82" i="2" s="1"/>
  <c r="P81" i="2"/>
  <c r="Q81" i="2" s="1"/>
  <c r="P80" i="2"/>
  <c r="Q80" i="2" s="1"/>
  <c r="P78" i="2"/>
  <c r="Q78" i="2" s="1"/>
  <c r="P77" i="2"/>
  <c r="Q77" i="2" s="1"/>
  <c r="M74" i="2"/>
  <c r="L74" i="2"/>
  <c r="J74" i="2"/>
  <c r="G74" i="2"/>
  <c r="F74" i="2"/>
  <c r="E74" i="2"/>
  <c r="D74" i="2"/>
  <c r="E73" i="2"/>
  <c r="G71" i="2"/>
  <c r="P69" i="2"/>
  <c r="Q69" i="2" s="1"/>
  <c r="M66" i="2"/>
  <c r="M92" i="2" s="1"/>
  <c r="L66" i="2"/>
  <c r="L92" i="2" s="1"/>
  <c r="J66" i="2"/>
  <c r="F66" i="2"/>
  <c r="E66" i="2"/>
  <c r="E92" i="2" s="1"/>
  <c r="D66" i="2"/>
  <c r="D92" i="2" s="1"/>
  <c r="P65" i="2"/>
  <c r="Q65" i="2" s="1"/>
  <c r="M64" i="2"/>
  <c r="L64" i="2"/>
  <c r="J64" i="2"/>
  <c r="F64" i="2"/>
  <c r="E64" i="2"/>
  <c r="D64" i="2"/>
  <c r="M63" i="2"/>
  <c r="L63" i="2"/>
  <c r="J63" i="2"/>
  <c r="F63" i="2"/>
  <c r="D63" i="2"/>
  <c r="M62" i="2"/>
  <c r="L62" i="2"/>
  <c r="J62" i="2"/>
  <c r="F62" i="2"/>
  <c r="E62" i="2"/>
  <c r="D62" i="2"/>
  <c r="M61" i="2"/>
  <c r="L61" i="2"/>
  <c r="J61" i="2"/>
  <c r="E61" i="2"/>
  <c r="M60" i="2"/>
  <c r="L60" i="2"/>
  <c r="L89" i="2" s="1"/>
  <c r="J89" i="2"/>
  <c r="F60" i="2"/>
  <c r="E60" i="2"/>
  <c r="D60" i="2"/>
  <c r="N60" i="2" s="1"/>
  <c r="M59" i="2"/>
  <c r="L59" i="2"/>
  <c r="L88" i="2" s="1"/>
  <c r="J59" i="2"/>
  <c r="J88" i="2" s="1"/>
  <c r="F59" i="2"/>
  <c r="E59" i="2"/>
  <c r="E88" i="2" s="1"/>
  <c r="D59" i="2"/>
  <c r="D88" i="2" s="1"/>
  <c r="P58" i="2"/>
  <c r="Q58" i="2" s="1"/>
  <c r="M56" i="2"/>
  <c r="L56" i="2"/>
  <c r="J56" i="2"/>
  <c r="F56" i="2"/>
  <c r="E56" i="2"/>
  <c r="D56" i="2"/>
  <c r="M55" i="2"/>
  <c r="L55" i="2"/>
  <c r="J55" i="2"/>
  <c r="F55" i="2"/>
  <c r="E55" i="2"/>
  <c r="D55" i="2"/>
  <c r="M54" i="2"/>
  <c r="M84" i="2" s="1"/>
  <c r="L54" i="2"/>
  <c r="L84" i="2" s="1"/>
  <c r="J54" i="2"/>
  <c r="I85" i="2"/>
  <c r="F54" i="2"/>
  <c r="E54" i="2"/>
  <c r="E84" i="2" s="1"/>
  <c r="D54" i="2"/>
  <c r="D84" i="2" s="1"/>
  <c r="M53" i="2"/>
  <c r="M83" i="2" s="1"/>
  <c r="L53" i="2"/>
  <c r="L83" i="2" s="1"/>
  <c r="K83" i="2"/>
  <c r="J53" i="2"/>
  <c r="F53" i="2"/>
  <c r="E53" i="2"/>
  <c r="D53" i="2"/>
  <c r="D83" i="2" s="1"/>
  <c r="P52" i="2"/>
  <c r="Q52" i="2" s="1"/>
  <c r="P51" i="2"/>
  <c r="Q51" i="2" s="1"/>
  <c r="P50" i="2"/>
  <c r="Q50" i="2" s="1"/>
  <c r="P49" i="2"/>
  <c r="Q49" i="2" s="1"/>
  <c r="M47" i="2"/>
  <c r="L47" i="2"/>
  <c r="K47" i="2"/>
  <c r="F47" i="2"/>
  <c r="P44" i="2"/>
  <c r="Q44" i="2" s="1"/>
  <c r="E43" i="2"/>
  <c r="D43" i="2"/>
  <c r="E40" i="2"/>
  <c r="D40" i="2"/>
  <c r="E39" i="2"/>
  <c r="D39" i="2"/>
  <c r="E38" i="2"/>
  <c r="D38" i="2"/>
  <c r="P37" i="2"/>
  <c r="Q37" i="2" s="1"/>
  <c r="M33" i="2"/>
  <c r="L33" i="2"/>
  <c r="G33" i="2"/>
  <c r="F33" i="2"/>
  <c r="E33" i="2"/>
  <c r="D33" i="2"/>
  <c r="M32" i="2"/>
  <c r="L32" i="2"/>
  <c r="G32" i="2"/>
  <c r="F32" i="2"/>
  <c r="E32" i="2"/>
  <c r="D32" i="2"/>
  <c r="P31" i="2"/>
  <c r="Q31" i="2" s="1"/>
  <c r="M30" i="2"/>
  <c r="L30" i="2"/>
  <c r="F30" i="2"/>
  <c r="N30" i="2" s="1"/>
  <c r="M29" i="2"/>
  <c r="L29" i="2"/>
  <c r="G29" i="2"/>
  <c r="F29" i="2"/>
  <c r="E29" i="2"/>
  <c r="D29" i="2"/>
  <c r="M28" i="2"/>
  <c r="L28" i="2"/>
  <c r="G28" i="2"/>
  <c r="F28" i="2"/>
  <c r="E28" i="2"/>
  <c r="D28" i="2"/>
  <c r="M27" i="2"/>
  <c r="L27" i="2"/>
  <c r="G27" i="2"/>
  <c r="F27" i="2"/>
  <c r="E27" i="2"/>
  <c r="D27" i="2"/>
  <c r="P26" i="2"/>
  <c r="Q26" i="2" s="1"/>
  <c r="M25" i="2"/>
  <c r="L25" i="2"/>
  <c r="G25" i="2"/>
  <c r="F25" i="2"/>
  <c r="E25" i="2"/>
  <c r="D25" i="2"/>
  <c r="N25" i="2" s="1"/>
  <c r="M24" i="2"/>
  <c r="L24" i="2"/>
  <c r="G24" i="2"/>
  <c r="F24" i="2"/>
  <c r="E24" i="2"/>
  <c r="D24" i="2"/>
  <c r="M23" i="2"/>
  <c r="L23" i="2"/>
  <c r="G23" i="2"/>
  <c r="F23" i="2"/>
  <c r="E23" i="2"/>
  <c r="D23" i="2"/>
  <c r="N23" i="2" s="1"/>
  <c r="M22" i="2"/>
  <c r="L22" i="2"/>
  <c r="G22" i="2"/>
  <c r="F22" i="2"/>
  <c r="E22" i="2"/>
  <c r="D22" i="2"/>
  <c r="P21" i="2"/>
  <c r="Q21" i="2" s="1"/>
  <c r="M20" i="2"/>
  <c r="L20" i="2"/>
  <c r="F20" i="2"/>
  <c r="E20" i="2"/>
  <c r="M18" i="2"/>
  <c r="L18" i="2"/>
  <c r="F18" i="2"/>
  <c r="E18" i="2"/>
  <c r="D18" i="2"/>
  <c r="M17" i="2"/>
  <c r="L17" i="2"/>
  <c r="G17" i="2"/>
  <c r="F17" i="2"/>
  <c r="E17" i="2"/>
  <c r="D17" i="2"/>
  <c r="M16" i="2"/>
  <c r="L16" i="2"/>
  <c r="G16" i="2"/>
  <c r="F16" i="2"/>
  <c r="E16" i="2"/>
  <c r="D16" i="2"/>
  <c r="M15" i="2"/>
  <c r="L15" i="2"/>
  <c r="G15" i="2"/>
  <c r="F15" i="2"/>
  <c r="E15" i="2"/>
  <c r="D15" i="2"/>
  <c r="M14" i="2"/>
  <c r="L14" i="2"/>
  <c r="G14" i="2"/>
  <c r="F14" i="2"/>
  <c r="E14" i="2"/>
  <c r="D14" i="2"/>
  <c r="P13" i="2"/>
  <c r="Q13" i="2" s="1"/>
  <c r="P12" i="2"/>
  <c r="Q12" i="2" s="1"/>
  <c r="M10" i="2"/>
  <c r="L10" i="2"/>
  <c r="G10" i="2"/>
  <c r="F10" i="2"/>
  <c r="E10" i="2"/>
  <c r="N10" i="2" s="1"/>
  <c r="M9" i="2"/>
  <c r="L9" i="2"/>
  <c r="G9" i="2"/>
  <c r="F9" i="2"/>
  <c r="E9" i="2"/>
  <c r="D9" i="2"/>
  <c r="M8" i="2"/>
  <c r="L8" i="2"/>
  <c r="F8" i="2"/>
  <c r="E8" i="2"/>
  <c r="D8" i="2"/>
  <c r="M7" i="2"/>
  <c r="L7" i="2"/>
  <c r="G7" i="2"/>
  <c r="F7" i="2"/>
  <c r="E7" i="2"/>
  <c r="D7" i="2"/>
  <c r="M6" i="2"/>
  <c r="L6" i="2"/>
  <c r="G6" i="2"/>
  <c r="F6" i="2"/>
  <c r="E6" i="2"/>
  <c r="D6" i="2"/>
  <c r="N6" i="2" s="1"/>
  <c r="M5" i="2"/>
  <c r="L5" i="2"/>
  <c r="G5" i="2"/>
  <c r="E5" i="2"/>
  <c r="D5" i="2"/>
  <c r="E263" i="2"/>
  <c r="E72" i="2" s="1"/>
  <c r="P172" i="2"/>
  <c r="Q172" i="2" s="1"/>
  <c r="K197" i="2"/>
  <c r="P266" i="2"/>
  <c r="Q266" i="2" s="1"/>
  <c r="B101" i="12"/>
  <c r="B93" i="11" s="1"/>
  <c r="B56" i="16" s="1"/>
  <c r="B25" i="5"/>
  <c r="I57" i="2"/>
  <c r="I93" i="2"/>
  <c r="M88" i="2"/>
  <c r="I37" i="12"/>
  <c r="N20" i="2" l="1"/>
  <c r="N28" i="2"/>
  <c r="N55" i="2"/>
  <c r="N73" i="2"/>
  <c r="P73" i="2" s="1"/>
  <c r="Q73" i="2" s="1"/>
  <c r="N17" i="2"/>
  <c r="N64" i="2"/>
  <c r="N7" i="2"/>
  <c r="N11" i="2" s="1"/>
  <c r="N9" i="2"/>
  <c r="P9" i="2" s="1"/>
  <c r="Q9" i="2" s="1"/>
  <c r="N24" i="2"/>
  <c r="N62" i="2"/>
  <c r="N74" i="2"/>
  <c r="N72" i="2"/>
  <c r="P72" i="2" s="1"/>
  <c r="Q72" i="2" s="1"/>
  <c r="C78" i="6"/>
  <c r="N15" i="2"/>
  <c r="L43" i="10"/>
  <c r="F63" i="12" s="1"/>
  <c r="I63" i="12" s="1"/>
  <c r="N16" i="2"/>
  <c r="P16" i="2" s="1"/>
  <c r="Q16" i="2" s="1"/>
  <c r="N29" i="2"/>
  <c r="N33" i="2"/>
  <c r="N56" i="2"/>
  <c r="P56" i="2" s="1"/>
  <c r="Q56" i="2" s="1"/>
  <c r="N71" i="2"/>
  <c r="N75" i="2" s="1"/>
  <c r="D78" i="6"/>
  <c r="E27" i="11"/>
  <c r="E38" i="6"/>
  <c r="D69" i="12"/>
  <c r="I32" i="16"/>
  <c r="E19" i="16"/>
  <c r="N54" i="2"/>
  <c r="F85" i="2"/>
  <c r="N91" i="2"/>
  <c r="D196" i="2"/>
  <c r="N143" i="2"/>
  <c r="B32" i="12" s="1"/>
  <c r="B24" i="11" s="1"/>
  <c r="B19" i="17"/>
  <c r="B29" i="17" s="1"/>
  <c r="C19" i="17"/>
  <c r="N90" i="2"/>
  <c r="N46" i="2"/>
  <c r="P46" i="2" s="1"/>
  <c r="Q46" i="2" s="1"/>
  <c r="N39" i="2"/>
  <c r="P39" i="2" s="1"/>
  <c r="Q39" i="2" s="1"/>
  <c r="B78" i="6"/>
  <c r="E18" i="14"/>
  <c r="E19" i="17"/>
  <c r="E29" i="17" s="1"/>
  <c r="F18" i="14"/>
  <c r="B83" i="2"/>
  <c r="N53" i="2"/>
  <c r="E78" i="6"/>
  <c r="E63" i="2"/>
  <c r="N63" i="2" s="1"/>
  <c r="P63" i="2" s="1"/>
  <c r="Q63" i="2" s="1"/>
  <c r="N187" i="2"/>
  <c r="N43" i="2"/>
  <c r="P43" i="2" s="1"/>
  <c r="Q43" i="2" s="1"/>
  <c r="B56" i="10"/>
  <c r="B72" i="10" s="1"/>
  <c r="B82" i="10" s="1"/>
  <c r="B85" i="10" s="1"/>
  <c r="H69" i="12"/>
  <c r="D19" i="17"/>
  <c r="H99" i="11"/>
  <c r="H59" i="16" s="1"/>
  <c r="H107" i="12"/>
  <c r="F78" i="6"/>
  <c r="F20" i="10"/>
  <c r="G78" i="6"/>
  <c r="N57" i="2"/>
  <c r="K88" i="2"/>
  <c r="N59" i="2"/>
  <c r="K92" i="2"/>
  <c r="N66" i="2"/>
  <c r="P66" i="2" s="1"/>
  <c r="Q66" i="2" s="1"/>
  <c r="D57" i="12"/>
  <c r="I57" i="12" s="1"/>
  <c r="AD57" i="12" s="1"/>
  <c r="AF57" i="12" s="1"/>
  <c r="B73" i="5"/>
  <c r="G74" i="11"/>
  <c r="G88" i="11" s="1"/>
  <c r="G82" i="12"/>
  <c r="G96" i="12" s="1"/>
  <c r="G32" i="15" s="1"/>
  <c r="C29" i="17"/>
  <c r="L17" i="17"/>
  <c r="N38" i="2"/>
  <c r="N40" i="2"/>
  <c r="P40" i="2" s="1"/>
  <c r="Q40" i="2" s="1"/>
  <c r="H93" i="11"/>
  <c r="H106" i="11" s="1"/>
  <c r="H56" i="16"/>
  <c r="H101" i="12"/>
  <c r="G93" i="11"/>
  <c r="G56" i="16" s="1"/>
  <c r="G101" i="12"/>
  <c r="L27" i="14"/>
  <c r="K78" i="6"/>
  <c r="L70" i="6"/>
  <c r="C52" i="12"/>
  <c r="C44" i="11"/>
  <c r="C22" i="16" s="1"/>
  <c r="L56" i="6"/>
  <c r="L76" i="6"/>
  <c r="D67" i="12"/>
  <c r="D82" i="11"/>
  <c r="D47" i="16" s="1"/>
  <c r="D62" i="12"/>
  <c r="C25" i="5"/>
  <c r="C19" i="16"/>
  <c r="G29" i="14"/>
  <c r="E29" i="14"/>
  <c r="C29" i="14"/>
  <c r="C95" i="11"/>
  <c r="I95" i="11" s="1"/>
  <c r="C67" i="12"/>
  <c r="C96" i="11"/>
  <c r="B80" i="6"/>
  <c r="C83" i="12"/>
  <c r="C45" i="16"/>
  <c r="C73" i="12"/>
  <c r="C82" i="12"/>
  <c r="C71" i="11"/>
  <c r="C40" i="16" s="1"/>
  <c r="C18" i="12"/>
  <c r="C10" i="11" s="1"/>
  <c r="C29" i="12"/>
  <c r="C17" i="12"/>
  <c r="C9" i="11" s="1"/>
  <c r="I9" i="11" s="1"/>
  <c r="D65" i="12"/>
  <c r="I65" i="12" s="1"/>
  <c r="AB65" i="12" s="1"/>
  <c r="D56" i="12"/>
  <c r="I56" i="12" s="1"/>
  <c r="AD56" i="12" s="1"/>
  <c r="AF56" i="12" s="1"/>
  <c r="D79" i="12"/>
  <c r="D76" i="11"/>
  <c r="F71" i="5"/>
  <c r="D64" i="11"/>
  <c r="I64" i="11" s="1"/>
  <c r="D71" i="12"/>
  <c r="D52" i="11"/>
  <c r="D25" i="16" s="1"/>
  <c r="D93" i="11"/>
  <c r="D73" i="5"/>
  <c r="D80" i="5" s="1"/>
  <c r="D83" i="5" s="1"/>
  <c r="D62" i="11"/>
  <c r="D64" i="12"/>
  <c r="I64" i="12" s="1"/>
  <c r="D58" i="12"/>
  <c r="D88" i="12"/>
  <c r="D79" i="11"/>
  <c r="D44" i="16" s="1"/>
  <c r="D106" i="12"/>
  <c r="D65" i="11"/>
  <c r="D53" i="11"/>
  <c r="D26" i="16" s="1"/>
  <c r="D83" i="12"/>
  <c r="D36" i="11"/>
  <c r="D45" i="12"/>
  <c r="D43" i="12"/>
  <c r="D42" i="12"/>
  <c r="D40" i="12"/>
  <c r="B85" i="12"/>
  <c r="B77" i="11" s="1"/>
  <c r="I77" i="11" s="1"/>
  <c r="B84" i="12"/>
  <c r="B76" i="11" s="1"/>
  <c r="P249" i="2"/>
  <c r="Q249" i="2" s="1"/>
  <c r="P248" i="2"/>
  <c r="Q248" i="2" s="1"/>
  <c r="B71" i="12"/>
  <c r="P244" i="2"/>
  <c r="Q244" i="2" s="1"/>
  <c r="B70" i="12"/>
  <c r="P234" i="2"/>
  <c r="Q234" i="2" s="1"/>
  <c r="P222" i="2"/>
  <c r="Q222" i="2" s="1"/>
  <c r="B62" i="12"/>
  <c r="P205" i="2"/>
  <c r="Q205" i="2" s="1"/>
  <c r="B43" i="12"/>
  <c r="B35" i="11" s="1"/>
  <c r="B42" i="12"/>
  <c r="B34" i="11" s="1"/>
  <c r="B17" i="16" s="1"/>
  <c r="Q27" i="15"/>
  <c r="G35" i="12"/>
  <c r="I109" i="12"/>
  <c r="X109" i="12" s="1"/>
  <c r="B101" i="11"/>
  <c r="I101" i="11" s="1"/>
  <c r="I105" i="12"/>
  <c r="AB105" i="12" s="1"/>
  <c r="I112" i="12"/>
  <c r="X112" i="12" s="1"/>
  <c r="B104" i="11"/>
  <c r="I104" i="11" s="1"/>
  <c r="C8" i="11"/>
  <c r="I93" i="12"/>
  <c r="AB93" i="12" s="1"/>
  <c r="B85" i="11"/>
  <c r="I85" i="11" s="1"/>
  <c r="P130" i="2"/>
  <c r="Q130" i="2" s="1"/>
  <c r="P144" i="2"/>
  <c r="Q144" i="2" s="1"/>
  <c r="P136" i="2"/>
  <c r="Q136" i="2" s="1"/>
  <c r="P182" i="2"/>
  <c r="Q182" i="2" s="1"/>
  <c r="P137" i="2"/>
  <c r="Q137" i="2" s="1"/>
  <c r="P154" i="2"/>
  <c r="Q154" i="2" s="1"/>
  <c r="B106" i="12"/>
  <c r="B98" i="11" s="1"/>
  <c r="B58" i="16" s="1"/>
  <c r="N231" i="2"/>
  <c r="B102" i="12"/>
  <c r="N278" i="2"/>
  <c r="E196" i="2"/>
  <c r="E197" i="2" s="1"/>
  <c r="E280" i="2" s="1"/>
  <c r="P187" i="2"/>
  <c r="Q187" i="2" s="1"/>
  <c r="P252" i="2"/>
  <c r="Q252" i="2" s="1"/>
  <c r="B87" i="12"/>
  <c r="B79" i="11" s="1"/>
  <c r="B44" i="16" s="1"/>
  <c r="C22" i="12"/>
  <c r="C14" i="11" s="1"/>
  <c r="S35" i="12"/>
  <c r="K18" i="14"/>
  <c r="K29" i="14" s="1"/>
  <c r="G69" i="12"/>
  <c r="G74" i="12" s="1"/>
  <c r="L12" i="14"/>
  <c r="L18" i="14" s="1"/>
  <c r="F59" i="12"/>
  <c r="E71" i="11"/>
  <c r="E40" i="16" s="1"/>
  <c r="E75" i="11"/>
  <c r="E84" i="12"/>
  <c r="E76" i="11"/>
  <c r="E82" i="12"/>
  <c r="C32" i="12"/>
  <c r="C79" i="12"/>
  <c r="D70" i="12"/>
  <c r="D71" i="11"/>
  <c r="D40" i="16" s="1"/>
  <c r="D61" i="12"/>
  <c r="I61" i="12" s="1"/>
  <c r="AB61" i="12" s="1"/>
  <c r="D37" i="11"/>
  <c r="C88" i="12"/>
  <c r="L17" i="6"/>
  <c r="D80" i="6"/>
  <c r="E80" i="6"/>
  <c r="C19" i="12"/>
  <c r="C11" i="11" s="1"/>
  <c r="L13" i="7"/>
  <c r="K20" i="7"/>
  <c r="H71" i="11"/>
  <c r="H40" i="16" s="1"/>
  <c r="H51" i="16" s="1"/>
  <c r="D75" i="2"/>
  <c r="P238" i="2"/>
  <c r="Q238" i="2" s="1"/>
  <c r="D47" i="2"/>
  <c r="B78" i="12"/>
  <c r="I78" i="12" s="1"/>
  <c r="AD78" i="12" s="1"/>
  <c r="AF78" i="12" s="1"/>
  <c r="P263" i="2"/>
  <c r="Q263" i="2" s="1"/>
  <c r="B107" i="12"/>
  <c r="B99" i="11" s="1"/>
  <c r="B59" i="16" s="1"/>
  <c r="B48" i="12"/>
  <c r="E11" i="2"/>
  <c r="P129" i="2"/>
  <c r="Q129" i="2" s="1"/>
  <c r="P18" i="2"/>
  <c r="Q18" i="2" s="1"/>
  <c r="P53" i="2"/>
  <c r="Q53" i="2" s="1"/>
  <c r="F197" i="2"/>
  <c r="F280" i="2" s="1"/>
  <c r="C197" i="2"/>
  <c r="C280" i="2" s="1"/>
  <c r="G11" i="2"/>
  <c r="J280" i="2"/>
  <c r="K75" i="2"/>
  <c r="B48" i="16"/>
  <c r="I48" i="16" s="1"/>
  <c r="D57" i="2"/>
  <c r="F93" i="2"/>
  <c r="F94" i="2" s="1"/>
  <c r="L75" i="2"/>
  <c r="B31" i="16"/>
  <c r="M75" i="2"/>
  <c r="C67" i="2"/>
  <c r="M280" i="2"/>
  <c r="P202" i="2"/>
  <c r="Q202" i="2" s="1"/>
  <c r="D53" i="12"/>
  <c r="D45" i="11"/>
  <c r="D23" i="16" s="1"/>
  <c r="B57" i="2"/>
  <c r="K280" i="2"/>
  <c r="D61" i="2"/>
  <c r="D93" i="2"/>
  <c r="F72" i="12"/>
  <c r="P98" i="12"/>
  <c r="D18" i="14"/>
  <c r="D29" i="14" s="1"/>
  <c r="H27" i="11"/>
  <c r="D29" i="17"/>
  <c r="G19" i="16"/>
  <c r="D50" i="11"/>
  <c r="L39" i="5"/>
  <c r="F83" i="11"/>
  <c r="F80" i="11"/>
  <c r="F45" i="16" s="1"/>
  <c r="E20" i="7"/>
  <c r="F54" i="5"/>
  <c r="B18" i="14"/>
  <c r="B29" i="14" s="1"/>
  <c r="F29" i="14"/>
  <c r="G38" i="6"/>
  <c r="M57" i="2"/>
  <c r="P253" i="2"/>
  <c r="Q253" i="2" s="1"/>
  <c r="B93" i="2"/>
  <c r="C20" i="7"/>
  <c r="F57" i="11"/>
  <c r="I41" i="16"/>
  <c r="F72" i="10"/>
  <c r="L20" i="15"/>
  <c r="L21" i="15" s="1"/>
  <c r="T25" i="12"/>
  <c r="Z25" i="12" s="1"/>
  <c r="N27" i="15"/>
  <c r="O35" i="12"/>
  <c r="I97" i="11"/>
  <c r="B42" i="16"/>
  <c r="B88" i="12"/>
  <c r="B80" i="11" s="1"/>
  <c r="B45" i="16" s="1"/>
  <c r="B92" i="12"/>
  <c r="P250" i="2"/>
  <c r="Q250" i="2" s="1"/>
  <c r="P242" i="2"/>
  <c r="Q242" i="2" s="1"/>
  <c r="B95" i="12"/>
  <c r="P233" i="2"/>
  <c r="Q233" i="2" s="1"/>
  <c r="I66" i="12"/>
  <c r="AB66" i="12" s="1"/>
  <c r="C75" i="2"/>
  <c r="B41" i="12"/>
  <c r="P270" i="2"/>
  <c r="Q270" i="2" s="1"/>
  <c r="M67" i="2"/>
  <c r="P23" i="2"/>
  <c r="Q23" i="2" s="1"/>
  <c r="B75" i="2"/>
  <c r="I94" i="2"/>
  <c r="J67" i="2"/>
  <c r="B45" i="12"/>
  <c r="B37" i="11" s="1"/>
  <c r="P24" i="2"/>
  <c r="Q24" i="2" s="1"/>
  <c r="N32" i="2"/>
  <c r="P32" i="2" s="1"/>
  <c r="Q32" i="2" s="1"/>
  <c r="J92" i="2"/>
  <c r="J93" i="2" s="1"/>
  <c r="L197" i="2"/>
  <c r="L280" i="2" s="1"/>
  <c r="D197" i="2"/>
  <c r="D280" i="2" s="1"/>
  <c r="K19" i="17"/>
  <c r="K29" i="17" s="1"/>
  <c r="L27" i="17"/>
  <c r="G99" i="11"/>
  <c r="G59" i="16" s="1"/>
  <c r="G60" i="11"/>
  <c r="G31" i="16" s="1"/>
  <c r="G36" i="16" s="1"/>
  <c r="G43" i="16"/>
  <c r="G51" i="16" s="1"/>
  <c r="L80" i="10"/>
  <c r="F71" i="11"/>
  <c r="F40" i="16" s="1"/>
  <c r="F67" i="12"/>
  <c r="F52" i="11"/>
  <c r="F25" i="16" s="1"/>
  <c r="F44" i="11"/>
  <c r="F22" i="16" s="1"/>
  <c r="C72" i="10"/>
  <c r="C82" i="10" s="1"/>
  <c r="C85" i="10" s="1"/>
  <c r="E72" i="10"/>
  <c r="E82" i="10" s="1"/>
  <c r="E85" i="10" s="1"/>
  <c r="D20" i="10"/>
  <c r="F34" i="11"/>
  <c r="F17" i="16" s="1"/>
  <c r="K20" i="10"/>
  <c r="E107" i="12"/>
  <c r="E114" i="12" s="1"/>
  <c r="E35" i="15" s="1"/>
  <c r="L18" i="7"/>
  <c r="E98" i="11"/>
  <c r="C103" i="12"/>
  <c r="C35" i="16"/>
  <c r="C27" i="12"/>
  <c r="C74" i="11"/>
  <c r="C60" i="11"/>
  <c r="C31" i="16" s="1"/>
  <c r="C24" i="11"/>
  <c r="C38" i="6"/>
  <c r="D98" i="11"/>
  <c r="D58" i="16" s="1"/>
  <c r="D57" i="11"/>
  <c r="D29" i="16" s="1"/>
  <c r="D35" i="11"/>
  <c r="D80" i="11"/>
  <c r="D45" i="16" s="1"/>
  <c r="F25" i="5"/>
  <c r="I90" i="12"/>
  <c r="X90" i="12" s="1"/>
  <c r="E25" i="5"/>
  <c r="T33" i="12"/>
  <c r="U26" i="12" s="1"/>
  <c r="N35" i="12"/>
  <c r="R33" i="15"/>
  <c r="M33" i="15"/>
  <c r="N98" i="12"/>
  <c r="S98" i="12"/>
  <c r="N33" i="15"/>
  <c r="O98" i="12"/>
  <c r="T96" i="12"/>
  <c r="Z96" i="12" s="1"/>
  <c r="S32" i="15"/>
  <c r="Y32" i="15" s="1"/>
  <c r="AB68" i="12"/>
  <c r="T49" i="12"/>
  <c r="U46" i="12" s="1"/>
  <c r="M98" i="12"/>
  <c r="L24" i="15"/>
  <c r="L25" i="15" s="1"/>
  <c r="S25" i="15" s="1"/>
  <c r="Y25" i="15" s="1"/>
  <c r="M35" i="12"/>
  <c r="T36" i="12" s="1"/>
  <c r="Z36" i="12" s="1"/>
  <c r="F11" i="2"/>
  <c r="I23" i="11"/>
  <c r="B280" i="2"/>
  <c r="B110" i="12"/>
  <c r="B102" i="11" s="1"/>
  <c r="I102" i="11" s="1"/>
  <c r="H19" i="16"/>
  <c r="E36" i="16"/>
  <c r="O33" i="15"/>
  <c r="M27" i="15"/>
  <c r="R27" i="15"/>
  <c r="P225" i="2"/>
  <c r="Q225" i="2" s="1"/>
  <c r="B89" i="12"/>
  <c r="P201" i="2"/>
  <c r="Q201" i="2" s="1"/>
  <c r="P267" i="2"/>
  <c r="Q267" i="2" s="1"/>
  <c r="P243" i="2"/>
  <c r="Q243" i="2" s="1"/>
  <c r="D85" i="2"/>
  <c r="B111" i="12"/>
  <c r="B94" i="12"/>
  <c r="B108" i="12"/>
  <c r="P216" i="2"/>
  <c r="Q216" i="2" s="1"/>
  <c r="B22" i="16"/>
  <c r="P204" i="2"/>
  <c r="Q204" i="2" s="1"/>
  <c r="G85" i="2"/>
  <c r="I59" i="11"/>
  <c r="I22" i="11"/>
  <c r="C34" i="2"/>
  <c r="N14" i="2"/>
  <c r="B44" i="12"/>
  <c r="B36" i="11" s="1"/>
  <c r="L85" i="2"/>
  <c r="B85" i="2"/>
  <c r="P29" i="2"/>
  <c r="Q29" i="2" s="1"/>
  <c r="P30" i="2"/>
  <c r="Q30" i="2" s="1"/>
  <c r="P117" i="2"/>
  <c r="Q117" i="2" s="1"/>
  <c r="G47" i="2"/>
  <c r="D56" i="16"/>
  <c r="D101" i="12"/>
  <c r="L71" i="5"/>
  <c r="D69" i="11"/>
  <c r="D39" i="16" s="1"/>
  <c r="D77" i="12"/>
  <c r="D72" i="12"/>
  <c r="D60" i="12"/>
  <c r="D34" i="11"/>
  <c r="D17" i="16" s="1"/>
  <c r="D32" i="11"/>
  <c r="D16" i="16" s="1"/>
  <c r="K25" i="5"/>
  <c r="C73" i="5"/>
  <c r="C80" i="5" s="1"/>
  <c r="C83" i="5" s="1"/>
  <c r="D48" i="11"/>
  <c r="D75" i="11"/>
  <c r="B80" i="5"/>
  <c r="B83" i="5" s="1"/>
  <c r="D58" i="11"/>
  <c r="D30" i="16" s="1"/>
  <c r="D73" i="12"/>
  <c r="D74" i="11"/>
  <c r="D63" i="11"/>
  <c r="D34" i="16" s="1"/>
  <c r="L23" i="5"/>
  <c r="L78" i="5"/>
  <c r="C19" i="11"/>
  <c r="C21" i="11"/>
  <c r="B79" i="12"/>
  <c r="B71" i="11" s="1"/>
  <c r="B40" i="16" s="1"/>
  <c r="P245" i="2"/>
  <c r="Q245" i="2" s="1"/>
  <c r="P218" i="2"/>
  <c r="Q218" i="2" s="1"/>
  <c r="P213" i="2"/>
  <c r="Q213" i="2" s="1"/>
  <c r="P226" i="2"/>
  <c r="Q226" i="2" s="1"/>
  <c r="B25" i="16"/>
  <c r="P224" i="2"/>
  <c r="Q224" i="2" s="1"/>
  <c r="B30" i="16"/>
  <c r="B46" i="12"/>
  <c r="G75" i="2"/>
  <c r="P203" i="2"/>
  <c r="Q203" i="2" s="1"/>
  <c r="G280" i="2"/>
  <c r="J34" i="2"/>
  <c r="K34" i="2"/>
  <c r="P17" i="2"/>
  <c r="Q17" i="2" s="1"/>
  <c r="C11" i="2"/>
  <c r="G57" i="2"/>
  <c r="G67" i="2"/>
  <c r="P142" i="2"/>
  <c r="Q142" i="2" s="1"/>
  <c r="X68" i="12"/>
  <c r="AD68" i="12"/>
  <c r="AF68" i="12" s="1"/>
  <c r="L11" i="2"/>
  <c r="P8" i="2"/>
  <c r="Q8" i="2" s="1"/>
  <c r="K89" i="2"/>
  <c r="K67" i="2"/>
  <c r="P107" i="2"/>
  <c r="Q107" i="2" s="1"/>
  <c r="P139" i="2"/>
  <c r="Q139" i="2" s="1"/>
  <c r="C47" i="2"/>
  <c r="J57" i="2"/>
  <c r="J83" i="2"/>
  <c r="K84" i="2"/>
  <c r="K57" i="2"/>
  <c r="M85" i="2"/>
  <c r="L67" i="2"/>
  <c r="L57" i="2"/>
  <c r="K11" i="2"/>
  <c r="D34" i="2"/>
  <c r="P91" i="2"/>
  <c r="Q91" i="2" s="1"/>
  <c r="P28" i="2"/>
  <c r="Q28" i="2" s="1"/>
  <c r="P64" i="2"/>
  <c r="Q64" i="2" s="1"/>
  <c r="N27" i="2"/>
  <c r="P27" i="2" s="1"/>
  <c r="Q27" i="2" s="1"/>
  <c r="N22" i="2"/>
  <c r="P22" i="2" s="1"/>
  <c r="Q22" i="2" s="1"/>
  <c r="M93" i="2"/>
  <c r="M11" i="2"/>
  <c r="P6" i="2"/>
  <c r="Q6" i="2" s="1"/>
  <c r="J11" i="2"/>
  <c r="F34" i="2"/>
  <c r="L34" i="2"/>
  <c r="P25" i="2"/>
  <c r="Q25" i="2" s="1"/>
  <c r="G93" i="2"/>
  <c r="P90" i="2"/>
  <c r="Q90" i="2" s="1"/>
  <c r="I197" i="2"/>
  <c r="I280" i="2" s="1"/>
  <c r="F80" i="12"/>
  <c r="I80" i="12" s="1"/>
  <c r="AB80" i="12" s="1"/>
  <c r="F54" i="11"/>
  <c r="F36" i="11"/>
  <c r="F35" i="11"/>
  <c r="F56" i="16"/>
  <c r="F44" i="16"/>
  <c r="F87" i="12"/>
  <c r="F51" i="11"/>
  <c r="I51" i="11" s="1"/>
  <c r="F40" i="12"/>
  <c r="F82" i="11"/>
  <c r="F32" i="11"/>
  <c r="F16" i="16" s="1"/>
  <c r="F91" i="12"/>
  <c r="I91" i="12" s="1"/>
  <c r="F48" i="11"/>
  <c r="F24" i="11"/>
  <c r="F25" i="11" s="1"/>
  <c r="F99" i="11"/>
  <c r="L14" i="10"/>
  <c r="F14" i="11" s="1"/>
  <c r="F15" i="11" s="1"/>
  <c r="F65" i="11"/>
  <c r="P199" i="2"/>
  <c r="Q199" i="2" s="1"/>
  <c r="B40" i="12"/>
  <c r="B32" i="11" s="1"/>
  <c r="I49" i="11"/>
  <c r="F81" i="12"/>
  <c r="I81" i="12" s="1"/>
  <c r="L70" i="10"/>
  <c r="F73" i="11"/>
  <c r="F42" i="16" s="1"/>
  <c r="E67" i="2"/>
  <c r="F38" i="11"/>
  <c r="F46" i="12"/>
  <c r="L32" i="10"/>
  <c r="F54" i="12"/>
  <c r="F46" i="11"/>
  <c r="G27" i="15"/>
  <c r="G7" i="16"/>
  <c r="G11" i="16" s="1"/>
  <c r="E75" i="2"/>
  <c r="M34" i="2"/>
  <c r="F75" i="2"/>
  <c r="P74" i="2"/>
  <c r="Q74" i="2" s="1"/>
  <c r="P104" i="2"/>
  <c r="Q104" i="2" s="1"/>
  <c r="P127" i="2"/>
  <c r="Q127" i="2" s="1"/>
  <c r="P108" i="2"/>
  <c r="Q108" i="2" s="1"/>
  <c r="B67" i="2"/>
  <c r="P60" i="2"/>
  <c r="Q60" i="2" s="1"/>
  <c r="B47" i="2"/>
  <c r="P33" i="2"/>
  <c r="Q33" i="2" s="1"/>
  <c r="B34" i="2"/>
  <c r="P15" i="2"/>
  <c r="Q15" i="2" s="1"/>
  <c r="B11" i="2"/>
  <c r="G34" i="2"/>
  <c r="E34" i="2"/>
  <c r="E35" i="2" s="1"/>
  <c r="P55" i="2"/>
  <c r="Q55" i="2" s="1"/>
  <c r="F57" i="2"/>
  <c r="E93" i="2"/>
  <c r="L93" i="2"/>
  <c r="P62" i="2"/>
  <c r="Q62" i="2" s="1"/>
  <c r="I67" i="2"/>
  <c r="I68" i="2" s="1"/>
  <c r="P116" i="2"/>
  <c r="Q116" i="2" s="1"/>
  <c r="P138" i="2"/>
  <c r="Q138" i="2" s="1"/>
  <c r="E83" i="2"/>
  <c r="E85" i="2" s="1"/>
  <c r="E57" i="2"/>
  <c r="P112" i="2"/>
  <c r="Q112" i="2" s="1"/>
  <c r="I12" i="11"/>
  <c r="I20" i="12"/>
  <c r="I13" i="11"/>
  <c r="I21" i="12"/>
  <c r="P168" i="2"/>
  <c r="Q168" i="2" s="1"/>
  <c r="P235" i="2"/>
  <c r="Q235" i="2" s="1"/>
  <c r="C88" i="2"/>
  <c r="C83" i="2"/>
  <c r="C57" i="2"/>
  <c r="D11" i="2"/>
  <c r="P38" i="2"/>
  <c r="Q38" i="2" s="1"/>
  <c r="E47" i="2"/>
  <c r="J84" i="2"/>
  <c r="P54" i="2"/>
  <c r="Q54" i="2" s="1"/>
  <c r="P209" i="2"/>
  <c r="Q209" i="2" s="1"/>
  <c r="B47" i="12"/>
  <c r="J75" i="2"/>
  <c r="P231" i="2"/>
  <c r="Q231" i="2" s="1"/>
  <c r="P214" i="2"/>
  <c r="Q214" i="2" s="1"/>
  <c r="L41" i="10"/>
  <c r="L56" i="10" s="1"/>
  <c r="D56" i="10"/>
  <c r="D72" i="10" s="1"/>
  <c r="F56" i="11"/>
  <c r="C106" i="12"/>
  <c r="C98" i="11"/>
  <c r="E69" i="12"/>
  <c r="E74" i="12" s="1"/>
  <c r="E31" i="15" s="1"/>
  <c r="E7" i="16"/>
  <c r="E11" i="16" s="1"/>
  <c r="E27" i="15"/>
  <c r="Z31" i="12"/>
  <c r="E30" i="15"/>
  <c r="I72" i="11"/>
  <c r="F55" i="11"/>
  <c r="F37" i="11"/>
  <c r="F45" i="12"/>
  <c r="K72" i="10"/>
  <c r="Z62" i="12"/>
  <c r="Z82" i="12"/>
  <c r="P20" i="15"/>
  <c r="P21" i="15" s="1"/>
  <c r="P27" i="15" s="1"/>
  <c r="Q35" i="12"/>
  <c r="F55" i="12"/>
  <c r="I55" i="12" s="1"/>
  <c r="F47" i="11"/>
  <c r="F77" i="12"/>
  <c r="F69" i="11"/>
  <c r="F83" i="12"/>
  <c r="F75" i="11"/>
  <c r="F43" i="16" s="1"/>
  <c r="L33" i="15"/>
  <c r="Z55" i="12"/>
  <c r="B104" i="12"/>
  <c r="B96" i="11" s="1"/>
  <c r="F36" i="6"/>
  <c r="F38" i="6" s="1"/>
  <c r="L31" i="6"/>
  <c r="C18" i="11" s="1"/>
  <c r="F107" i="12"/>
  <c r="H7" i="16"/>
  <c r="H11" i="16" s="1"/>
  <c r="H27" i="15"/>
  <c r="O20" i="15"/>
  <c r="O21" i="15" s="1"/>
  <c r="O27" i="15" s="1"/>
  <c r="P35" i="12"/>
  <c r="T23" i="12"/>
  <c r="Z71" i="12"/>
  <c r="O35" i="15"/>
  <c r="D78" i="11"/>
  <c r="D86" i="12"/>
  <c r="H60" i="11"/>
  <c r="H66" i="11" s="1"/>
  <c r="H67" i="12"/>
  <c r="L12" i="17"/>
  <c r="F45" i="11"/>
  <c r="F82" i="12"/>
  <c r="F93" i="11"/>
  <c r="H35" i="12"/>
  <c r="E35" i="12"/>
  <c r="C20" i="11"/>
  <c r="C28" i="12"/>
  <c r="R35" i="12"/>
  <c r="H28" i="16"/>
  <c r="L17" i="5"/>
  <c r="K36" i="5"/>
  <c r="K73" i="5" s="1"/>
  <c r="L35" i="5"/>
  <c r="E73" i="5"/>
  <c r="B83" i="12"/>
  <c r="B75" i="11" s="1"/>
  <c r="G106" i="12"/>
  <c r="R98" i="12"/>
  <c r="Q30" i="15"/>
  <c r="Q33" i="15" s="1"/>
  <c r="Q74" i="12"/>
  <c r="Q98" i="12" s="1"/>
  <c r="T59" i="12"/>
  <c r="P35" i="15"/>
  <c r="T107" i="12"/>
  <c r="Z107" i="12" s="1"/>
  <c r="F61" i="2"/>
  <c r="C104" i="12"/>
  <c r="C75" i="11"/>
  <c r="H61" i="16" l="1"/>
  <c r="L19" i="17"/>
  <c r="P7" i="2"/>
  <c r="Q7" i="2" s="1"/>
  <c r="N83" i="2"/>
  <c r="P71" i="2"/>
  <c r="Q71" i="2" s="1"/>
  <c r="H114" i="12"/>
  <c r="H35" i="15" s="1"/>
  <c r="F82" i="10"/>
  <c r="F85" i="10" s="1"/>
  <c r="I71" i="12"/>
  <c r="AD71" i="12" s="1"/>
  <c r="AF71" i="12" s="1"/>
  <c r="X93" i="12"/>
  <c r="D67" i="2"/>
  <c r="N61" i="2"/>
  <c r="N88" i="2"/>
  <c r="N92" i="2"/>
  <c r="N93" i="2" s="1"/>
  <c r="I85" i="12"/>
  <c r="AB85" i="12" s="1"/>
  <c r="I62" i="12"/>
  <c r="X62" i="12" s="1"/>
  <c r="N89" i="2"/>
  <c r="P89" i="2" s="1"/>
  <c r="Q89" i="2" s="1"/>
  <c r="N67" i="2"/>
  <c r="P14" i="2"/>
  <c r="Q14" i="2" s="1"/>
  <c r="N34" i="2"/>
  <c r="P34" i="2" s="1"/>
  <c r="Q34" i="2" s="1"/>
  <c r="K85" i="2"/>
  <c r="N84" i="2"/>
  <c r="N47" i="2"/>
  <c r="P47" i="2" s="1"/>
  <c r="Q47" i="2" s="1"/>
  <c r="I70" i="12"/>
  <c r="X70" i="12" s="1"/>
  <c r="I42" i="12"/>
  <c r="X42" i="12" s="1"/>
  <c r="L29" i="14"/>
  <c r="G64" i="16" s="1"/>
  <c r="E43" i="16"/>
  <c r="C106" i="11"/>
  <c r="L78" i="6"/>
  <c r="C60" i="16"/>
  <c r="I60" i="16" s="1"/>
  <c r="D48" i="12"/>
  <c r="I48" i="12" s="1"/>
  <c r="AB48" i="12" s="1"/>
  <c r="I43" i="12"/>
  <c r="AB43" i="12" s="1"/>
  <c r="I18" i="12"/>
  <c r="AB18" i="12" s="1"/>
  <c r="C74" i="12"/>
  <c r="C31" i="15" s="1"/>
  <c r="I59" i="12"/>
  <c r="X59" i="12" s="1"/>
  <c r="I17" i="12"/>
  <c r="AB17" i="12" s="1"/>
  <c r="I53" i="11"/>
  <c r="I76" i="11"/>
  <c r="F73" i="5"/>
  <c r="F80" i="5" s="1"/>
  <c r="F83" i="5" s="1"/>
  <c r="L36" i="5"/>
  <c r="D61" i="16"/>
  <c r="D35" i="16"/>
  <c r="I84" i="12"/>
  <c r="X84" i="12" s="1"/>
  <c r="B63" i="11"/>
  <c r="B34" i="16" s="1"/>
  <c r="I34" i="16" s="1"/>
  <c r="B62" i="11"/>
  <c r="I62" i="11" s="1"/>
  <c r="B54" i="11"/>
  <c r="B27" i="16" s="1"/>
  <c r="S116" i="12"/>
  <c r="Q37" i="15"/>
  <c r="Q41" i="15" s="1"/>
  <c r="AB109" i="12"/>
  <c r="I103" i="12"/>
  <c r="X103" i="12" s="1"/>
  <c r="O116" i="12"/>
  <c r="I36" i="11"/>
  <c r="X105" i="12"/>
  <c r="I111" i="12"/>
  <c r="AB111" i="12" s="1"/>
  <c r="B103" i="11"/>
  <c r="I103" i="11" s="1"/>
  <c r="I41" i="12"/>
  <c r="AD41" i="12" s="1"/>
  <c r="AF41" i="12" s="1"/>
  <c r="B33" i="11"/>
  <c r="I33" i="11" s="1"/>
  <c r="I92" i="12"/>
  <c r="X92" i="12" s="1"/>
  <c r="B84" i="11"/>
  <c r="B49" i="16" s="1"/>
  <c r="I49" i="16" s="1"/>
  <c r="I94" i="12"/>
  <c r="AB94" i="12" s="1"/>
  <c r="B86" i="11"/>
  <c r="I86" i="11" s="1"/>
  <c r="I95" i="12"/>
  <c r="AB95" i="12" s="1"/>
  <c r="B87" i="11"/>
  <c r="I87" i="11" s="1"/>
  <c r="I47" i="12"/>
  <c r="X47" i="12" s="1"/>
  <c r="B39" i="11"/>
  <c r="I39" i="11" s="1"/>
  <c r="I108" i="12"/>
  <c r="X108" i="12" s="1"/>
  <c r="B100" i="11"/>
  <c r="I100" i="11" s="1"/>
  <c r="I89" i="12"/>
  <c r="AB89" i="12" s="1"/>
  <c r="B81" i="11"/>
  <c r="I72" i="12"/>
  <c r="X72" i="12" s="1"/>
  <c r="B40" i="11"/>
  <c r="I40" i="11" s="1"/>
  <c r="I102" i="12"/>
  <c r="B94" i="11"/>
  <c r="I94" i="11" s="1"/>
  <c r="C23" i="12"/>
  <c r="I87" i="12"/>
  <c r="AD87" i="12" s="1"/>
  <c r="AF87" i="12" s="1"/>
  <c r="AB78" i="12"/>
  <c r="E96" i="12"/>
  <c r="E32" i="15" s="1"/>
  <c r="E33" i="15" s="1"/>
  <c r="E37" i="15" s="1"/>
  <c r="E41" i="15" s="1"/>
  <c r="N37" i="15"/>
  <c r="N41" i="15" s="1"/>
  <c r="I79" i="12"/>
  <c r="X79" i="12" s="1"/>
  <c r="L29" i="17"/>
  <c r="H64" i="16" s="1"/>
  <c r="G31" i="15"/>
  <c r="G33" i="15" s="1"/>
  <c r="G98" i="12"/>
  <c r="K82" i="10"/>
  <c r="K85" i="10" s="1"/>
  <c r="F27" i="11"/>
  <c r="C96" i="12"/>
  <c r="C32" i="15" s="1"/>
  <c r="I19" i="12"/>
  <c r="X19" i="12" s="1"/>
  <c r="D24" i="16"/>
  <c r="D106" i="11"/>
  <c r="AB56" i="12"/>
  <c r="I88" i="12"/>
  <c r="X88" i="12" s="1"/>
  <c r="C80" i="6"/>
  <c r="G80" i="6"/>
  <c r="I82" i="12"/>
  <c r="AB82" i="12" s="1"/>
  <c r="H88" i="11"/>
  <c r="H90" i="11" s="1"/>
  <c r="H108" i="11" s="1"/>
  <c r="H112" i="11" s="1"/>
  <c r="P70" i="2"/>
  <c r="Q70" i="2" s="1"/>
  <c r="P75" i="2"/>
  <c r="Q75" i="2" s="1"/>
  <c r="X78" i="12"/>
  <c r="F35" i="2"/>
  <c r="F48" i="2" s="1"/>
  <c r="P92" i="2"/>
  <c r="Q92" i="2" s="1"/>
  <c r="I80" i="11"/>
  <c r="C68" i="2"/>
  <c r="G35" i="2"/>
  <c r="G36" i="2" s="1"/>
  <c r="J68" i="2"/>
  <c r="B94" i="2"/>
  <c r="N196" i="2"/>
  <c r="P196" i="2" s="1"/>
  <c r="Q196" i="2" s="1"/>
  <c r="K93" i="2"/>
  <c r="G94" i="2"/>
  <c r="X66" i="12"/>
  <c r="D68" i="2"/>
  <c r="D35" i="2"/>
  <c r="D36" i="2" s="1"/>
  <c r="I83" i="11"/>
  <c r="D94" i="2"/>
  <c r="M68" i="2"/>
  <c r="E94" i="2"/>
  <c r="L94" i="2"/>
  <c r="B68" i="2"/>
  <c r="I44" i="16"/>
  <c r="B26" i="16"/>
  <c r="I26" i="16" s="1"/>
  <c r="I74" i="11"/>
  <c r="I79" i="11"/>
  <c r="P143" i="2"/>
  <c r="Q143" i="2" s="1"/>
  <c r="P116" i="12"/>
  <c r="I107" i="12"/>
  <c r="AB107" i="12" s="1"/>
  <c r="I45" i="12"/>
  <c r="X45" i="12" s="1"/>
  <c r="AD80" i="12"/>
  <c r="AF80" i="12" s="1"/>
  <c r="AB90" i="12"/>
  <c r="I19" i="11"/>
  <c r="I65" i="11"/>
  <c r="C114" i="12"/>
  <c r="C35" i="15" s="1"/>
  <c r="G66" i="11"/>
  <c r="G90" i="11" s="1"/>
  <c r="F106" i="11"/>
  <c r="I47" i="11"/>
  <c r="AD66" i="12"/>
  <c r="AF66" i="12" s="1"/>
  <c r="I8" i="11"/>
  <c r="C15" i="11"/>
  <c r="N116" i="12"/>
  <c r="M37" i="15"/>
  <c r="M41" i="15" s="1"/>
  <c r="U27" i="12"/>
  <c r="U32" i="12"/>
  <c r="S35" i="15"/>
  <c r="Y35" i="15" s="1"/>
  <c r="R37" i="15"/>
  <c r="R41" i="15" s="1"/>
  <c r="I73" i="12"/>
  <c r="X73" i="12" s="1"/>
  <c r="I52" i="11"/>
  <c r="I44" i="12"/>
  <c r="AB44" i="12" s="1"/>
  <c r="I27" i="12"/>
  <c r="X27" i="12" s="1"/>
  <c r="I101" i="12"/>
  <c r="AB101" i="12" s="1"/>
  <c r="G106" i="11"/>
  <c r="G114" i="12"/>
  <c r="I71" i="11"/>
  <c r="X56" i="12"/>
  <c r="F114" i="12"/>
  <c r="F35" i="15" s="1"/>
  <c r="D82" i="10"/>
  <c r="D85" i="10" s="1"/>
  <c r="I17" i="16"/>
  <c r="L20" i="7"/>
  <c r="E64" i="16" s="1"/>
  <c r="E58" i="16"/>
  <c r="E61" i="16" s="1"/>
  <c r="E106" i="11"/>
  <c r="C66" i="11"/>
  <c r="C24" i="16"/>
  <c r="C36" i="16" s="1"/>
  <c r="K80" i="6"/>
  <c r="I45" i="16"/>
  <c r="D114" i="12"/>
  <c r="D35" i="15" s="1"/>
  <c r="E80" i="5"/>
  <c r="E83" i="5" s="1"/>
  <c r="I35" i="11"/>
  <c r="U31" i="12"/>
  <c r="U29" i="12"/>
  <c r="U30" i="12"/>
  <c r="U28" i="12"/>
  <c r="Z33" i="12"/>
  <c r="U40" i="12"/>
  <c r="U82" i="12"/>
  <c r="U93" i="12"/>
  <c r="U86" i="12"/>
  <c r="U90" i="12"/>
  <c r="U87" i="12"/>
  <c r="U84" i="12"/>
  <c r="U88" i="12"/>
  <c r="U94" i="12"/>
  <c r="U80" i="12"/>
  <c r="U85" i="12"/>
  <c r="U79" i="12"/>
  <c r="U92" i="12"/>
  <c r="U89" i="12"/>
  <c r="U91" i="12"/>
  <c r="U77" i="12"/>
  <c r="U83" i="12"/>
  <c r="U95" i="12"/>
  <c r="U81" i="12"/>
  <c r="U78" i="12"/>
  <c r="T98" i="12"/>
  <c r="Z98" i="12" s="1"/>
  <c r="U44" i="12"/>
  <c r="M116" i="12"/>
  <c r="Z49" i="12"/>
  <c r="U48" i="12"/>
  <c r="U47" i="12"/>
  <c r="U41" i="12"/>
  <c r="U45" i="12"/>
  <c r="U42" i="12"/>
  <c r="U43" i="12"/>
  <c r="S24" i="15"/>
  <c r="Y24" i="15" s="1"/>
  <c r="P278" i="2"/>
  <c r="Q278" i="2" s="1"/>
  <c r="I110" i="12"/>
  <c r="AB110" i="12" s="1"/>
  <c r="B114" i="12"/>
  <c r="I40" i="16"/>
  <c r="I21" i="11"/>
  <c r="I106" i="12"/>
  <c r="X106" i="12" s="1"/>
  <c r="I25" i="16"/>
  <c r="J35" i="2"/>
  <c r="J36" i="2" s="1"/>
  <c r="I29" i="12"/>
  <c r="X29" i="12" s="1"/>
  <c r="N210" i="2"/>
  <c r="P210" i="2" s="1"/>
  <c r="Q210" i="2" s="1"/>
  <c r="C35" i="2"/>
  <c r="C48" i="2" s="1"/>
  <c r="I30" i="12"/>
  <c r="AB30" i="12" s="1"/>
  <c r="I31" i="12"/>
  <c r="I60" i="12"/>
  <c r="AB60" i="12" s="1"/>
  <c r="I30" i="16"/>
  <c r="X57" i="12"/>
  <c r="I48" i="11"/>
  <c r="I34" i="11"/>
  <c r="K80" i="5"/>
  <c r="K83" i="5" s="1"/>
  <c r="L54" i="5"/>
  <c r="D52" i="12"/>
  <c r="D74" i="12" s="1"/>
  <c r="D31" i="15" s="1"/>
  <c r="D44" i="11"/>
  <c r="AB57" i="12"/>
  <c r="X65" i="12"/>
  <c r="AD61" i="12"/>
  <c r="AF61" i="12" s="1"/>
  <c r="D24" i="11"/>
  <c r="D25" i="11" s="1"/>
  <c r="D32" i="12"/>
  <c r="D33" i="12" s="1"/>
  <c r="D24" i="15" s="1"/>
  <c r="D25" i="15" s="1"/>
  <c r="D9" i="16" s="1"/>
  <c r="AD65" i="12"/>
  <c r="AF65" i="12" s="1"/>
  <c r="X61" i="12"/>
  <c r="I10" i="11"/>
  <c r="L36" i="6"/>
  <c r="L38" i="6" s="1"/>
  <c r="C26" i="12"/>
  <c r="C33" i="12" s="1"/>
  <c r="C24" i="15" s="1"/>
  <c r="C25" i="15" s="1"/>
  <c r="B33" i="12"/>
  <c r="AB71" i="12"/>
  <c r="X71" i="12"/>
  <c r="B33" i="16"/>
  <c r="I33" i="16" s="1"/>
  <c r="I61" i="11"/>
  <c r="I46" i="11"/>
  <c r="I58" i="11"/>
  <c r="I54" i="12"/>
  <c r="X54" i="12" s="1"/>
  <c r="N197" i="2"/>
  <c r="M94" i="2"/>
  <c r="L35" i="2"/>
  <c r="K35" i="2"/>
  <c r="F36" i="2"/>
  <c r="L68" i="2"/>
  <c r="K68" i="2"/>
  <c r="G68" i="2"/>
  <c r="I76" i="2"/>
  <c r="X80" i="12"/>
  <c r="I75" i="11"/>
  <c r="F27" i="16"/>
  <c r="I54" i="11"/>
  <c r="F35" i="16"/>
  <c r="L20" i="10"/>
  <c r="F22" i="12"/>
  <c r="F23" i="12" s="1"/>
  <c r="F20" i="15" s="1"/>
  <c r="F21" i="15" s="1"/>
  <c r="X91" i="12"/>
  <c r="AB91" i="12"/>
  <c r="AD91" i="12"/>
  <c r="F23" i="16"/>
  <c r="F49" i="12"/>
  <c r="F30" i="15" s="1"/>
  <c r="F59" i="16"/>
  <c r="I99" i="11"/>
  <c r="I82" i="11"/>
  <c r="F47" i="16"/>
  <c r="I47" i="16" s="1"/>
  <c r="I78" i="11"/>
  <c r="D88" i="11"/>
  <c r="D43" i="16"/>
  <c r="D51" i="16" s="1"/>
  <c r="B43" i="16"/>
  <c r="F96" i="12"/>
  <c r="F32" i="15" s="1"/>
  <c r="I77" i="12"/>
  <c r="AB63" i="12"/>
  <c r="X63" i="12"/>
  <c r="AD63" i="12"/>
  <c r="AF63" i="12" s="1"/>
  <c r="B23" i="16"/>
  <c r="I45" i="11"/>
  <c r="I11" i="11"/>
  <c r="B15" i="11"/>
  <c r="M35" i="2"/>
  <c r="G53" i="16"/>
  <c r="H31" i="16"/>
  <c r="I60" i="11"/>
  <c r="T114" i="12"/>
  <c r="Z23" i="12"/>
  <c r="U20" i="12"/>
  <c r="U22" i="12"/>
  <c r="U17" i="12"/>
  <c r="U19" i="12"/>
  <c r="U21" i="12"/>
  <c r="U18" i="12"/>
  <c r="U16" i="12"/>
  <c r="I104" i="12"/>
  <c r="E42" i="16"/>
  <c r="I42" i="16" s="1"/>
  <c r="I73" i="11"/>
  <c r="I56" i="11"/>
  <c r="F29" i="16"/>
  <c r="F50" i="11"/>
  <c r="F24" i="16" s="1"/>
  <c r="F58" i="12"/>
  <c r="I58" i="12" s="1"/>
  <c r="I53" i="12"/>
  <c r="B74" i="12"/>
  <c r="C85" i="2"/>
  <c r="AB21" i="12"/>
  <c r="X21" i="12"/>
  <c r="I16" i="12"/>
  <c r="B23" i="12"/>
  <c r="B20" i="15" s="1"/>
  <c r="X81" i="12"/>
  <c r="AD81" i="12"/>
  <c r="AF81" i="12" s="1"/>
  <c r="AB81" i="12"/>
  <c r="B49" i="12"/>
  <c r="I40" i="12"/>
  <c r="Z59" i="12"/>
  <c r="H74" i="12"/>
  <c r="H98" i="12" s="1"/>
  <c r="I67" i="12"/>
  <c r="I96" i="11"/>
  <c r="B24" i="16"/>
  <c r="B16" i="16"/>
  <c r="I32" i="11"/>
  <c r="I83" i="12"/>
  <c r="B96" i="12"/>
  <c r="C43" i="16"/>
  <c r="C51" i="16" s="1"/>
  <c r="C88" i="11"/>
  <c r="G61" i="16"/>
  <c r="I56" i="16"/>
  <c r="C25" i="11"/>
  <c r="X55" i="12"/>
  <c r="AD55" i="12"/>
  <c r="AF55" i="12" s="1"/>
  <c r="AB55" i="12"/>
  <c r="F18" i="16"/>
  <c r="F19" i="16" s="1"/>
  <c r="I37" i="11"/>
  <c r="S20" i="15"/>
  <c r="Y20" i="15" s="1"/>
  <c r="F41" i="11"/>
  <c r="I57" i="11"/>
  <c r="B29" i="16"/>
  <c r="P5" i="2"/>
  <c r="Q5" i="2" s="1"/>
  <c r="P59" i="2"/>
  <c r="Q59" i="2" s="1"/>
  <c r="B39" i="16"/>
  <c r="I69" i="11"/>
  <c r="I28" i="12"/>
  <c r="L72" i="10"/>
  <c r="P61" i="2"/>
  <c r="Q61" i="2" s="1"/>
  <c r="F67" i="2"/>
  <c r="F68" i="2" s="1"/>
  <c r="F76" i="2" s="1"/>
  <c r="P31" i="15"/>
  <c r="T74" i="12"/>
  <c r="D22" i="12"/>
  <c r="D14" i="11"/>
  <c r="L25" i="5"/>
  <c r="R116" i="12"/>
  <c r="I93" i="11"/>
  <c r="I86" i="12"/>
  <c r="D96" i="12"/>
  <c r="D32" i="15" s="1"/>
  <c r="O37" i="15"/>
  <c r="O41" i="15" s="1"/>
  <c r="F80" i="6"/>
  <c r="S30" i="15"/>
  <c r="F39" i="16"/>
  <c r="F88" i="11"/>
  <c r="Q116" i="12"/>
  <c r="F28" i="16"/>
  <c r="I28" i="16" s="1"/>
  <c r="I55" i="11"/>
  <c r="L27" i="15"/>
  <c r="S21" i="15"/>
  <c r="Y21" i="15" s="1"/>
  <c r="E88" i="11"/>
  <c r="E90" i="11" s="1"/>
  <c r="I98" i="11"/>
  <c r="C58" i="16"/>
  <c r="T35" i="12"/>
  <c r="I69" i="12"/>
  <c r="AD64" i="12"/>
  <c r="AF64" i="12" s="1"/>
  <c r="AB64" i="12"/>
  <c r="X64" i="12"/>
  <c r="J85" i="2"/>
  <c r="J94" i="2" s="1"/>
  <c r="P84" i="2"/>
  <c r="Q84" i="2" s="1"/>
  <c r="C93" i="2"/>
  <c r="I18" i="11"/>
  <c r="B25" i="11"/>
  <c r="X20" i="12"/>
  <c r="AB20" i="12"/>
  <c r="AD20" i="12"/>
  <c r="AF20" i="12" s="1"/>
  <c r="E68" i="2"/>
  <c r="E76" i="2" s="1"/>
  <c r="I20" i="11"/>
  <c r="E36" i="2"/>
  <c r="E48" i="2"/>
  <c r="B35" i="2"/>
  <c r="K94" i="2" l="1"/>
  <c r="AB62" i="12"/>
  <c r="AD62" i="12"/>
  <c r="AF62" i="12" s="1"/>
  <c r="AB70" i="12"/>
  <c r="B66" i="11"/>
  <c r="X85" i="12"/>
  <c r="B35" i="16"/>
  <c r="I35" i="16" s="1"/>
  <c r="I63" i="11"/>
  <c r="AB42" i="12"/>
  <c r="AD42" i="12"/>
  <c r="AF42" i="12" s="1"/>
  <c r="X43" i="12"/>
  <c r="L80" i="6"/>
  <c r="C64" i="16" s="1"/>
  <c r="AD70" i="12"/>
  <c r="AF70" i="12" s="1"/>
  <c r="AD18" i="12"/>
  <c r="AF18" i="12" s="1"/>
  <c r="X18" i="12"/>
  <c r="AD43" i="12"/>
  <c r="AF43" i="12" s="1"/>
  <c r="AD59" i="12"/>
  <c r="AF59" i="12" s="1"/>
  <c r="AB59" i="12"/>
  <c r="G108" i="11"/>
  <c r="G112" i="11" s="1"/>
  <c r="AD17" i="12"/>
  <c r="AF17" i="12" s="1"/>
  <c r="X17" i="12"/>
  <c r="AB84" i="12"/>
  <c r="I27" i="16"/>
  <c r="AB103" i="12"/>
  <c r="AD48" i="12"/>
  <c r="AF48" i="12" s="1"/>
  <c r="I84" i="11"/>
  <c r="B88" i="11"/>
  <c r="I88" i="11" s="1"/>
  <c r="AB108" i="12"/>
  <c r="AB92" i="12"/>
  <c r="B57" i="16"/>
  <c r="B61" i="16" s="1"/>
  <c r="AB72" i="12"/>
  <c r="X89" i="12"/>
  <c r="E98" i="12"/>
  <c r="E116" i="12" s="1"/>
  <c r="E117" i="12" s="1"/>
  <c r="X95" i="12"/>
  <c r="AD47" i="12"/>
  <c r="AF47" i="12" s="1"/>
  <c r="B18" i="16"/>
  <c r="B19" i="16" s="1"/>
  <c r="X94" i="12"/>
  <c r="AB47" i="12"/>
  <c r="B41" i="11"/>
  <c r="X41" i="12"/>
  <c r="B106" i="11"/>
  <c r="X48" i="12"/>
  <c r="AB41" i="12"/>
  <c r="X87" i="12"/>
  <c r="AB102" i="12"/>
  <c r="X102" i="12"/>
  <c r="B46" i="16"/>
  <c r="I46" i="16" s="1"/>
  <c r="I81" i="11"/>
  <c r="B50" i="16"/>
  <c r="I50" i="16" s="1"/>
  <c r="AB87" i="12"/>
  <c r="AB79" i="12"/>
  <c r="AD79" i="12"/>
  <c r="AF79" i="12" s="1"/>
  <c r="C90" i="11"/>
  <c r="C33" i="15"/>
  <c r="G116" i="12"/>
  <c r="G117" i="12" s="1"/>
  <c r="AD88" i="12"/>
  <c r="AF88" i="12" s="1"/>
  <c r="X82" i="12"/>
  <c r="E108" i="11"/>
  <c r="E112" i="11" s="1"/>
  <c r="C98" i="12"/>
  <c r="AB19" i="12"/>
  <c r="AD19" i="12"/>
  <c r="AF19" i="12" s="1"/>
  <c r="AB88" i="12"/>
  <c r="C20" i="15"/>
  <c r="C21" i="15" s="1"/>
  <c r="C7" i="16" s="1"/>
  <c r="I25" i="12"/>
  <c r="AD82" i="12"/>
  <c r="AF82" i="12" s="1"/>
  <c r="C27" i="11"/>
  <c r="E51" i="16"/>
  <c r="E53" i="16" s="1"/>
  <c r="E63" i="16" s="1"/>
  <c r="G48" i="2"/>
  <c r="D48" i="2"/>
  <c r="G76" i="2"/>
  <c r="G282" i="2" s="1"/>
  <c r="X107" i="12"/>
  <c r="AB73" i="12"/>
  <c r="J76" i="2"/>
  <c r="J80" i="2" s="1"/>
  <c r="D76" i="2"/>
  <c r="D282" i="2" s="1"/>
  <c r="AD45" i="12"/>
  <c r="AF45" i="12" s="1"/>
  <c r="C76" i="2"/>
  <c r="C80" i="2" s="1"/>
  <c r="AB45" i="12"/>
  <c r="X101" i="12"/>
  <c r="J48" i="2"/>
  <c r="U33" i="12"/>
  <c r="X44" i="12"/>
  <c r="AD44" i="12"/>
  <c r="AF44" i="12" s="1"/>
  <c r="N280" i="2"/>
  <c r="AB27" i="12"/>
  <c r="AD27" i="12"/>
  <c r="AF27" i="12" s="1"/>
  <c r="G63" i="16"/>
  <c r="G35" i="15"/>
  <c r="G37" i="15" s="1"/>
  <c r="G41" i="15" s="1"/>
  <c r="AB106" i="12"/>
  <c r="AD54" i="12"/>
  <c r="AF54" i="12" s="1"/>
  <c r="AB54" i="12"/>
  <c r="L82" i="10"/>
  <c r="L85" i="10" s="1"/>
  <c r="C53" i="16"/>
  <c r="I24" i="16"/>
  <c r="AD29" i="12"/>
  <c r="AF29" i="12" s="1"/>
  <c r="I106" i="11"/>
  <c r="I114" i="12"/>
  <c r="J114" i="12" s="1"/>
  <c r="U96" i="12"/>
  <c r="U98" i="12"/>
  <c r="U49" i="12"/>
  <c r="F51" i="16"/>
  <c r="AB29" i="12"/>
  <c r="C35" i="12"/>
  <c r="I32" i="12"/>
  <c r="AB32" i="12" s="1"/>
  <c r="I26" i="12"/>
  <c r="AD26" i="12" s="1"/>
  <c r="AF26" i="12" s="1"/>
  <c r="I52" i="12"/>
  <c r="X52" i="12" s="1"/>
  <c r="C36" i="2"/>
  <c r="AD30" i="12"/>
  <c r="AF30" i="12" s="1"/>
  <c r="X30" i="12"/>
  <c r="AB31" i="12"/>
  <c r="X31" i="12"/>
  <c r="X60" i="12"/>
  <c r="AD60" i="12"/>
  <c r="AF60" i="12" s="1"/>
  <c r="L73" i="5"/>
  <c r="L80" i="5" s="1"/>
  <c r="I24" i="11"/>
  <c r="D22" i="16"/>
  <c r="D66" i="11"/>
  <c r="I44" i="11"/>
  <c r="I25" i="11"/>
  <c r="I33" i="12"/>
  <c r="J30" i="12" s="1"/>
  <c r="B24" i="15"/>
  <c r="B25" i="15" s="1"/>
  <c r="I25" i="15" s="1"/>
  <c r="P197" i="2"/>
  <c r="Q197" i="2" s="1"/>
  <c r="I80" i="2"/>
  <c r="I282" i="2"/>
  <c r="K76" i="2"/>
  <c r="K48" i="2"/>
  <c r="K36" i="2"/>
  <c r="L76" i="2"/>
  <c r="L282" i="2" s="1"/>
  <c r="L36" i="2"/>
  <c r="L48" i="2"/>
  <c r="I36" i="2"/>
  <c r="I48" i="2"/>
  <c r="F74" i="12"/>
  <c r="F31" i="15" s="1"/>
  <c r="F33" i="15" s="1"/>
  <c r="F35" i="12"/>
  <c r="I50" i="11"/>
  <c r="F36" i="16"/>
  <c r="I29" i="16"/>
  <c r="I59" i="16"/>
  <c r="F61" i="16"/>
  <c r="E282" i="2"/>
  <c r="E80" i="2"/>
  <c r="L37" i="15"/>
  <c r="L41" i="15" s="1"/>
  <c r="S27" i="15"/>
  <c r="Y27" i="15" s="1"/>
  <c r="X86" i="12"/>
  <c r="AB86" i="12"/>
  <c r="C9" i="16"/>
  <c r="B30" i="15"/>
  <c r="B98" i="12"/>
  <c r="AB16" i="12"/>
  <c r="X16" i="12"/>
  <c r="AD16" i="12"/>
  <c r="AF16" i="12" s="1"/>
  <c r="Z35" i="12"/>
  <c r="I14" i="11"/>
  <c r="D15" i="11"/>
  <c r="D27" i="11" s="1"/>
  <c r="U69" i="12"/>
  <c r="U65" i="12"/>
  <c r="U63" i="12"/>
  <c r="U66" i="12"/>
  <c r="U58" i="12"/>
  <c r="U67" i="12"/>
  <c r="U70" i="12"/>
  <c r="U72" i="12"/>
  <c r="U60" i="12"/>
  <c r="U73" i="12"/>
  <c r="U68" i="12"/>
  <c r="U53" i="12"/>
  <c r="U52" i="12"/>
  <c r="U57" i="12"/>
  <c r="U54" i="12"/>
  <c r="U56" i="12"/>
  <c r="Z74" i="12"/>
  <c r="U61" i="12"/>
  <c r="U64" i="12"/>
  <c r="U71" i="12"/>
  <c r="U55" i="12"/>
  <c r="U62" i="12"/>
  <c r="AD28" i="12"/>
  <c r="AF28" i="12" s="1"/>
  <c r="X28" i="12"/>
  <c r="AB28" i="12"/>
  <c r="F27" i="15"/>
  <c r="F7" i="16"/>
  <c r="F11" i="16" s="1"/>
  <c r="U59" i="12"/>
  <c r="C94" i="2"/>
  <c r="B35" i="15"/>
  <c r="U23" i="12"/>
  <c r="Z114" i="12"/>
  <c r="U114" i="12"/>
  <c r="M36" i="2"/>
  <c r="M76" i="2"/>
  <c r="M48" i="2"/>
  <c r="I23" i="16"/>
  <c r="I43" i="16"/>
  <c r="D49" i="12"/>
  <c r="I49" i="12" s="1"/>
  <c r="I46" i="12"/>
  <c r="I39" i="16"/>
  <c r="F80" i="2"/>
  <c r="F282" i="2"/>
  <c r="C61" i="16"/>
  <c r="I58" i="16"/>
  <c r="D23" i="12"/>
  <c r="I23" i="12" s="1"/>
  <c r="I22" i="12"/>
  <c r="S31" i="15"/>
  <c r="Y31" i="15" s="1"/>
  <c r="P33" i="15"/>
  <c r="P37" i="15" s="1"/>
  <c r="P41" i="15" s="1"/>
  <c r="I38" i="11"/>
  <c r="D41" i="11"/>
  <c r="D18" i="16"/>
  <c r="D19" i="16" s="1"/>
  <c r="P67" i="2"/>
  <c r="Q67" i="2" s="1"/>
  <c r="B32" i="15"/>
  <c r="I96" i="12"/>
  <c r="J86" i="12" s="1"/>
  <c r="B31" i="15"/>
  <c r="X104" i="12"/>
  <c r="AB104" i="12"/>
  <c r="P57" i="2"/>
  <c r="Q57" i="2" s="1"/>
  <c r="B27" i="11"/>
  <c r="AB69" i="12"/>
  <c r="X69" i="12"/>
  <c r="AD69" i="12"/>
  <c r="AF69" i="12" s="1"/>
  <c r="P11" i="2"/>
  <c r="Q11" i="2" s="1"/>
  <c r="N35" i="2"/>
  <c r="H31" i="15"/>
  <c r="H33" i="15" s="1"/>
  <c r="H37" i="15" s="1"/>
  <c r="H41" i="15" s="1"/>
  <c r="H116" i="12"/>
  <c r="H117" i="12" s="1"/>
  <c r="N85" i="2"/>
  <c r="P83" i="2"/>
  <c r="Q83" i="2" s="1"/>
  <c r="AD58" i="12"/>
  <c r="AF58" i="12" s="1"/>
  <c r="AB58" i="12"/>
  <c r="X58" i="12"/>
  <c r="B48" i="2"/>
  <c r="B36" i="2"/>
  <c r="B76" i="2"/>
  <c r="P93" i="2"/>
  <c r="Q93" i="2" s="1"/>
  <c r="P88" i="2"/>
  <c r="Q88" i="2" s="1"/>
  <c r="Y30" i="15"/>
  <c r="T116" i="12"/>
  <c r="X83" i="12"/>
  <c r="AD83" i="12"/>
  <c r="AF83" i="12" s="1"/>
  <c r="AB83" i="12"/>
  <c r="I16" i="16"/>
  <c r="X67" i="12"/>
  <c r="AB67" i="12"/>
  <c r="AD67" i="12"/>
  <c r="AF67" i="12" s="1"/>
  <c r="AD40" i="12"/>
  <c r="AF40" i="12" s="1"/>
  <c r="X40" i="12"/>
  <c r="AB40" i="12"/>
  <c r="B35" i="12"/>
  <c r="AD53" i="12"/>
  <c r="AF53" i="12" s="1"/>
  <c r="AB53" i="12"/>
  <c r="X53" i="12"/>
  <c r="F66" i="11"/>
  <c r="F90" i="11" s="1"/>
  <c r="F108" i="11" s="1"/>
  <c r="F112" i="11" s="1"/>
  <c r="H36" i="16"/>
  <c r="H53" i="16" s="1"/>
  <c r="H63" i="16" s="1"/>
  <c r="I31" i="16"/>
  <c r="AB77" i="12"/>
  <c r="X77" i="12"/>
  <c r="AD77" i="12"/>
  <c r="AF77" i="12" s="1"/>
  <c r="B36" i="16" l="1"/>
  <c r="L83" i="5"/>
  <c r="D64" i="16"/>
  <c r="B90" i="11"/>
  <c r="B108" i="11" s="1"/>
  <c r="P280" i="2"/>
  <c r="Q280" i="2" s="1"/>
  <c r="B64" i="16"/>
  <c r="B111" i="11"/>
  <c r="I111" i="11" s="1"/>
  <c r="B40" i="15"/>
  <c r="I40" i="15" s="1"/>
  <c r="C108" i="11"/>
  <c r="C112" i="11" s="1"/>
  <c r="I57" i="16"/>
  <c r="B51" i="16"/>
  <c r="C116" i="12"/>
  <c r="G80" i="2"/>
  <c r="C282" i="2"/>
  <c r="J282" i="2"/>
  <c r="C27" i="15"/>
  <c r="C37" i="15" s="1"/>
  <c r="C41" i="15" s="1"/>
  <c r="C11" i="16"/>
  <c r="C63" i="16" s="1"/>
  <c r="D80" i="2"/>
  <c r="I35" i="15"/>
  <c r="W35" i="15" s="1"/>
  <c r="F53" i="16"/>
  <c r="F63" i="16" s="1"/>
  <c r="AB52" i="12"/>
  <c r="AD52" i="12"/>
  <c r="AF52" i="12" s="1"/>
  <c r="F98" i="12"/>
  <c r="F116" i="12" s="1"/>
  <c r="F117" i="12" s="1"/>
  <c r="J27" i="12"/>
  <c r="AD32" i="12"/>
  <c r="AF32" i="12" s="1"/>
  <c r="B116" i="12"/>
  <c r="I15" i="11"/>
  <c r="B9" i="16"/>
  <c r="I9" i="16" s="1"/>
  <c r="AB26" i="12"/>
  <c r="AB33" i="12" s="1"/>
  <c r="X26" i="12"/>
  <c r="X32" i="12"/>
  <c r="I22" i="16"/>
  <c r="D36" i="16"/>
  <c r="D53" i="16" s="1"/>
  <c r="D90" i="11"/>
  <c r="I24" i="15"/>
  <c r="AC24" i="15" s="1"/>
  <c r="AE24" i="15" s="1"/>
  <c r="J29" i="12"/>
  <c r="J28" i="12"/>
  <c r="X33" i="12"/>
  <c r="J32" i="12"/>
  <c r="J31" i="12"/>
  <c r="J26" i="12"/>
  <c r="AD33" i="12"/>
  <c r="AF33" i="12" s="1"/>
  <c r="K282" i="2"/>
  <c r="K80" i="2"/>
  <c r="N68" i="2"/>
  <c r="P68" i="2" s="1"/>
  <c r="Q68" i="2" s="1"/>
  <c r="I74" i="12"/>
  <c r="J69" i="12" s="1"/>
  <c r="J83" i="12"/>
  <c r="I31" i="15"/>
  <c r="AA31" i="15" s="1"/>
  <c r="J77" i="12"/>
  <c r="I66" i="11"/>
  <c r="J17" i="12"/>
  <c r="AD23" i="12"/>
  <c r="AF23" i="12" s="1"/>
  <c r="AB23" i="12"/>
  <c r="X23" i="12"/>
  <c r="J18" i="12"/>
  <c r="J19" i="12"/>
  <c r="J20" i="12"/>
  <c r="J21" i="12"/>
  <c r="AD22" i="12"/>
  <c r="AF22" i="12" s="1"/>
  <c r="J22" i="12"/>
  <c r="AB22" i="12"/>
  <c r="X22" i="12"/>
  <c r="AD46" i="12"/>
  <c r="AF46" i="12" s="1"/>
  <c r="J46" i="12"/>
  <c r="X46" i="12"/>
  <c r="AB46" i="12"/>
  <c r="X114" i="12"/>
  <c r="AB114" i="12"/>
  <c r="B33" i="15"/>
  <c r="S37" i="15"/>
  <c r="P35" i="2"/>
  <c r="Q35" i="2" s="1"/>
  <c r="N36" i="2"/>
  <c r="P36" i="2" s="1"/>
  <c r="Q36" i="2" s="1"/>
  <c r="N48" i="2"/>
  <c r="P48" i="2" s="1"/>
  <c r="Q48" i="2" s="1"/>
  <c r="M282" i="2"/>
  <c r="AB49" i="12"/>
  <c r="J43" i="12"/>
  <c r="X49" i="12"/>
  <c r="AD49" i="12"/>
  <c r="AF49" i="12" s="1"/>
  <c r="J42" i="12"/>
  <c r="J44" i="12"/>
  <c r="J48" i="12"/>
  <c r="J41" i="12"/>
  <c r="J45" i="12"/>
  <c r="J47" i="12"/>
  <c r="I27" i="11"/>
  <c r="D20" i="15"/>
  <c r="D21" i="15" s="1"/>
  <c r="D35" i="12"/>
  <c r="I35" i="12" s="1"/>
  <c r="D30" i="15"/>
  <c r="D33" i="15" s="1"/>
  <c r="D98" i="12"/>
  <c r="I61" i="16"/>
  <c r="F37" i="15"/>
  <c r="F41" i="15" s="1"/>
  <c r="B80" i="2"/>
  <c r="B282" i="2"/>
  <c r="N94" i="2"/>
  <c r="P94" i="2" s="1"/>
  <c r="Q94" i="2" s="1"/>
  <c r="P85" i="2"/>
  <c r="Q85" i="2" s="1"/>
  <c r="W25" i="15"/>
  <c r="AC25" i="15"/>
  <c r="AE25" i="15" s="1"/>
  <c r="U74" i="12"/>
  <c r="J40" i="12"/>
  <c r="I19" i="16"/>
  <c r="B21" i="15"/>
  <c r="Z116" i="12"/>
  <c r="S33" i="15"/>
  <c r="Y33" i="15" s="1"/>
  <c r="I18" i="16"/>
  <c r="J85" i="12"/>
  <c r="J78" i="12"/>
  <c r="J91" i="12"/>
  <c r="J84" i="12"/>
  <c r="AD96" i="12"/>
  <c r="AF96" i="12" s="1"/>
  <c r="I32" i="15"/>
  <c r="X96" i="12"/>
  <c r="J89" i="12"/>
  <c r="J94" i="12"/>
  <c r="J79" i="12"/>
  <c r="J87" i="12"/>
  <c r="AB96" i="12"/>
  <c r="J88" i="12"/>
  <c r="J80" i="12"/>
  <c r="J95" i="12"/>
  <c r="J92" i="12"/>
  <c r="J93" i="12"/>
  <c r="J90" i="12"/>
  <c r="J81" i="12"/>
  <c r="J82" i="12"/>
  <c r="I41" i="11"/>
  <c r="J16" i="12"/>
  <c r="B53" i="16" l="1"/>
  <c r="I53" i="16" s="1"/>
  <c r="C117" i="12"/>
  <c r="B117" i="12"/>
  <c r="I64" i="16"/>
  <c r="I90" i="11"/>
  <c r="I51" i="16"/>
  <c r="AA35" i="15"/>
  <c r="AC35" i="15"/>
  <c r="AE35" i="15" s="1"/>
  <c r="I98" i="12"/>
  <c r="AB98" i="12" s="1"/>
  <c r="W24" i="15"/>
  <c r="D108" i="11"/>
  <c r="D112" i="11" s="1"/>
  <c r="J58" i="12"/>
  <c r="I36" i="16"/>
  <c r="I20" i="15"/>
  <c r="AC20" i="15" s="1"/>
  <c r="AE20" i="15" s="1"/>
  <c r="AA24" i="15"/>
  <c r="AA25" i="15" s="1"/>
  <c r="J33" i="12"/>
  <c r="AC31" i="15"/>
  <c r="AE31" i="15" s="1"/>
  <c r="J63" i="12"/>
  <c r="J60" i="12"/>
  <c r="J56" i="12"/>
  <c r="W31" i="15"/>
  <c r="N76" i="2"/>
  <c r="J61" i="12"/>
  <c r="J57" i="12"/>
  <c r="J54" i="12"/>
  <c r="J73" i="12"/>
  <c r="J72" i="12"/>
  <c r="J68" i="12"/>
  <c r="J65" i="12"/>
  <c r="J70" i="12"/>
  <c r="J55" i="12"/>
  <c r="J52" i="12"/>
  <c r="AD74" i="12"/>
  <c r="AF74" i="12" s="1"/>
  <c r="J62" i="12"/>
  <c r="J66" i="12"/>
  <c r="J67" i="12"/>
  <c r="J64" i="12"/>
  <c r="X74" i="12"/>
  <c r="AB74" i="12"/>
  <c r="J71" i="12"/>
  <c r="J59" i="12"/>
  <c r="J53" i="12"/>
  <c r="J23" i="12"/>
  <c r="J96" i="12"/>
  <c r="I21" i="15"/>
  <c r="B7" i="16"/>
  <c r="B27" i="15"/>
  <c r="J49" i="12"/>
  <c r="D116" i="12"/>
  <c r="S41" i="15"/>
  <c r="Y37" i="15"/>
  <c r="Y41" i="15" s="1"/>
  <c r="I30" i="15"/>
  <c r="D7" i="16"/>
  <c r="D11" i="16" s="1"/>
  <c r="D63" i="16" s="1"/>
  <c r="D27" i="15"/>
  <c r="D37" i="15" s="1"/>
  <c r="D41" i="15" s="1"/>
  <c r="W32" i="15"/>
  <c r="AC32" i="15"/>
  <c r="AE32" i="15" s="1"/>
  <c r="AA32" i="15"/>
  <c r="X35" i="12"/>
  <c r="AB35" i="12"/>
  <c r="AD35" i="12"/>
  <c r="AF35" i="12" s="1"/>
  <c r="B112" i="11"/>
  <c r="D117" i="12" l="1"/>
  <c r="I117" i="12" s="1"/>
  <c r="J98" i="12"/>
  <c r="AD98" i="12"/>
  <c r="X98" i="12"/>
  <c r="I108" i="11"/>
  <c r="I112" i="11" s="1"/>
  <c r="W20" i="15"/>
  <c r="AA20" i="15"/>
  <c r="I116" i="12"/>
  <c r="P79" i="2"/>
  <c r="Q79" i="2" s="1"/>
  <c r="N282" i="2"/>
  <c r="P282" i="2" s="1"/>
  <c r="Q282" i="2" s="1"/>
  <c r="J74" i="12"/>
  <c r="P76" i="2"/>
  <c r="Q76" i="2" s="1"/>
  <c r="B37" i="15"/>
  <c r="B41" i="15" s="1"/>
  <c r="I27" i="15"/>
  <c r="I7" i="16"/>
  <c r="B11" i="16"/>
  <c r="AA30" i="15"/>
  <c r="W30" i="15"/>
  <c r="AC30" i="15"/>
  <c r="AE30" i="15" s="1"/>
  <c r="I33" i="15"/>
  <c r="AC21" i="15"/>
  <c r="AE21" i="15" s="1"/>
  <c r="AA21" i="15"/>
  <c r="W21" i="15"/>
  <c r="X116" i="12" l="1"/>
  <c r="AB116" i="12"/>
  <c r="W33" i="15"/>
  <c r="AC33" i="15"/>
  <c r="AE33" i="15" s="1"/>
  <c r="AA33" i="15"/>
  <c r="I11" i="16"/>
  <c r="B63" i="16"/>
  <c r="AA27" i="15"/>
  <c r="AC27" i="15"/>
  <c r="AE27" i="15" s="1"/>
  <c r="I37" i="15"/>
  <c r="W27" i="15"/>
  <c r="W37" i="15" l="1"/>
  <c r="W41" i="15" s="1"/>
  <c r="AC37" i="15"/>
  <c r="AE37" i="15" s="1"/>
  <c r="AA37" i="15"/>
  <c r="AA41" i="15" s="1"/>
  <c r="I41" i="15"/>
  <c r="I6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Tessa Neil</author>
  </authors>
  <commentList>
    <comment ref="H218" authorId="0" shapeId="0" xr:uid="{D5F53011-3585-43A2-AF65-58A04AD0782B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Landscape Creations Spring Cleanup 0n 4/18 and 5/22</t>
        </r>
      </text>
    </comment>
    <comment ref="H219" authorId="0" shapeId="0" xr:uid="{C0C6FE04-AE45-4301-876E-D2E471420DC6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$3.6k Bevis Electric and AC work at 350, $1k FM Generator for Panel for Generator, $4.3k Dewhurst lumber</t>
        </r>
      </text>
    </comment>
    <comment ref="H242" authorId="0" shapeId="0" xr:uid="{4C625C68-D33D-4A21-931C-C537E7528B55}">
      <text>
        <r>
          <rPr>
            <b/>
            <sz val="9"/>
            <color indexed="81"/>
            <rFont val="Tahoma"/>
            <family val="2"/>
          </rPr>
          <t>Tessa Neil:</t>
        </r>
        <r>
          <rPr>
            <sz val="9"/>
            <color indexed="81"/>
            <rFont val="Tahoma"/>
            <family val="2"/>
          </rPr>
          <t xml:space="preserve">
$6k CME Group, $4k for Gala accrual</t>
        </r>
      </text>
    </comment>
  </commentList>
</comments>
</file>

<file path=xl/sharedStrings.xml><?xml version="1.0" encoding="utf-8"?>
<sst xmlns="http://schemas.openxmlformats.org/spreadsheetml/2006/main" count="1142" uniqueCount="489">
  <si>
    <t>Comparison of Year-End Profit and Loss Statements to Hedge Reports 2018</t>
  </si>
  <si>
    <t>Year to Date 2018</t>
  </si>
  <si>
    <t xml:space="preserve">Average </t>
  </si>
  <si>
    <t>Dec Variance</t>
  </si>
  <si>
    <t>Revenue:</t>
  </si>
  <si>
    <t>Jan - Nov</t>
  </si>
  <si>
    <t>from 11 mnth avg</t>
  </si>
  <si>
    <t xml:space="preserve">  Gold (revenue - returns)</t>
  </si>
  <si>
    <t xml:space="preserve">  Silver (revenue - returns)</t>
  </si>
  <si>
    <t xml:space="preserve">  Platinum (revenue - returns)</t>
  </si>
  <si>
    <t xml:space="preserve">  Palladium (revenue - returns)</t>
  </si>
  <si>
    <t xml:space="preserve">  Rhodium (revenue - returns)</t>
  </si>
  <si>
    <t xml:space="preserve">  Minting</t>
  </si>
  <si>
    <t>Cost of Sales:</t>
  </si>
  <si>
    <t xml:space="preserve">  Gold  (COGS +- inv adj +- PO Variance)</t>
  </si>
  <si>
    <t xml:space="preserve">  Silver (COGS +- inv adj +- PO Variance)</t>
  </si>
  <si>
    <t xml:space="preserve">  Palladium (COGS +- inv adj +- PO Variance)</t>
  </si>
  <si>
    <t xml:space="preserve">  Rhodium (COGS +- inv adj +- PO Variance)</t>
  </si>
  <si>
    <t xml:space="preserve">  Gold Pool (Net)</t>
  </si>
  <si>
    <t xml:space="preserve">  Silver Pool (Net)</t>
  </si>
  <si>
    <t xml:space="preserve">  Platinum Pool (Net)</t>
  </si>
  <si>
    <t xml:space="preserve">  Palladium Pool (Net)</t>
  </si>
  <si>
    <t xml:space="preserve">  COMEX Gold (Net Broker)</t>
  </si>
  <si>
    <t xml:space="preserve">  COMEX Silver (Net Broker)</t>
  </si>
  <si>
    <t xml:space="preserve">  COMEX Platinum (Net Broker)</t>
  </si>
  <si>
    <t xml:space="preserve">  COMEX Palladium (Net Broker)</t>
  </si>
  <si>
    <t xml:space="preserve">Market Price Variance/Bad Debt Expense                                                         </t>
  </si>
  <si>
    <t xml:space="preserve">Refining and Fabrication Variance </t>
  </si>
  <si>
    <t>Subtotal - Cost of Goods Sold</t>
  </si>
  <si>
    <t>Gross Profit (Loss)</t>
  </si>
  <si>
    <t>Profit/(Loss) per Hedge Sheets</t>
  </si>
  <si>
    <t>Profit/(Loss) per Tracing Hedge Sheets</t>
  </si>
  <si>
    <t>Melt Profits (some months are estimates)</t>
  </si>
  <si>
    <t>Offline Trading Profits/(Losses)    TOM/NEXT</t>
  </si>
  <si>
    <t>Futures Contracts EFT Profits/(Losses)</t>
  </si>
  <si>
    <t xml:space="preserve">Audit Adjustments </t>
  </si>
  <si>
    <t>KITCO COGS Au Ag</t>
  </si>
  <si>
    <t>Difference</t>
  </si>
  <si>
    <t>ADDITIONAL REVENUE AND EXPENSE CATEGORIES NOT CONSIDERED IN HEDGE PROFIT AND LOSS</t>
  </si>
  <si>
    <t xml:space="preserve">  CDICS2</t>
  </si>
  <si>
    <t xml:space="preserve">  Numismatics</t>
  </si>
  <si>
    <t xml:space="preserve">  Other/Unhedged Jewelry</t>
  </si>
  <si>
    <t xml:space="preserve">  Sales Rebate Fee/Shipping/Handling Fees/Storage Fees</t>
  </si>
  <si>
    <t xml:space="preserve">    Other Revenue</t>
  </si>
  <si>
    <t>Cost:</t>
  </si>
  <si>
    <t xml:space="preserve">  COG Numi/ Unhedged Jewel/Operation Supplies/Market Services/</t>
  </si>
  <si>
    <t xml:space="preserve">  Shipping and Transportation Costs/Shipping Losses</t>
  </si>
  <si>
    <t xml:space="preserve">  Storage Fees</t>
  </si>
  <si>
    <t xml:space="preserve">  Commission (Net COMEX 06 and Sovereign Fees)</t>
  </si>
  <si>
    <t xml:space="preserve">  Insurance</t>
  </si>
  <si>
    <t xml:space="preserve">  LIFO Adjustment</t>
  </si>
  <si>
    <t xml:space="preserve">  Grading</t>
  </si>
  <si>
    <t xml:space="preserve">  Operating expenses</t>
  </si>
  <si>
    <t>Gross Profit (Loss) from Non Trading  Revenue</t>
  </si>
  <si>
    <t>Personnel Expenses</t>
  </si>
  <si>
    <t>Facility Expenses</t>
  </si>
  <si>
    <t>Other Expenses</t>
  </si>
  <si>
    <t>Other (Income)/ Expense</t>
  </si>
  <si>
    <t>Foreign Currency (Gain)/Loss</t>
  </si>
  <si>
    <t>Subtotal - Expenses</t>
  </si>
  <si>
    <t>Net Income</t>
  </si>
  <si>
    <t xml:space="preserve"> </t>
  </si>
  <si>
    <t>Revenue</t>
  </si>
  <si>
    <t xml:space="preserve">  Numismatics (Less returns)</t>
  </si>
  <si>
    <t>Subtotal</t>
  </si>
  <si>
    <t>Cost of Sales</t>
  </si>
  <si>
    <t>CDICS2</t>
  </si>
  <si>
    <t>Numismatics</t>
  </si>
  <si>
    <t>PO Variance - Numismatics</t>
  </si>
  <si>
    <t>Inventory Adjustment - Numismatics</t>
  </si>
  <si>
    <t>Grading Fees</t>
  </si>
  <si>
    <t>Profit/(Loss) Unhedged</t>
  </si>
  <si>
    <t>REVENUE - CDICS2</t>
  </si>
  <si>
    <t>REVENUE - GOLD</t>
  </si>
  <si>
    <t>REVENUE - SILVER</t>
  </si>
  <si>
    <t>REVENUE - PLATINUM</t>
  </si>
  <si>
    <t>REVENUE - PALLADIUM</t>
  </si>
  <si>
    <t>REVENUE - GENERAL</t>
  </si>
  <si>
    <t>REVENUE - NUMISMATICS</t>
  </si>
  <si>
    <t>SALES REBATE FEES</t>
  </si>
  <si>
    <t>REVENUE - RHODIUM</t>
  </si>
  <si>
    <t>SHIPPING FEES</t>
  </si>
  <si>
    <t>HANDLING FEES</t>
  </si>
  <si>
    <t>STORAGE FEES</t>
  </si>
  <si>
    <t>SALES RETURNS-GOLD</t>
  </si>
  <si>
    <t>SALES RETURNS - SILVER</t>
  </si>
  <si>
    <t>SALES RETURNS - PLATINUM</t>
  </si>
  <si>
    <t>SALES RETURNS - PALLADIUM</t>
  </si>
  <si>
    <t>SALES RETURNS - GENERAL</t>
  </si>
  <si>
    <t>SALES RETURNS - NUMISMATICS</t>
  </si>
  <si>
    <t>SALES RETURNS - RHODIUM</t>
  </si>
  <si>
    <t>Minting - Sales - Copper</t>
  </si>
  <si>
    <t>Minting - Sales - Silver</t>
  </si>
  <si>
    <t>TOTAL REVENUE</t>
  </si>
  <si>
    <t>FOREIGN CURRENCY GAIN OR LOSS</t>
  </si>
  <si>
    <t>COST OF SALES - CDICS2</t>
  </si>
  <si>
    <t>COST OF GOODS SOLD -  GOLD</t>
  </si>
  <si>
    <t>COST OF GOODS SOLD - SILVER</t>
  </si>
  <si>
    <t>COST OF GOODS SOLD - PLATINUM</t>
  </si>
  <si>
    <t>COST OF GOODS SOLD - PALLADIUM</t>
  </si>
  <si>
    <t>COST OF GOODS SOLD - GENERAL</t>
  </si>
  <si>
    <t>COST OF GOODS SOLD-NUMISMATICS</t>
  </si>
  <si>
    <t>COST OF GOOD SOLD-RHODIUM</t>
  </si>
  <si>
    <t>SHIPPING COSTS</t>
  </si>
  <si>
    <t>TRANSPORTATION COSTS</t>
  </si>
  <si>
    <t>SHIPMENT LOSSES</t>
  </si>
  <si>
    <t>OPERATION SUPPLIES</t>
  </si>
  <si>
    <t>MARKET SERVICES</t>
  </si>
  <si>
    <t>BROKER MARGIN EXP-GOLD-PURCH</t>
  </si>
  <si>
    <t>BROKERS MARGIN EXP-SILVR-PURCH</t>
  </si>
  <si>
    <t>BROKERS MARGIN EXP-PLAT-PURCH</t>
  </si>
  <si>
    <t>BROKERS MARGIN EXP-PALD-PURCH</t>
  </si>
  <si>
    <t>GOLD POOL SALES FOR HEDGING</t>
  </si>
  <si>
    <t>BROKERS MARGIN GOLD SALES</t>
  </si>
  <si>
    <t>BROKERS MARGIN SILVER SALES</t>
  </si>
  <si>
    <t>BROKERS MARGIN PLAT-SALES</t>
  </si>
  <si>
    <t>BROKERS MARGIN PALD-SALES</t>
  </si>
  <si>
    <t>GOLD POOL PURCHASE</t>
  </si>
  <si>
    <t>SILVER POOL PURCHASE</t>
  </si>
  <si>
    <t>PLATINUM POOL PURCHASE</t>
  </si>
  <si>
    <t>PALLADIUM POOL PURCHASE</t>
  </si>
  <si>
    <t>INVENTORY ADJ - GOLD-PURCH</t>
  </si>
  <si>
    <t>INVENTORY ADJ - SILVER-PURCH</t>
  </si>
  <si>
    <t>INVENTORY ADJ - PLATINUM-PURCH</t>
  </si>
  <si>
    <t>INVENTORY ADJ - PALLADIUM-PURC</t>
  </si>
  <si>
    <t>SILVER POOL SALES FOR HEDGING PURPOSES</t>
  </si>
  <si>
    <t>PLATINUM POOL SALES FOR HEDGING</t>
  </si>
  <si>
    <t>P.O. VARIANCE ADJUST- GOLD</t>
  </si>
  <si>
    <t>P.O. VARIANCE ADJUST-SILVER</t>
  </si>
  <si>
    <t>P.O. VARIANCE ADJUST-PLATINUM</t>
  </si>
  <si>
    <t>P.O. VARIANCE-PALLADIUM</t>
  </si>
  <si>
    <t>PALLADIUM  SALES POOL FOR HEDGING</t>
  </si>
  <si>
    <t>P.O. VARIANCE-NUMISMATICS</t>
  </si>
  <si>
    <t>REFINING &amp; FABRICATION VAR ADJ</t>
  </si>
  <si>
    <t>STORAGE FEE EXPENSE</t>
  </si>
  <si>
    <t>P.O. VARIANCE-GENERAL</t>
  </si>
  <si>
    <t>P.O. VARIANCE-RHODIUM</t>
  </si>
  <si>
    <t>MARKET PRICE RESERVE VARIANCE</t>
  </si>
  <si>
    <t>INSURANCE-ALL RISK POLICY</t>
  </si>
  <si>
    <t>GRADING FEES</t>
  </si>
  <si>
    <t>COMMISSION FEE EXPENSE</t>
  </si>
  <si>
    <t>COMMISSIONS &amp; FEES - COMEX SALES</t>
  </si>
  <si>
    <t>IBA FEES</t>
  </si>
  <si>
    <t>INV ADJUST-GENERAL</t>
  </si>
  <si>
    <t>INV ADJUST-NUMISMATICS-SALES</t>
  </si>
  <si>
    <t>COMMISSION - SOVEREIGN</t>
  </si>
  <si>
    <t>COMMISSION - ANGM</t>
  </si>
  <si>
    <t>Minting - COGS - Copper</t>
  </si>
  <si>
    <t>Minting - COGS - Silver</t>
  </si>
  <si>
    <t>TOTAL COST OF SALES</t>
  </si>
  <si>
    <t>GROSS PROFIT</t>
  </si>
  <si>
    <t>SALARY AND WAGES</t>
  </si>
  <si>
    <t>CUR YR BONUS EXPENSE</t>
  </si>
  <si>
    <t>WORKERS COMPENSATION INS</t>
  </si>
  <si>
    <t>EMPLOYER RELATED TAXES</t>
  </si>
  <si>
    <t>HEALTHCARE EXPENSE</t>
  </si>
  <si>
    <t>DENTAL./STD/LTD/LIFE PREMIUMS</t>
  </si>
  <si>
    <t>401K EMPLOYER CONTRIBUTION</t>
  </si>
  <si>
    <t>OTHER</t>
  </si>
  <si>
    <t>EMPLOYEE BENEFIT</t>
  </si>
  <si>
    <t>EMPLOYEE EDUCATION &amp; TRAINING</t>
  </si>
  <si>
    <t>Minting - Employee Training Expense</t>
  </si>
  <si>
    <t>TOTAL PERSONNEL</t>
  </si>
  <si>
    <t>RENT</t>
  </si>
  <si>
    <t>UTILITIES - ELECTRIC</t>
  </si>
  <si>
    <t>UTIILTIES - GAS</t>
  </si>
  <si>
    <t>UTILITIES - WATER &amp; SEWER</t>
  </si>
  <si>
    <t>MAINTENANCE &amp; REPAIRS</t>
  </si>
  <si>
    <t>REAL ESTATE TAXES</t>
  </si>
  <si>
    <t>TELEPHONE</t>
  </si>
  <si>
    <t>INSURANCE</t>
  </si>
  <si>
    <t>OFFICE SUPPLIES</t>
  </si>
  <si>
    <t>EQUIPMENT RENTAL</t>
  </si>
  <si>
    <t>AMORTIZATION EXPENSE</t>
  </si>
  <si>
    <t>DEPRECIATION  EXPENSE</t>
  </si>
  <si>
    <t>MINITING - REPAIRS &amp; MAINTENANCE</t>
  </si>
  <si>
    <t>MINTING - SECURITY EXPENSE</t>
  </si>
  <si>
    <t>TOTAL FACILITY</t>
  </si>
  <si>
    <t>401K ADMINISTRATION</t>
  </si>
  <si>
    <t>EMPLOYEE LUNCH PROGRAM</t>
  </si>
  <si>
    <t>PAYROLL PROCESSING FEES</t>
  </si>
  <si>
    <t>BANK SERVICE CHARGES</t>
  </si>
  <si>
    <t>CONTRIBUTIONS</t>
  </si>
  <si>
    <t>MISCELLANEOUS</t>
  </si>
  <si>
    <t>PROFESSIONAL FEES at CNT</t>
  </si>
  <si>
    <t>TRAVEL</t>
  </si>
  <si>
    <t>ENTERTAINMENT</t>
  </si>
  <si>
    <t>ADVERTISING &amp; PROMOTION</t>
  </si>
  <si>
    <t>GIFTS FOR CUSTOMERS</t>
  </si>
  <si>
    <t>INTERNET SERVICES</t>
  </si>
  <si>
    <t>EXCISE &amp; PERSONAL PROP TAXES</t>
  </si>
  <si>
    <t>SUBSCRIPTIONS</t>
  </si>
  <si>
    <t>AUTO</t>
  </si>
  <si>
    <t>SECURITY</t>
  </si>
  <si>
    <t>TRAVEL - CONFERENCES</t>
  </si>
  <si>
    <t>TRAVEL - OTHER</t>
  </si>
  <si>
    <t>M &amp; E - CONFERENCES</t>
  </si>
  <si>
    <t>M &amp; E - OTHER</t>
  </si>
  <si>
    <t>COMPUTER EXPENSE</t>
  </si>
  <si>
    <t>TOTAL OTHER</t>
  </si>
  <si>
    <t>RENTAL INCOME</t>
  </si>
  <si>
    <t>MGMT FEE INCOME</t>
  </si>
  <si>
    <t>SOLARE CREDITS - SREC</t>
  </si>
  <si>
    <t>INTEREST INCOME</t>
  </si>
  <si>
    <t>INTEREST EXPENSE</t>
  </si>
  <si>
    <t>TOTAL OTHER INCOME/EXPENSE</t>
  </si>
  <si>
    <t>NET INCOME</t>
  </si>
  <si>
    <t>Total</t>
  </si>
  <si>
    <t>COGS</t>
  </si>
  <si>
    <t>Expenses</t>
  </si>
  <si>
    <t>Total Expenses</t>
  </si>
  <si>
    <t>Gross Profit</t>
  </si>
  <si>
    <t>CNT</t>
  </si>
  <si>
    <t>DEP</t>
  </si>
  <si>
    <t>BPM</t>
  </si>
  <si>
    <t>Lending</t>
  </si>
  <si>
    <t>BSC</t>
  </si>
  <si>
    <t xml:space="preserve">      Gold</t>
  </si>
  <si>
    <t xml:space="preserve">      Silver</t>
  </si>
  <si>
    <t xml:space="preserve">      Platinum</t>
  </si>
  <si>
    <t xml:space="preserve">      Rhodium</t>
  </si>
  <si>
    <t xml:space="preserve">      Minting</t>
  </si>
  <si>
    <t xml:space="preserve">      Other</t>
  </si>
  <si>
    <t>Total Revenue</t>
  </si>
  <si>
    <t>Total GOGC</t>
  </si>
  <si>
    <t xml:space="preserve">  Personnel Expenses</t>
  </si>
  <si>
    <t xml:space="preserve">      Salary and Wages</t>
  </si>
  <si>
    <t xml:space="preserve">      Workers Compensation</t>
  </si>
  <si>
    <t xml:space="preserve">      Employer Related Taxes</t>
  </si>
  <si>
    <t xml:space="preserve">      Healthcare Expenses</t>
  </si>
  <si>
    <t xml:space="preserve">      Dental &amp; Other Insurances</t>
  </si>
  <si>
    <t xml:space="preserve">      3% Safe Harbor EE Contribution</t>
  </si>
  <si>
    <t xml:space="preserve">      Employee Training</t>
  </si>
  <si>
    <t xml:space="preserve">  Total Personnel Expenses</t>
  </si>
  <si>
    <t xml:space="preserve">  Facilitiy Expense</t>
  </si>
  <si>
    <t xml:space="preserve">      Rent</t>
  </si>
  <si>
    <t xml:space="preserve">      Utilities - Electric</t>
  </si>
  <si>
    <t xml:space="preserve">      Utilities - Gas</t>
  </si>
  <si>
    <t xml:space="preserve">      Maintenance &amp; Repairs</t>
  </si>
  <si>
    <t xml:space="preserve">      Insurance</t>
  </si>
  <si>
    <t xml:space="preserve">      Real Estate Taxes</t>
  </si>
  <si>
    <t xml:space="preserve">      Telephone</t>
  </si>
  <si>
    <t xml:space="preserve">      Office Supplies</t>
  </si>
  <si>
    <t xml:space="preserve">      Equipment Rental</t>
  </si>
  <si>
    <t xml:space="preserve">      Amortization</t>
  </si>
  <si>
    <t xml:space="preserve">      Depreciation</t>
  </si>
  <si>
    <t xml:space="preserve">      </t>
  </si>
  <si>
    <t xml:space="preserve">      Employee Lunch Program</t>
  </si>
  <si>
    <t xml:space="preserve">      Internet</t>
  </si>
  <si>
    <t xml:space="preserve">      Security</t>
  </si>
  <si>
    <t xml:space="preserve">  Total Facility Expense</t>
  </si>
  <si>
    <t xml:space="preserve">  Other Expenses</t>
  </si>
  <si>
    <t xml:space="preserve">      Payroll Processing Fees</t>
  </si>
  <si>
    <t xml:space="preserve">      Bank Service Charges</t>
  </si>
  <si>
    <t xml:space="preserve">      Miscellaneous</t>
  </si>
  <si>
    <t xml:space="preserve">      Excise &amp; Personal Property Taxes</t>
  </si>
  <si>
    <t xml:space="preserve">      Advertising &amp; Promotion</t>
  </si>
  <si>
    <t xml:space="preserve">      Subscriptions</t>
  </si>
  <si>
    <t xml:space="preserve">      Auto</t>
  </si>
  <si>
    <t xml:space="preserve">      Travel - Conferences</t>
  </si>
  <si>
    <t xml:space="preserve">      Travel - Other</t>
  </si>
  <si>
    <t xml:space="preserve">      M &amp; E - Conferences</t>
  </si>
  <si>
    <t xml:space="preserve">      M &amp; E - Other</t>
  </si>
  <si>
    <t xml:space="preserve">      Computer Expense</t>
  </si>
  <si>
    <t xml:space="preserve">  Total Other Expenses</t>
  </si>
  <si>
    <t>Total Expense</t>
  </si>
  <si>
    <t>Year to Date</t>
  </si>
  <si>
    <t>Net Income (loss):</t>
  </si>
  <si>
    <t xml:space="preserve">      Rental Income</t>
  </si>
  <si>
    <t xml:space="preserve">      Management Fee Income</t>
  </si>
  <si>
    <t xml:space="preserve">      Solar Credits - SREC</t>
  </si>
  <si>
    <t xml:space="preserve">      Interest Income</t>
  </si>
  <si>
    <t xml:space="preserve">      Interest Expense</t>
  </si>
  <si>
    <t xml:space="preserve">      Other Income</t>
  </si>
  <si>
    <t>Depository</t>
  </si>
  <si>
    <t>Income and loss</t>
  </si>
  <si>
    <t xml:space="preserve">      Shipping Fees</t>
  </si>
  <si>
    <t xml:space="preserve">      Handling Fees</t>
  </si>
  <si>
    <t xml:space="preserve">      Comex Storage Fees</t>
  </si>
  <si>
    <t xml:space="preserve">      ICE Storage Fees</t>
  </si>
  <si>
    <t>Cost Of Goods Sold</t>
  </si>
  <si>
    <t xml:space="preserve">      Storage Fees Expense</t>
  </si>
  <si>
    <t xml:space="preserve">      Shipping Costs</t>
  </si>
  <si>
    <t>Total COGS</t>
  </si>
  <si>
    <t xml:space="preserve">      Salary &amp; Wages</t>
  </si>
  <si>
    <t xml:space="preserve">      Employer Related Tax</t>
  </si>
  <si>
    <t xml:space="preserve">      Health Care Expense</t>
  </si>
  <si>
    <t xml:space="preserve">      Dental Expense</t>
  </si>
  <si>
    <t xml:space="preserve">      Other Employee Benefits</t>
  </si>
  <si>
    <t>Facility Expense</t>
  </si>
  <si>
    <t xml:space="preserve">      Utilities </t>
  </si>
  <si>
    <t xml:space="preserve">      Trash Removal</t>
  </si>
  <si>
    <t xml:space="preserve">      Maintenance &amp; Repair</t>
  </si>
  <si>
    <t xml:space="preserve">      Depreciation Expense</t>
  </si>
  <si>
    <t>Other Expense</t>
  </si>
  <si>
    <t xml:space="preserve">      Contributions</t>
  </si>
  <si>
    <t xml:space="preserve">      Internet Expenses</t>
  </si>
  <si>
    <t>Total Other Expenses</t>
  </si>
  <si>
    <t>Other Income And Expenses</t>
  </si>
  <si>
    <t xml:space="preserve">      Rent Income</t>
  </si>
  <si>
    <t>Total Other Income And Expenses</t>
  </si>
  <si>
    <t>Net Income (Loss)</t>
  </si>
  <si>
    <t>Jan</t>
  </si>
  <si>
    <t>Feb</t>
  </si>
  <si>
    <t>Mar</t>
  </si>
  <si>
    <t>Apr</t>
  </si>
  <si>
    <t xml:space="preserve">      Comex Withdrawal Fees</t>
  </si>
  <si>
    <t xml:space="preserve">      Marketing and Advertisement </t>
  </si>
  <si>
    <t xml:space="preserve">      Employee Benefit - Other</t>
  </si>
  <si>
    <t xml:space="preserve">      Revenue - Gold</t>
  </si>
  <si>
    <t xml:space="preserve">      COGS - Gold</t>
  </si>
  <si>
    <t xml:space="preserve">      COGS - Silver</t>
  </si>
  <si>
    <t xml:space="preserve">      COGS - Platinum</t>
  </si>
  <si>
    <t xml:space="preserve">      COGS - Other</t>
  </si>
  <si>
    <t xml:space="preserve">      Shipping Losses</t>
  </si>
  <si>
    <t xml:space="preserve">      P.O. Variance Adj - Gold</t>
  </si>
  <si>
    <t xml:space="preserve">      eBay Fees</t>
  </si>
  <si>
    <t xml:space="preserve">      Revenue - Silver</t>
  </si>
  <si>
    <t xml:space="preserve">      Revenue - Platinum</t>
  </si>
  <si>
    <t xml:space="preserve">      Revenue - Other</t>
  </si>
  <si>
    <t xml:space="preserve">      Sales Rebates</t>
  </si>
  <si>
    <t xml:space="preserve">      Sales Returns - Gold</t>
  </si>
  <si>
    <t>Other Income &amp; Expenses</t>
  </si>
  <si>
    <t xml:space="preserve">      CNT Management Fees</t>
  </si>
  <si>
    <t>Total Other Income &amp; Expenses</t>
  </si>
  <si>
    <t>OTHER INCOME/EXPENSE</t>
  </si>
  <si>
    <t xml:space="preserve">      P.O. Variance Adj - Silver</t>
  </si>
  <si>
    <t xml:space="preserve">      Management Fee Expense</t>
  </si>
  <si>
    <t>CNT Lending</t>
  </si>
  <si>
    <t xml:space="preserve">      Business Licenses &amp; Permits</t>
  </si>
  <si>
    <t>(Combined)</t>
  </si>
  <si>
    <t xml:space="preserve">Profit &amp; Loss </t>
  </si>
  <si>
    <t>Proof</t>
  </si>
  <si>
    <t xml:space="preserve">      3% Safe Harbor Contribution</t>
  </si>
  <si>
    <t xml:space="preserve">      Application Fees</t>
  </si>
  <si>
    <t>Total Facility Expenses</t>
  </si>
  <si>
    <t xml:space="preserve">      PayPal Fees</t>
  </si>
  <si>
    <t>Bay Precious Metals</t>
  </si>
  <si>
    <t xml:space="preserve">      Utilities - Water &amp; Sewer</t>
  </si>
  <si>
    <t>Amount</t>
  </si>
  <si>
    <t>%</t>
  </si>
  <si>
    <t>2017 YTD</t>
  </si>
  <si>
    <t>2018 YTD</t>
  </si>
  <si>
    <t>Increase</t>
  </si>
  <si>
    <t>to</t>
  </si>
  <si>
    <t>(Decrease)</t>
  </si>
  <si>
    <t>Overall</t>
  </si>
  <si>
    <t>YTD Total</t>
  </si>
  <si>
    <t xml:space="preserve">Comparative P &amp; L </t>
  </si>
  <si>
    <t>Bridgewater Sports Complex (Dome)</t>
  </si>
  <si>
    <t xml:space="preserve">      Aquafine Machine</t>
  </si>
  <si>
    <t xml:space="preserve">      Gatorade Machine</t>
  </si>
  <si>
    <t xml:space="preserve">      Sticker Machine</t>
  </si>
  <si>
    <t xml:space="preserve">      Tricorp Video Games</t>
  </si>
  <si>
    <t xml:space="preserve">      Dome Sales</t>
  </si>
  <si>
    <t xml:space="preserve">      Cost of Goods</t>
  </si>
  <si>
    <t xml:space="preserve">      Referee Expense</t>
  </si>
  <si>
    <t xml:space="preserve">      Life Insurance Expense</t>
  </si>
  <si>
    <t xml:space="preserve">      Licenses &amp; Permits</t>
  </si>
  <si>
    <t xml:space="preserve">      Maintenance &amp; Repair - Building</t>
  </si>
  <si>
    <t xml:space="preserve">      Maintenance &amp; Repair - Equipment</t>
  </si>
  <si>
    <t xml:space="preserve">      Supplies</t>
  </si>
  <si>
    <t xml:space="preserve">      Professional Fees - Accounting</t>
  </si>
  <si>
    <t xml:space="preserve">      Professional Fees - IT</t>
  </si>
  <si>
    <t xml:space="preserve">      Professional Fees - Legal</t>
  </si>
  <si>
    <t xml:space="preserve">      Credit Card Fees</t>
  </si>
  <si>
    <t xml:space="preserve">      Rental Income - Concession Stand</t>
  </si>
  <si>
    <t xml:space="preserve">      Rental Income - CNT</t>
  </si>
  <si>
    <t xml:space="preserve">      Misc Income</t>
  </si>
  <si>
    <t xml:space="preserve">      Interest - Loan</t>
  </si>
  <si>
    <t xml:space="preserve">      Interest - Shareholder</t>
  </si>
  <si>
    <t xml:space="preserve">      Computer Expense - Equipment</t>
  </si>
  <si>
    <t xml:space="preserve">      Computer Expense - Software</t>
  </si>
  <si>
    <t xml:space="preserve">      Awards</t>
  </si>
  <si>
    <t xml:space="preserve">      Service Contract Expense</t>
  </si>
  <si>
    <t xml:space="preserve">      Vendi - Pepsi</t>
  </si>
  <si>
    <t xml:space="preserve">      Maintenance &amp; Repairs - Building</t>
  </si>
  <si>
    <t xml:space="preserve">      Maintenance &amp; Repairs - Equipment</t>
  </si>
  <si>
    <t xml:space="preserve">      Gifts for Customers &amp; Awards</t>
  </si>
  <si>
    <t xml:space="preserve">      Maintenance &amp; Repairs - Buildings</t>
  </si>
  <si>
    <t xml:space="preserve">      Customer gifts &amp; Awards</t>
  </si>
  <si>
    <t>May</t>
  </si>
  <si>
    <t xml:space="preserve">      Revenue - Palladium</t>
  </si>
  <si>
    <t xml:space="preserve">      COGS - Palladium</t>
  </si>
  <si>
    <t xml:space="preserve">      P.O. Variance Adj - Platinum</t>
  </si>
  <si>
    <t xml:space="preserve">      Market Services</t>
  </si>
  <si>
    <t xml:space="preserve">      Inventory Adj</t>
  </si>
  <si>
    <t xml:space="preserve">      Professional Fees - Audit Tax</t>
  </si>
  <si>
    <t xml:space="preserve">      Licensing Fees</t>
  </si>
  <si>
    <t xml:space="preserve">      Inventory Warehouse Charge</t>
  </si>
  <si>
    <t xml:space="preserve">      Computer Expense - Software &amp; Licensing</t>
  </si>
  <si>
    <t xml:space="preserve">      Professional Fees - Audit Tax Advisory</t>
  </si>
  <si>
    <t xml:space="preserve">      Professional Fees - Comex Audit</t>
  </si>
  <si>
    <t xml:space="preserve">      Licenses &amp; Fees</t>
  </si>
  <si>
    <t xml:space="preserve">      401K Administration</t>
  </si>
  <si>
    <t>MINTING - DEPRECIATION EXPENSE</t>
  </si>
  <si>
    <t>PROFESSIONAL FEES - LEGAL</t>
  </si>
  <si>
    <t>PROFESSIONAL FEES - IT</t>
  </si>
  <si>
    <t>INVENTORY WAREHOUSE CHARGE</t>
  </si>
  <si>
    <t>OTHER INCOME</t>
  </si>
  <si>
    <t>METAL LEASING INCOME - GOLD</t>
  </si>
  <si>
    <t>METAL LEASING INCOME - PALLADIUM</t>
  </si>
  <si>
    <t xml:space="preserve">  General</t>
  </si>
  <si>
    <t xml:space="preserve">      Professional Fees - Human Resources</t>
  </si>
  <si>
    <t xml:space="preserve">      Metal Leasing Income - Gold</t>
  </si>
  <si>
    <t xml:space="preserve">      Metal leasing Income - Palladium</t>
  </si>
  <si>
    <t xml:space="preserve">      Metal Leasing Income - Palladium</t>
  </si>
  <si>
    <t>Combined P &amp; L Change from 2017 to 2018</t>
  </si>
  <si>
    <t xml:space="preserve">Combined P &amp; L </t>
  </si>
  <si>
    <t>Oliari Co.</t>
  </si>
  <si>
    <t xml:space="preserve">      Rental Income - BSC</t>
  </si>
  <si>
    <t>Oliari Co</t>
  </si>
  <si>
    <t xml:space="preserve">      Revenue (all sources)</t>
  </si>
  <si>
    <t xml:space="preserve">      GOGS (all sources)</t>
  </si>
  <si>
    <t>Protected tab     Password = combined</t>
  </si>
  <si>
    <t xml:space="preserve">      Maintenance &amp; Repairs </t>
  </si>
  <si>
    <t xml:space="preserve">      Computer Expense </t>
  </si>
  <si>
    <t xml:space="preserve">      Travel </t>
  </si>
  <si>
    <t xml:space="preserve">      Other Expenses</t>
  </si>
  <si>
    <t>Oliari Co., LLC</t>
  </si>
  <si>
    <t>722 Bedford Street LLC</t>
  </si>
  <si>
    <t>722 Bedford</t>
  </si>
  <si>
    <t xml:space="preserve">722 Bedford </t>
  </si>
  <si>
    <t>June</t>
  </si>
  <si>
    <t xml:space="preserve">      Palladium</t>
  </si>
  <si>
    <t xml:space="preserve">      Professional Fees - Audit &amp; Tax</t>
  </si>
  <si>
    <t xml:space="preserve">      Storage Fees - Monthly</t>
  </si>
  <si>
    <t xml:space="preserve">      Storage Fees - Biannual</t>
  </si>
  <si>
    <t xml:space="preserve">      Storage Fees - Annual</t>
  </si>
  <si>
    <t xml:space="preserve">      Operation Supplies</t>
  </si>
  <si>
    <t>Minting - Inventory Adj - Copper</t>
  </si>
  <si>
    <t>Minting - Inventory Adj - Silver</t>
  </si>
  <si>
    <t>INVENTORY ADJ-RHODIUM</t>
  </si>
  <si>
    <t>PROFESSIONAL FEES - AUDIT TAX ADVISORY</t>
  </si>
  <si>
    <t>PROFESSIONAL FEES - HUMAN RESOURCES</t>
  </si>
  <si>
    <t>LICENSES &amp; FEES</t>
  </si>
  <si>
    <t>Mingint - Marketing Expense</t>
  </si>
  <si>
    <t>Minting - Travel Expense</t>
  </si>
  <si>
    <t>COMPUTER EXPENSE - SOFTWARE &amp; LICENSE</t>
  </si>
  <si>
    <t>METAL LEASING INCOME - PLATINUM</t>
  </si>
  <si>
    <t>METAL LEASING INCOME - SILVER</t>
  </si>
  <si>
    <t xml:space="preserve">      Metal Leasing Income - Silver</t>
  </si>
  <si>
    <t xml:space="preserve">      Metal Leasing Income - Platinum</t>
  </si>
  <si>
    <t>July</t>
  </si>
  <si>
    <t xml:space="preserve">      Bank Service Fees</t>
  </si>
  <si>
    <t xml:space="preserve">      Rental Income - DEP</t>
  </si>
  <si>
    <t>Minting - PO Variance Adj - Copper</t>
  </si>
  <si>
    <t xml:space="preserve">      COGS - Copper - Minting</t>
  </si>
  <si>
    <t xml:space="preserve">      Snow Plowing, Sanding &amp; Landscape</t>
  </si>
  <si>
    <t>SNOW PLOWING, SANDING &amp; LANDSCAPE</t>
  </si>
  <si>
    <t>Minting - Market Price Variance</t>
  </si>
  <si>
    <t>MINTING - SCRAP INCOME</t>
  </si>
  <si>
    <t xml:space="preserve">      Minting - Scrap Income</t>
  </si>
  <si>
    <t>August</t>
  </si>
  <si>
    <t>Minting - Sales - Gold</t>
  </si>
  <si>
    <t>Minting - Returns - Silver</t>
  </si>
  <si>
    <t>Minting - COGS - Gold</t>
  </si>
  <si>
    <t>Minting - Melt Loss - Silver</t>
  </si>
  <si>
    <t>Minting - Supplies</t>
  </si>
  <si>
    <t>Mystic TBA</t>
  </si>
  <si>
    <t xml:space="preserve">      Sales Returns - Silver</t>
  </si>
  <si>
    <t xml:space="preserve">      Revenue - Copper - Minting</t>
  </si>
  <si>
    <t xml:space="preserve">      Professional Fees </t>
  </si>
  <si>
    <t xml:space="preserve">      Employee Benefits </t>
  </si>
  <si>
    <t xml:space="preserve">      Meals &amp; Entertainment</t>
  </si>
  <si>
    <t>Other Income (Expense)</t>
  </si>
  <si>
    <t>Total Other Income (Expense)</t>
  </si>
  <si>
    <t>September</t>
  </si>
  <si>
    <t xml:space="preserve">      Rental Income - CNT Minting</t>
  </si>
  <si>
    <t>MARKING TO MARKET GOLD</t>
  </si>
  <si>
    <t>MARKING TO MARKET SILVER</t>
  </si>
  <si>
    <t>MARKING TO MARKET PLATINUM</t>
  </si>
  <si>
    <t>MARKING TO MARKET PALLADIUM</t>
  </si>
  <si>
    <t>MARKING TO MARKET RHODIUM</t>
  </si>
  <si>
    <t>TRASH REMOVAL</t>
  </si>
  <si>
    <t>MINTING - RENT</t>
  </si>
  <si>
    <t>RENT Expense - Berkman Texas Lease</t>
  </si>
  <si>
    <t xml:space="preserve">  Platinum (COGS +- inv adj +- PO Variance)</t>
  </si>
  <si>
    <t xml:space="preserve">      Travel</t>
  </si>
  <si>
    <t>Personnel Expense</t>
  </si>
  <si>
    <t xml:space="preserve">      Salary &amp; Wages </t>
  </si>
  <si>
    <t xml:space="preserve">      Healthcare Expense</t>
  </si>
  <si>
    <t xml:space="preserve">      401K Employer Contributions</t>
  </si>
  <si>
    <t xml:space="preserve">      Professional Fees - HR</t>
  </si>
  <si>
    <t xml:space="preserve">      Rental Income - BPM</t>
  </si>
  <si>
    <t>10/31/2018 to 10/31/2017</t>
  </si>
  <si>
    <t>October</t>
  </si>
  <si>
    <t>-</t>
  </si>
  <si>
    <t xml:space="preserve">      Dental &amp; Life Insurance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</si>
</sst>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[$$-409]* #,##0.00;[$$-409]* \-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99FF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4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45"/>
      <name val="Calibri"/>
      <family val="2"/>
      <scheme val="minor"/>
    </font>
    <font>
      <sz val="55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44" fontId="1" fillId="0" borderId="0" xfId="2" applyFont="1" applyFill="1"/>
    <xf numFmtId="0" fontId="0" fillId="0" borderId="0" xfId="0" applyFont="1" applyFill="1"/>
    <xf numFmtId="17" fontId="2" fillId="0" borderId="1" xfId="2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1" fillId="0" borderId="0" xfId="2" applyNumberFormat="1" applyFont="1" applyFill="1"/>
    <xf numFmtId="44" fontId="1" fillId="0" borderId="0" xfId="2" applyFont="1" applyFill="1" applyBorder="1"/>
    <xf numFmtId="0" fontId="0" fillId="0" borderId="0" xfId="0" applyFont="1" applyFill="1"/>
    <xf numFmtId="44" fontId="1" fillId="0" borderId="2" xfId="2" applyFont="1" applyFill="1" applyBorder="1"/>
    <xf numFmtId="44" fontId="1" fillId="0" borderId="2" xfId="2" applyNumberFormat="1" applyFont="1" applyFill="1" applyBorder="1"/>
    <xf numFmtId="8" fontId="1" fillId="0" borderId="0" xfId="2" applyNumberFormat="1" applyFont="1" applyFill="1"/>
    <xf numFmtId="44" fontId="1" fillId="0" borderId="0" xfId="3" applyNumberFormat="1" applyFont="1" applyFill="1"/>
    <xf numFmtId="44" fontId="3" fillId="0" borderId="0" xfId="2" applyNumberFormat="1" applyFont="1" applyFill="1"/>
    <xf numFmtId="44" fontId="4" fillId="0" borderId="0" xfId="2" applyNumberFormat="1" applyFont="1" applyFill="1"/>
    <xf numFmtId="44" fontId="3" fillId="0" borderId="0" xfId="2" applyFont="1" applyFill="1"/>
    <xf numFmtId="44" fontId="1" fillId="2" borderId="3" xfId="2" applyFont="1" applyFill="1" applyBorder="1"/>
    <xf numFmtId="10" fontId="1" fillId="0" borderId="0" xfId="3" applyNumberFormat="1" applyFont="1" applyFill="1" applyBorder="1"/>
    <xf numFmtId="0" fontId="0" fillId="0" borderId="0" xfId="0" applyFont="1" applyFill="1" applyBorder="1"/>
    <xf numFmtId="8" fontId="1" fillId="0" borderId="0" xfId="2" applyNumberFormat="1" applyFont="1" applyFill="1" applyBorder="1"/>
    <xf numFmtId="8" fontId="1" fillId="0" borderId="0" xfId="2" applyNumberFormat="1" applyFont="1" applyFill="1" applyBorder="1"/>
    <xf numFmtId="44" fontId="0" fillId="0" borderId="0" xfId="0" applyNumberFormat="1" applyFont="1" applyFill="1" applyBorder="1"/>
    <xf numFmtId="44" fontId="1" fillId="0" borderId="0" xfId="2" applyNumberFormat="1" applyFont="1" applyFill="1" applyBorder="1"/>
    <xf numFmtId="44" fontId="1" fillId="2" borderId="4" xfId="2" applyFont="1" applyFill="1" applyBorder="1"/>
    <xf numFmtId="44" fontId="5" fillId="0" borderId="0" xfId="2" applyFont="1" applyFill="1"/>
    <xf numFmtId="44" fontId="1" fillId="0" borderId="5" xfId="2" applyFont="1" applyFill="1" applyBorder="1"/>
    <xf numFmtId="44" fontId="4" fillId="0" borderId="6" xfId="2" applyNumberFormat="1" applyFont="1" applyFill="1" applyBorder="1"/>
    <xf numFmtId="44" fontId="4" fillId="0" borderId="2" xfId="2" applyNumberFormat="1" applyFont="1" applyFill="1" applyBorder="1"/>
    <xf numFmtId="44" fontId="4" fillId="0" borderId="5" xfId="2" applyNumberFormat="1" applyFont="1" applyFill="1" applyBorder="1"/>
    <xf numFmtId="44" fontId="1" fillId="0" borderId="7" xfId="2" applyFont="1" applyFill="1" applyBorder="1"/>
    <xf numFmtId="0" fontId="0" fillId="0" borderId="8" xfId="0" applyFont="1" applyFill="1" applyBorder="1"/>
    <xf numFmtId="44" fontId="0" fillId="0" borderId="9" xfId="0" applyNumberFormat="1" applyFont="1" applyFill="1" applyBorder="1"/>
    <xf numFmtId="44" fontId="1" fillId="0" borderId="10" xfId="2" applyFont="1" applyFill="1" applyBorder="1"/>
    <xf numFmtId="0" fontId="0" fillId="0" borderId="9" xfId="0" applyFont="1" applyFill="1" applyBorder="1"/>
    <xf numFmtId="44" fontId="1" fillId="0" borderId="3" xfId="2" applyFont="1" applyFill="1" applyBorder="1"/>
    <xf numFmtId="44" fontId="1" fillId="0" borderId="11" xfId="2" applyFont="1" applyFill="1" applyBorder="1"/>
    <xf numFmtId="44" fontId="1" fillId="0" borderId="12" xfId="2" applyFont="1" applyFill="1" applyBorder="1"/>
    <xf numFmtId="0" fontId="0" fillId="0" borderId="13" xfId="0" applyFont="1" applyFill="1" applyBorder="1"/>
    <xf numFmtId="0" fontId="0" fillId="0" borderId="12" xfId="0" applyFont="1" applyFill="1" applyBorder="1"/>
    <xf numFmtId="0" fontId="2" fillId="0" borderId="0" xfId="0" applyFont="1" applyFill="1"/>
    <xf numFmtId="44" fontId="2" fillId="0" borderId="3" xfId="2" applyFont="1" applyFill="1" applyBorder="1"/>
    <xf numFmtId="44" fontId="1" fillId="3" borderId="0" xfId="2" applyFont="1" applyFill="1"/>
    <xf numFmtId="44" fontId="1" fillId="3" borderId="0" xfId="2" applyNumberFormat="1" applyFont="1" applyFill="1"/>
    <xf numFmtId="8" fontId="1" fillId="3" borderId="0" xfId="2" applyNumberFormat="1" applyFont="1" applyFill="1"/>
    <xf numFmtId="43" fontId="1" fillId="3" borderId="0" xfId="1" applyFont="1" applyFill="1"/>
    <xf numFmtId="44" fontId="2" fillId="0" borderId="5" xfId="2" applyFont="1" applyFill="1" applyBorder="1"/>
    <xf numFmtId="44" fontId="2" fillId="0" borderId="3" xfId="0" applyNumberFormat="1" applyFont="1" applyFill="1" applyBorder="1"/>
    <xf numFmtId="44" fontId="0" fillId="0" borderId="0" xfId="0" applyNumberFormat="1" applyFont="1" applyFill="1"/>
    <xf numFmtId="0" fontId="2" fillId="0" borderId="0" xfId="0" applyFont="1"/>
    <xf numFmtId="43" fontId="1" fillId="0" borderId="0" xfId="1" applyFont="1"/>
    <xf numFmtId="0" fontId="0" fillId="0" borderId="0" xfId="0" applyAlignment="1">
      <alignment horizontal="center"/>
    </xf>
    <xf numFmtId="43" fontId="1" fillId="0" borderId="2" xfId="1" applyFont="1" applyBorder="1"/>
    <xf numFmtId="43" fontId="1" fillId="0" borderId="14" xfId="1" applyFont="1" applyBorder="1"/>
    <xf numFmtId="43" fontId="1" fillId="0" borderId="3" xfId="1" applyFont="1" applyBorder="1"/>
    <xf numFmtId="43" fontId="2" fillId="0" borderId="0" xfId="1" applyFont="1" applyAlignment="1">
      <alignment horizontal="center"/>
    </xf>
    <xf numFmtId="0" fontId="6" fillId="0" borderId="0" xfId="0" applyFont="1"/>
    <xf numFmtId="0" fontId="0" fillId="0" borderId="0" xfId="0" applyFill="1"/>
    <xf numFmtId="0" fontId="6" fillId="0" borderId="0" xfId="0" applyFont="1" applyFill="1"/>
    <xf numFmtId="43" fontId="1" fillId="0" borderId="0" xfId="1" applyFont="1" applyFill="1"/>
    <xf numFmtId="44" fontId="1" fillId="0" borderId="0" xfId="2" applyFont="1" applyFill="1"/>
    <xf numFmtId="43" fontId="0" fillId="0" borderId="0" xfId="0" applyNumberFormat="1" applyFill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/>
    <xf numFmtId="43" fontId="7" fillId="0" borderId="0" xfId="1" applyFont="1" applyAlignment="1">
      <alignment horizontal="center"/>
    </xf>
    <xf numFmtId="0" fontId="7" fillId="0" borderId="0" xfId="0" applyFont="1" applyFill="1" applyAlignment="1">
      <alignment vertical="center"/>
    </xf>
    <xf numFmtId="43" fontId="8" fillId="0" borderId="0" xfId="1" applyFont="1"/>
    <xf numFmtId="0" fontId="8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/>
    <xf numFmtId="43" fontId="8" fillId="0" borderId="0" xfId="0" applyNumberFormat="1" applyFont="1" applyFill="1"/>
    <xf numFmtId="10" fontId="8" fillId="0" borderId="0" xfId="3" applyNumberFormat="1" applyFont="1" applyFill="1" applyAlignment="1">
      <alignment horizontal="center"/>
    </xf>
    <xf numFmtId="10" fontId="8" fillId="0" borderId="0" xfId="3" applyNumberFormat="1" applyFont="1" applyAlignment="1">
      <alignment horizontal="center"/>
    </xf>
    <xf numFmtId="43" fontId="8" fillId="0" borderId="0" xfId="0" applyNumberFormat="1" applyFont="1"/>
    <xf numFmtId="43" fontId="8" fillId="0" borderId="2" xfId="0" applyNumberFormat="1" applyFont="1" applyFill="1" applyBorder="1"/>
    <xf numFmtId="10" fontId="8" fillId="0" borderId="0" xfId="3" applyNumberFormat="1" applyFont="1" applyFill="1" applyBorder="1" applyAlignment="1">
      <alignment horizontal="center"/>
    </xf>
    <xf numFmtId="10" fontId="8" fillId="0" borderId="2" xfId="3" applyNumberFormat="1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43" fontId="8" fillId="0" borderId="2" xfId="0" applyNumberFormat="1" applyFont="1" applyBorder="1"/>
    <xf numFmtId="9" fontId="8" fillId="0" borderId="0" xfId="3" applyFont="1" applyAlignment="1">
      <alignment horizontal="center"/>
    </xf>
    <xf numFmtId="43" fontId="8" fillId="0" borderId="14" xfId="0" applyNumberFormat="1" applyFont="1" applyFill="1" applyBorder="1"/>
    <xf numFmtId="43" fontId="8" fillId="0" borderId="14" xfId="0" applyNumberFormat="1" applyFont="1" applyBorder="1"/>
    <xf numFmtId="10" fontId="8" fillId="0" borderId="14" xfId="3" applyNumberFormat="1" applyFont="1" applyBorder="1" applyAlignment="1">
      <alignment horizontal="center"/>
    </xf>
    <xf numFmtId="9" fontId="8" fillId="0" borderId="14" xfId="3" applyFont="1" applyBorder="1" applyAlignment="1">
      <alignment horizontal="center"/>
    </xf>
    <xf numFmtId="43" fontId="7" fillId="0" borderId="3" xfId="0" applyNumberFormat="1" applyFont="1" applyFill="1" applyBorder="1"/>
    <xf numFmtId="43" fontId="7" fillId="0" borderId="3" xfId="0" applyNumberFormat="1" applyFont="1" applyBorder="1"/>
    <xf numFmtId="0" fontId="9" fillId="0" borderId="0" xfId="0" applyFont="1"/>
    <xf numFmtId="0" fontId="10" fillId="0" borderId="6" xfId="0" applyFont="1" applyFill="1" applyBorder="1" applyAlignment="1">
      <alignment horizontal="center"/>
    </xf>
    <xf numFmtId="43" fontId="9" fillId="0" borderId="0" xfId="1" applyFont="1"/>
    <xf numFmtId="0" fontId="10" fillId="0" borderId="0" xfId="0" applyFont="1"/>
    <xf numFmtId="43" fontId="9" fillId="0" borderId="0" xfId="0" applyNumberFormat="1" applyFont="1" applyFill="1"/>
    <xf numFmtId="43" fontId="9" fillId="0" borderId="2" xfId="0" applyNumberFormat="1" applyFont="1" applyFill="1" applyBorder="1"/>
    <xf numFmtId="43" fontId="9" fillId="0" borderId="14" xfId="0" applyNumberFormat="1" applyFont="1" applyFill="1" applyBorder="1"/>
    <xf numFmtId="43" fontId="10" fillId="0" borderId="3" xfId="0" applyNumberFormat="1" applyFont="1" applyFill="1" applyBorder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8" fillId="0" borderId="0" xfId="0" applyNumberFormat="1" applyFont="1" applyFill="1" applyBorder="1"/>
    <xf numFmtId="43" fontId="7" fillId="0" borderId="0" xfId="0" applyNumberFormat="1" applyFont="1" applyFill="1" applyBorder="1"/>
    <xf numFmtId="0" fontId="8" fillId="0" borderId="0" xfId="0" applyFont="1" applyBorder="1"/>
    <xf numFmtId="43" fontId="8" fillId="0" borderId="0" xfId="0" applyNumberFormat="1" applyFont="1" applyBorder="1"/>
    <xf numFmtId="43" fontId="8" fillId="0" borderId="0" xfId="1" applyFont="1" applyBorder="1"/>
    <xf numFmtId="43" fontId="7" fillId="0" borderId="0" xfId="0" applyNumberFormat="1" applyFont="1" applyBorder="1"/>
    <xf numFmtId="43" fontId="1" fillId="0" borderId="0" xfId="1" applyFont="1" applyBorder="1"/>
    <xf numFmtId="43" fontId="9" fillId="0" borderId="6" xfId="0" applyNumberFormat="1" applyFont="1" applyFill="1" applyBorder="1"/>
    <xf numFmtId="43" fontId="9" fillId="0" borderId="0" xfId="0" applyNumberFormat="1" applyFont="1" applyFill="1" applyBorder="1"/>
    <xf numFmtId="43" fontId="1" fillId="0" borderId="6" xfId="1" applyFont="1" applyBorder="1"/>
    <xf numFmtId="164" fontId="1" fillId="0" borderId="0" xfId="1" applyNumberFormat="1" applyFont="1"/>
    <xf numFmtId="43" fontId="0" fillId="0" borderId="0" xfId="0" applyNumberFormat="1"/>
    <xf numFmtId="0" fontId="12" fillId="0" borderId="0" xfId="0" applyFont="1" applyFill="1" applyAlignment="1"/>
    <xf numFmtId="0" fontId="4" fillId="0" borderId="0" xfId="0" applyFont="1" applyFill="1"/>
    <xf numFmtId="0" fontId="13" fillId="0" borderId="0" xfId="0" applyFont="1" applyFill="1"/>
    <xf numFmtId="0" fontId="4" fillId="0" borderId="0" xfId="0" applyFont="1" applyFill="1" applyBorder="1"/>
    <xf numFmtId="0" fontId="14" fillId="0" borderId="0" xfId="0" applyFont="1" applyFill="1" applyAlignment="1">
      <alignment wrapText="1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2" xfId="0" applyFont="1" applyFill="1" applyBorder="1"/>
    <xf numFmtId="0" fontId="14" fillId="0" borderId="0" xfId="0" applyFont="1" applyFill="1"/>
    <xf numFmtId="0" fontId="15" fillId="0" borderId="0" xfId="0" applyFont="1"/>
    <xf numFmtId="0" fontId="15" fillId="0" borderId="0" xfId="0" applyFont="1" applyFill="1"/>
    <xf numFmtId="43" fontId="15" fillId="0" borderId="0" xfId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43" fontId="16" fillId="0" borderId="0" xfId="1" applyFont="1" applyAlignment="1">
      <alignment horizontal="center"/>
    </xf>
    <xf numFmtId="0" fontId="16" fillId="0" borderId="0" xfId="0" applyFont="1" applyFill="1" applyAlignment="1">
      <alignment vertic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0" xfId="0" applyFont="1"/>
    <xf numFmtId="0" fontId="16" fillId="0" borderId="0" xfId="0" applyFont="1" applyFill="1"/>
    <xf numFmtId="43" fontId="15" fillId="0" borderId="0" xfId="0" applyNumberFormat="1" applyFont="1" applyFill="1"/>
    <xf numFmtId="10" fontId="15" fillId="0" borderId="0" xfId="3" applyNumberFormat="1" applyFont="1" applyFill="1" applyAlignment="1">
      <alignment horizontal="center"/>
    </xf>
    <xf numFmtId="10" fontId="15" fillId="0" borderId="0" xfId="3" applyNumberFormat="1" applyFont="1" applyAlignment="1">
      <alignment horizontal="center"/>
    </xf>
    <xf numFmtId="43" fontId="15" fillId="0" borderId="0" xfId="0" applyNumberFormat="1" applyFont="1"/>
    <xf numFmtId="43" fontId="15" fillId="0" borderId="0" xfId="1" applyFont="1" applyAlignment="1">
      <alignment horizontal="center"/>
    </xf>
    <xf numFmtId="43" fontId="15" fillId="0" borderId="2" xfId="0" applyNumberFormat="1" applyFont="1" applyFill="1" applyBorder="1"/>
    <xf numFmtId="10" fontId="15" fillId="0" borderId="2" xfId="3" applyNumberFormat="1" applyFont="1" applyFill="1" applyBorder="1" applyAlignment="1">
      <alignment horizontal="center"/>
    </xf>
    <xf numFmtId="10" fontId="15" fillId="0" borderId="0" xfId="3" applyNumberFormat="1" applyFont="1" applyFill="1" applyBorder="1" applyAlignment="1">
      <alignment horizontal="center"/>
    </xf>
    <xf numFmtId="10" fontId="15" fillId="0" borderId="2" xfId="3" applyNumberFormat="1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43" fontId="15" fillId="0" borderId="2" xfId="0" applyNumberFormat="1" applyFont="1" applyBorder="1"/>
    <xf numFmtId="9" fontId="15" fillId="0" borderId="0" xfId="3" applyFont="1" applyAlignment="1">
      <alignment horizontal="center"/>
    </xf>
    <xf numFmtId="43" fontId="15" fillId="0" borderId="14" xfId="0" applyNumberFormat="1" applyFont="1" applyFill="1" applyBorder="1"/>
    <xf numFmtId="43" fontId="15" fillId="0" borderId="14" xfId="0" applyNumberFormat="1" applyFont="1" applyBorder="1"/>
    <xf numFmtId="10" fontId="15" fillId="0" borderId="14" xfId="3" applyNumberFormat="1" applyFont="1" applyBorder="1" applyAlignment="1">
      <alignment horizontal="center"/>
    </xf>
    <xf numFmtId="43" fontId="15" fillId="0" borderId="0" xfId="3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9" fontId="15" fillId="0" borderId="2" xfId="3" applyFont="1" applyBorder="1" applyAlignment="1">
      <alignment horizontal="center"/>
    </xf>
    <xf numFmtId="9" fontId="15" fillId="0" borderId="14" xfId="3" applyFont="1" applyBorder="1" applyAlignment="1">
      <alignment horizontal="center"/>
    </xf>
    <xf numFmtId="43" fontId="15" fillId="0" borderId="0" xfId="3" applyNumberFormat="1" applyFont="1" applyFill="1" applyAlignment="1">
      <alignment horizontal="center"/>
    </xf>
    <xf numFmtId="44" fontId="1" fillId="4" borderId="0" xfId="2" applyFont="1" applyFill="1"/>
    <xf numFmtId="0" fontId="1" fillId="0" borderId="0" xfId="0" applyFont="1" applyFill="1"/>
    <xf numFmtId="165" fontId="1" fillId="0" borderId="0" xfId="0" applyNumberFormat="1" applyFont="1" applyFill="1"/>
    <xf numFmtId="44" fontId="1" fillId="4" borderId="0" xfId="2" applyFont="1" applyFill="1" applyBorder="1"/>
    <xf numFmtId="44" fontId="1" fillId="0" borderId="0" xfId="0" applyNumberFormat="1" applyFont="1" applyFill="1" applyBorder="1"/>
    <xf numFmtId="0" fontId="1" fillId="0" borderId="0" xfId="0" applyFont="1" applyFill="1" applyBorder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Fill="1"/>
    <xf numFmtId="0" fontId="24" fillId="0" borderId="0" xfId="0" applyFont="1"/>
    <xf numFmtId="43" fontId="24" fillId="0" borderId="3" xfId="0" applyNumberFormat="1" applyFont="1" applyFill="1" applyBorder="1"/>
    <xf numFmtId="0" fontId="24" fillId="0" borderId="0" xfId="0" applyFont="1" applyFill="1"/>
    <xf numFmtId="43" fontId="24" fillId="0" borderId="3" xfId="0" applyNumberFormat="1" applyFont="1" applyBorder="1"/>
    <xf numFmtId="43" fontId="24" fillId="0" borderId="5" xfId="0" applyNumberFormat="1" applyFont="1" applyBorder="1"/>
    <xf numFmtId="43" fontId="0" fillId="0" borderId="0" xfId="1" applyFont="1"/>
    <xf numFmtId="44" fontId="0" fillId="0" borderId="0" xfId="2" applyFont="1" applyFill="1"/>
    <xf numFmtId="43" fontId="22" fillId="0" borderId="0" xfId="0" applyNumberFormat="1" applyFont="1" applyFill="1"/>
    <xf numFmtId="0" fontId="4" fillId="0" borderId="0" xfId="0" applyFont="1" applyFill="1" applyAlignment="1">
      <alignment vertical="top"/>
    </xf>
    <xf numFmtId="44" fontId="1" fillId="0" borderId="4" xfId="2" applyFont="1" applyFill="1" applyBorder="1"/>
    <xf numFmtId="0" fontId="17" fillId="0" borderId="0" xfId="0" applyFont="1" applyAlignment="1">
      <alignment horizontal="center" wrapText="1"/>
    </xf>
    <xf numFmtId="14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1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43" fontId="11" fillId="0" borderId="15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43" fontId="11" fillId="0" borderId="16" xfId="1" applyFont="1" applyBorder="1" applyAlignment="1">
      <alignment horizontal="center" vertical="center" wrapText="1"/>
    </xf>
    <xf numFmtId="43" fontId="11" fillId="0" borderId="0" xfId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17" xfId="1" applyFont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3" fontId="11" fillId="0" borderId="13" xfId="1" applyFont="1" applyBorder="1" applyAlignment="1">
      <alignment horizontal="center" vertical="center" wrapText="1"/>
    </xf>
    <xf numFmtId="43" fontId="16" fillId="0" borderId="15" xfId="1" applyFont="1" applyBorder="1" applyAlignment="1">
      <alignment horizontal="center" vertical="center" wrapText="1"/>
    </xf>
    <xf numFmtId="43" fontId="16" fillId="0" borderId="7" xfId="1" applyFont="1" applyBorder="1" applyAlignment="1">
      <alignment horizontal="center" vertical="center" wrapText="1"/>
    </xf>
    <xf numFmtId="43" fontId="16" fillId="0" borderId="8" xfId="1" applyFont="1" applyBorder="1" applyAlignment="1">
      <alignment horizontal="center" vertical="center" wrapText="1"/>
    </xf>
    <xf numFmtId="43" fontId="16" fillId="0" borderId="16" xfId="1" applyFont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43" fontId="16" fillId="0" borderId="9" xfId="1" applyFont="1" applyBorder="1" applyAlignment="1">
      <alignment horizontal="center" vertical="center" wrapText="1"/>
    </xf>
    <xf numFmtId="43" fontId="16" fillId="0" borderId="17" xfId="1" applyFont="1" applyBorder="1" applyAlignment="1">
      <alignment horizontal="center" vertical="center" wrapText="1"/>
    </xf>
    <xf numFmtId="43" fontId="16" fillId="0" borderId="12" xfId="1" applyFont="1" applyBorder="1" applyAlignment="1">
      <alignment horizontal="center" vertical="center" wrapText="1"/>
    </xf>
    <xf numFmtId="43" fontId="16" fillId="0" borderId="13" xfId="1" applyFont="1" applyBorder="1" applyAlignment="1">
      <alignment horizontal="center" vertical="center" wrapText="1"/>
    </xf>
    <xf numFmtId="14" fontId="16" fillId="0" borderId="18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6" fillId="0" borderId="19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2016-2018%20Hedge%20Tre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ing/Pez%20Work/CNT/2018%20Month%20End/Melt%20Profit%20Summary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file.cntofma.local\cntshared\Accting\Rose%20Work\Melt%20Profit%20Summary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eil\AppData\Local\Temp\GL_FinancialReport2_624a54c5-0393-4c95-929d-1001582d9a6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 2017-2018"/>
      <sheetName val="Dec 2018"/>
      <sheetName val="Nov 2018"/>
      <sheetName val="Oct 2018"/>
      <sheetName val="Sept 2018"/>
      <sheetName val="August 2018"/>
      <sheetName val="July 2018"/>
      <sheetName val="June 2018"/>
      <sheetName val="May 2018"/>
      <sheetName val="April 2018"/>
      <sheetName val="March 2018"/>
      <sheetName val="Feb 2018"/>
      <sheetName val="Jan 2018"/>
      <sheetName val="Comparison 2016-2017"/>
      <sheetName val="Dec 15"/>
      <sheetName val="Nov 15"/>
      <sheetName val="Oct 15"/>
      <sheetName val="Sep 15"/>
      <sheetName val="Aug 15"/>
      <sheetName val="Jul 15"/>
      <sheetName val="Jun 15"/>
      <sheetName val="May 15"/>
      <sheetName val="Apr 15"/>
      <sheetName val="Mar 15"/>
      <sheetName val="Dec 17"/>
      <sheetName val="Nov 17"/>
      <sheetName val="October 17"/>
      <sheetName val="Sept 17 "/>
      <sheetName val="August 17"/>
      <sheetName val="July 17"/>
      <sheetName val="June 17"/>
      <sheetName val="May 17"/>
      <sheetName val="April 17"/>
      <sheetName val="March 17"/>
      <sheetName val="Feb 17"/>
      <sheetName val="Jan 17"/>
      <sheetName val="Dec 16"/>
      <sheetName val="Nov 16"/>
      <sheetName val="Oct 16"/>
      <sheetName val="Sept 16"/>
      <sheetName val="Aug 16"/>
      <sheetName val="July 16"/>
      <sheetName val="June 16"/>
      <sheetName val="May 16"/>
      <sheetName val="April 16"/>
      <sheetName val="March 16"/>
      <sheetName val="Feb 16"/>
      <sheetName val="Jan 16"/>
    </sheetNames>
    <sheetDataSet>
      <sheetData sheetId="0">
        <row r="30">
          <cell r="G30">
            <v>885928.51408513961</v>
          </cell>
        </row>
        <row r="54">
          <cell r="G54">
            <v>681928.29401690571</v>
          </cell>
        </row>
        <row r="80">
          <cell r="G80">
            <v>674363.71418699983</v>
          </cell>
        </row>
        <row r="105">
          <cell r="G105">
            <v>655611.34502510389</v>
          </cell>
        </row>
        <row r="155">
          <cell r="G155">
            <v>704133.82690028625</v>
          </cell>
        </row>
        <row r="181">
          <cell r="G181">
            <v>515101.24188355304</v>
          </cell>
        </row>
        <row r="207">
          <cell r="G207">
            <v>680756.08379218809</v>
          </cell>
        </row>
        <row r="232">
          <cell r="G232">
            <v>640882.53297928849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>
        <row r="6">
          <cell r="B6">
            <v>51934.229999999996</v>
          </cell>
        </row>
      </sheetData>
      <sheetData sheetId="1"/>
      <sheetData sheetId="2"/>
      <sheetData sheetId="3">
        <row r="35">
          <cell r="B35">
            <v>90332.26999999999</v>
          </cell>
        </row>
      </sheetData>
      <sheetData sheetId="4">
        <row r="35">
          <cell r="B35">
            <v>42087.81</v>
          </cell>
        </row>
      </sheetData>
      <sheetData sheetId="5"/>
      <sheetData sheetId="6">
        <row r="35">
          <cell r="B35">
            <v>6099.46</v>
          </cell>
        </row>
      </sheetData>
      <sheetData sheetId="7">
        <row r="35">
          <cell r="B35">
            <v>91429.33</v>
          </cell>
        </row>
      </sheetData>
      <sheetData sheetId="8">
        <row r="35">
          <cell r="B35">
            <v>25335.02</v>
          </cell>
        </row>
      </sheetData>
      <sheetData sheetId="9">
        <row r="35">
          <cell r="B35">
            <v>17267.59</v>
          </cell>
        </row>
      </sheetData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ummary"/>
      <sheetName val="Jan"/>
      <sheetName val="Feb"/>
      <sheetName val="Mar"/>
      <sheetName val="Apr"/>
      <sheetName val="May"/>
      <sheetName val="Jun"/>
      <sheetName val="Jul"/>
      <sheetName val="Aug"/>
      <sheetName val="Sept "/>
      <sheetName val="Oct "/>
      <sheetName val="Nov"/>
      <sheetName val="Dec"/>
    </sheetNames>
    <sheetDataSet>
      <sheetData sheetId="0" refreshError="1"/>
      <sheetData sheetId="1" refreshError="1"/>
      <sheetData sheetId="2">
        <row r="35">
          <cell r="B35">
            <v>36189.82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94">
          <cell r="R94">
            <v>332968.82</v>
          </cell>
        </row>
        <row r="95">
          <cell r="R95">
            <v>4088</v>
          </cell>
        </row>
        <row r="96">
          <cell r="R96">
            <v>24572.799999999999</v>
          </cell>
        </row>
        <row r="97">
          <cell r="R97">
            <v>26044.41</v>
          </cell>
        </row>
        <row r="98">
          <cell r="R98">
            <v>4559.01</v>
          </cell>
        </row>
        <row r="99">
          <cell r="R99">
            <v>8600</v>
          </cell>
        </row>
        <row r="100">
          <cell r="R100">
            <v>1600</v>
          </cell>
        </row>
        <row r="101">
          <cell r="R101">
            <v>1388.91</v>
          </cell>
        </row>
        <row r="102">
          <cell r="R102">
            <v>0</v>
          </cell>
        </row>
        <row r="103">
          <cell r="R103">
            <v>1732.26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1"/>
  <sheetViews>
    <sheetView zoomScaleNormal="100" workbookViewId="0">
      <pane ySplit="6" topLeftCell="A54" activePane="bottomLeft" state="frozen"/>
      <selection activeCell="E34" sqref="E34"/>
      <selection pane="bottomLeft" activeCell="B5" sqref="B1:H1048576"/>
    </sheetView>
  </sheetViews>
  <sheetFormatPr defaultRowHeight="15" x14ac:dyDescent="0.25"/>
  <cols>
    <col min="1" max="1" width="47" bestFit="1" customWidth="1"/>
    <col min="2" max="2" width="23.42578125" style="55" bestFit="1" customWidth="1"/>
    <col min="3" max="3" width="19.7109375" style="55" bestFit="1" customWidth="1"/>
    <col min="4" max="8" width="18.7109375" style="55" customWidth="1"/>
    <col min="9" max="9" width="23.42578125" style="55" bestFit="1" customWidth="1"/>
    <col min="12" max="12" width="16.85546875" style="48" bestFit="1" customWidth="1"/>
  </cols>
  <sheetData>
    <row r="1" spans="1:12" ht="26.25" x14ac:dyDescent="0.4">
      <c r="A1" s="173" t="s">
        <v>331</v>
      </c>
      <c r="B1" s="173"/>
      <c r="C1" s="173"/>
      <c r="D1" s="173"/>
      <c r="E1" s="173"/>
      <c r="F1" s="173"/>
      <c r="G1" s="173"/>
      <c r="H1" s="173"/>
      <c r="I1" s="173"/>
    </row>
    <row r="2" spans="1:12" ht="26.25" x14ac:dyDescent="0.4">
      <c r="A2" s="173" t="s">
        <v>330</v>
      </c>
      <c r="B2" s="173"/>
      <c r="C2" s="173"/>
      <c r="D2" s="173"/>
      <c r="E2" s="173"/>
      <c r="F2" s="173"/>
      <c r="G2" s="173"/>
      <c r="H2" s="173"/>
      <c r="I2" s="173"/>
    </row>
    <row r="3" spans="1:12" ht="26.25" x14ac:dyDescent="0.4">
      <c r="A3" s="173" t="s">
        <v>266</v>
      </c>
      <c r="B3" s="173"/>
      <c r="C3" s="173"/>
      <c r="D3" s="173"/>
      <c r="E3" s="173"/>
      <c r="F3" s="173"/>
      <c r="G3" s="173"/>
      <c r="H3" s="173"/>
      <c r="I3" s="173"/>
    </row>
    <row r="4" spans="1:12" ht="26.25" x14ac:dyDescent="0.4">
      <c r="A4" s="174">
        <v>43404</v>
      </c>
      <c r="B4" s="175"/>
      <c r="C4" s="175"/>
      <c r="D4" s="175"/>
      <c r="E4" s="175"/>
      <c r="F4" s="175"/>
      <c r="G4" s="175"/>
      <c r="H4" s="175"/>
      <c r="I4" s="175"/>
    </row>
    <row r="6" spans="1:12" s="88" customFormat="1" ht="30" customHeight="1" x14ac:dyDescent="0.3">
      <c r="B6" s="89" t="s">
        <v>212</v>
      </c>
      <c r="C6" s="89" t="s">
        <v>214</v>
      </c>
      <c r="D6" s="89" t="s">
        <v>213</v>
      </c>
      <c r="E6" s="89" t="s">
        <v>215</v>
      </c>
      <c r="F6" s="89" t="s">
        <v>216</v>
      </c>
      <c r="G6" s="89" t="s">
        <v>411</v>
      </c>
      <c r="H6" s="89" t="s">
        <v>422</v>
      </c>
      <c r="I6" s="89" t="s">
        <v>207</v>
      </c>
      <c r="L6" s="90"/>
    </row>
    <row r="7" spans="1:12" s="88" customFormat="1" ht="39.950000000000003" customHeight="1" x14ac:dyDescent="0.3">
      <c r="A7" s="91" t="s">
        <v>62</v>
      </c>
      <c r="B7" s="93">
        <f>'Comp Summary YTD 2018-2017 Oct'!B21</f>
        <v>4267409148.0599999</v>
      </c>
      <c r="C7" s="93">
        <f>'Comp Summary YTD 2018-2017 Oct'!C21</f>
        <v>71969030.719999999</v>
      </c>
      <c r="D7" s="93">
        <f>'Comp Summary YTD 2018-2017 Oct'!D21</f>
        <v>2882989.85</v>
      </c>
      <c r="E7" s="93">
        <f>'Comp Summary YTD 2018-2017 Oct'!E21</f>
        <v>0</v>
      </c>
      <c r="F7" s="93">
        <f>'Comp Summary YTD 2018-2017 Oct'!F21</f>
        <v>562651.29</v>
      </c>
      <c r="G7" s="93">
        <f>'Comp Summary YTD 2018-2017 Oct'!G21</f>
        <v>0</v>
      </c>
      <c r="H7" s="93">
        <f>'Comp Summary YTD 2018-2017 Oct'!H21</f>
        <v>0</v>
      </c>
      <c r="I7" s="93">
        <f>SUM(B7:H7)</f>
        <v>4342823819.9200001</v>
      </c>
      <c r="L7" s="90"/>
    </row>
    <row r="8" spans="1:12" s="88" customFormat="1" ht="39.950000000000003" customHeight="1" x14ac:dyDescent="0.3">
      <c r="B8" s="107"/>
      <c r="C8" s="107"/>
      <c r="D8" s="107"/>
      <c r="E8" s="107"/>
      <c r="F8" s="107"/>
      <c r="G8" s="107"/>
      <c r="H8" s="107"/>
      <c r="I8" s="107"/>
      <c r="L8" s="90"/>
    </row>
    <row r="9" spans="1:12" s="88" customFormat="1" ht="39.950000000000003" customHeight="1" x14ac:dyDescent="0.3">
      <c r="A9" s="91" t="s">
        <v>224</v>
      </c>
      <c r="B9" s="106">
        <f>'Comp Summary YTD 2018-2017 Oct'!B25</f>
        <v>4262326422.7199998</v>
      </c>
      <c r="C9" s="106">
        <f>'Comp Summary YTD 2018-2017 Oct'!C25</f>
        <v>70930473.179999992</v>
      </c>
      <c r="D9" s="106">
        <f>'Comp Summary YTD 2018-2017 Oct'!D25</f>
        <v>355625.38000000006</v>
      </c>
      <c r="E9" s="106">
        <f>'Comp Summary YTD 2018-2017 Oct'!E25</f>
        <v>0</v>
      </c>
      <c r="F9" s="106">
        <f>'Comp Summary YTD 2018-2017 Oct'!F25</f>
        <v>1648.2199999999998</v>
      </c>
      <c r="G9" s="106">
        <f>'Comp Summary YTD 2018-2017 Oct'!G25</f>
        <v>0</v>
      </c>
      <c r="H9" s="106">
        <f>'Comp Summary YTD 2018-2017 Oct'!H25</f>
        <v>0</v>
      </c>
      <c r="I9" s="106">
        <f>SUM(B9:H9)</f>
        <v>4333614169.5</v>
      </c>
      <c r="L9" s="90"/>
    </row>
    <row r="10" spans="1:12" s="88" customFormat="1" ht="39.950000000000003" customHeight="1" x14ac:dyDescent="0.3">
      <c r="B10" s="92"/>
      <c r="C10" s="92"/>
      <c r="D10" s="92"/>
      <c r="E10" s="92"/>
      <c r="F10" s="92"/>
      <c r="G10" s="92"/>
      <c r="H10" s="92"/>
      <c r="I10" s="92"/>
      <c r="L10" s="90"/>
    </row>
    <row r="11" spans="1:12" s="88" customFormat="1" ht="39.950000000000003" customHeight="1" thickBot="1" x14ac:dyDescent="0.35">
      <c r="A11" s="91" t="s">
        <v>211</v>
      </c>
      <c r="B11" s="94">
        <f t="shared" ref="B11:H11" si="0">B7-B9</f>
        <v>5082725.3400001526</v>
      </c>
      <c r="C11" s="94">
        <f t="shared" si="0"/>
        <v>1038557.5400000066</v>
      </c>
      <c r="D11" s="94">
        <f t="shared" si="0"/>
        <v>2527364.4700000002</v>
      </c>
      <c r="E11" s="94">
        <f t="shared" si="0"/>
        <v>0</v>
      </c>
      <c r="F11" s="94">
        <f t="shared" si="0"/>
        <v>561003.07000000007</v>
      </c>
      <c r="G11" s="94">
        <f>G7-G9</f>
        <v>0</v>
      </c>
      <c r="H11" s="94">
        <f t="shared" si="0"/>
        <v>0</v>
      </c>
      <c r="I11" s="94">
        <f>SUM(B11:H11)</f>
        <v>9209650.4200001601</v>
      </c>
      <c r="L11" s="90"/>
    </row>
    <row r="12" spans="1:12" s="88" customFormat="1" ht="30" customHeight="1" x14ac:dyDescent="0.3">
      <c r="B12" s="92"/>
      <c r="C12" s="92"/>
      <c r="D12" s="92"/>
      <c r="E12" s="92"/>
      <c r="F12" s="92"/>
      <c r="G12" s="92"/>
      <c r="H12" s="92"/>
      <c r="I12" s="92"/>
      <c r="L12" s="90"/>
    </row>
    <row r="13" spans="1:12" s="88" customFormat="1" ht="30" customHeight="1" x14ac:dyDescent="0.3">
      <c r="A13" s="91" t="s">
        <v>209</v>
      </c>
      <c r="B13" s="92"/>
      <c r="C13" s="92"/>
      <c r="D13" s="92"/>
      <c r="E13" s="92"/>
      <c r="F13" s="92"/>
      <c r="G13" s="92"/>
      <c r="H13" s="92"/>
      <c r="I13" s="92"/>
      <c r="L13" s="90"/>
    </row>
    <row r="14" spans="1:12" s="88" customFormat="1" ht="30" customHeight="1" x14ac:dyDescent="0.3">
      <c r="B14" s="92"/>
      <c r="C14" s="92"/>
      <c r="D14" s="92"/>
      <c r="E14" s="92"/>
      <c r="F14" s="92"/>
      <c r="G14" s="92"/>
      <c r="H14" s="92"/>
      <c r="I14" s="92"/>
      <c r="L14" s="90"/>
    </row>
    <row r="15" spans="1:12" s="88" customFormat="1" ht="30" customHeight="1" x14ac:dyDescent="0.3">
      <c r="A15" s="91" t="s">
        <v>225</v>
      </c>
      <c r="B15" s="92"/>
      <c r="C15" s="92"/>
      <c r="D15" s="92"/>
      <c r="E15" s="92"/>
      <c r="F15" s="92"/>
      <c r="G15" s="92"/>
      <c r="H15" s="92"/>
      <c r="I15" s="92"/>
      <c r="L15" s="90"/>
    </row>
    <row r="16" spans="1:12" s="88" customFormat="1" ht="30" customHeight="1" x14ac:dyDescent="0.3">
      <c r="B16" s="92">
        <f>'Summary YTD 10.31.18'!B32</f>
        <v>2092743.11</v>
      </c>
      <c r="C16" s="92">
        <f>'Summary YTD 10.31.18'!C32</f>
        <v>538580.85</v>
      </c>
      <c r="D16" s="92">
        <f>'Summary YTD 10.31.18'!D32</f>
        <v>639661.62</v>
      </c>
      <c r="E16" s="92">
        <f>'Summary YTD 10.31.18'!E32</f>
        <v>0</v>
      </c>
      <c r="F16" s="92">
        <f>'Summary YTD 10.31.18'!F32</f>
        <v>243744.91999999998</v>
      </c>
      <c r="G16" s="92">
        <f>'Summary YTD 10.31.18'!G32</f>
        <v>0</v>
      </c>
      <c r="H16" s="92">
        <f>'Summary YTD 10.31.18'!H32</f>
        <v>0</v>
      </c>
      <c r="I16" s="92">
        <f>SUM(B16:H16)</f>
        <v>3514730.5</v>
      </c>
      <c r="L16" s="90"/>
    </row>
    <row r="17" spans="1:12" s="88" customFormat="1" ht="30" customHeight="1" x14ac:dyDescent="0.3">
      <c r="A17" s="88" t="s">
        <v>228</v>
      </c>
      <c r="B17" s="92">
        <f>'Summary YTD 10.31.18'!B34</f>
        <v>169941.39999999997</v>
      </c>
      <c r="C17" s="92">
        <f>'Summary YTD 10.31.18'!C34</f>
        <v>44585.64</v>
      </c>
      <c r="D17" s="92">
        <f>'Summary YTD 10.31.18'!D34</f>
        <v>52994.91</v>
      </c>
      <c r="E17" s="92">
        <f>'Summary YTD 10.31.18'!E34</f>
        <v>0</v>
      </c>
      <c r="F17" s="92">
        <f>'Summary YTD 10.31.18'!F34</f>
        <v>16190.140000000003</v>
      </c>
      <c r="G17" s="92">
        <f>'Summary YTD 10.31.18'!G34</f>
        <v>0</v>
      </c>
      <c r="H17" s="92">
        <f>'Summary YTD 10.31.18'!H34</f>
        <v>0</v>
      </c>
      <c r="I17" s="92">
        <f>SUM(B17:H17)</f>
        <v>283712.08999999997</v>
      </c>
      <c r="L17" s="90"/>
    </row>
    <row r="18" spans="1:12" s="88" customFormat="1" ht="30" customHeight="1" x14ac:dyDescent="0.3">
      <c r="A18" s="88" t="s">
        <v>463</v>
      </c>
      <c r="B18" s="92">
        <f>'Summary YTD 10.31.18'!B33+'Summary YTD 10.31.18'!B35+'Summary YTD 10.31.18'!B36+'Summary YTD 10.31.18'!B37+'Summary YTD 10.31.18'!B38+'Summary YTD 10.31.18'!B39+'Summary YTD 10.31.18'!B40</f>
        <v>357700.73000000004</v>
      </c>
      <c r="C18" s="92">
        <f>'Summary YTD 10.31.18'!C33+'Summary YTD 10.31.18'!C35+'Summary YTD 10.31.18'!C36+'Summary YTD 10.31.18'!C37+'Summary YTD 10.31.18'!C38+'Summary YTD 10.31.18'!C39+'Summary YTD 10.31.18'!C40</f>
        <v>57366.270000000004</v>
      </c>
      <c r="D18" s="92">
        <f>'Summary YTD 10.31.18'!D33+'Summary YTD 10.31.18'!D35+'Summary YTD 10.31.18'!D36+'Summary YTD 10.31.18'!D37+'Summary YTD 10.31.18'!D38+'Summary YTD 10.31.18'!D39+'Summary YTD 10.31.18'!D40</f>
        <v>120975.72</v>
      </c>
      <c r="E18" s="92">
        <f>'Summary YTD 10.31.18'!E33+'Summary YTD 10.31.18'!E35+'Summary YTD 10.31.18'!E36+'Summary YTD 10.31.18'!E37+'Summary YTD 10.31.18'!E38+'Summary YTD 10.31.18'!E39+'Summary YTD 10.31.18'!E40</f>
        <v>0</v>
      </c>
      <c r="F18" s="92">
        <f>'Summary YTD 10.31.18'!F33+'Summary YTD 10.31.18'!F35+'Summary YTD 10.31.18'!F36+'Summary YTD 10.31.18'!F37+'Summary YTD 10.31.18'!F38+'Summary YTD 10.31.18'!F39+'Summary YTD 10.31.18'!F40</f>
        <v>59971.16</v>
      </c>
      <c r="G18" s="92">
        <v>0</v>
      </c>
      <c r="H18" s="92">
        <f>'BSC (Dome)'!M24</f>
        <v>0</v>
      </c>
      <c r="I18" s="92">
        <f>SUM(B18:H18)</f>
        <v>596013.88000000012</v>
      </c>
      <c r="L18" s="90"/>
    </row>
    <row r="19" spans="1:12" s="88" customFormat="1" ht="30" customHeight="1" x14ac:dyDescent="0.3">
      <c r="A19" s="91" t="s">
        <v>233</v>
      </c>
      <c r="B19" s="93">
        <f t="shared" ref="B19:H19" si="1">SUM(B16:B18)</f>
        <v>2620385.2400000002</v>
      </c>
      <c r="C19" s="93">
        <f t="shared" si="1"/>
        <v>640532.76</v>
      </c>
      <c r="D19" s="93">
        <f t="shared" si="1"/>
        <v>813632.25</v>
      </c>
      <c r="E19" s="93">
        <f t="shared" si="1"/>
        <v>0</v>
      </c>
      <c r="F19" s="93">
        <f t="shared" si="1"/>
        <v>319906.21999999997</v>
      </c>
      <c r="G19" s="93">
        <f t="shared" si="1"/>
        <v>0</v>
      </c>
      <c r="H19" s="93">
        <f t="shared" si="1"/>
        <v>0</v>
      </c>
      <c r="I19" s="93">
        <f>SUM(B19:H19)</f>
        <v>4394456.47</v>
      </c>
      <c r="L19" s="90"/>
    </row>
    <row r="20" spans="1:12" s="88" customFormat="1" ht="30" customHeight="1" x14ac:dyDescent="0.3">
      <c r="B20" s="92"/>
      <c r="C20" s="92"/>
      <c r="D20" s="92"/>
      <c r="E20" s="92"/>
      <c r="F20" s="92"/>
      <c r="G20" s="92"/>
      <c r="H20" s="92"/>
      <c r="I20" s="92"/>
      <c r="L20" s="90"/>
    </row>
    <row r="21" spans="1:12" s="88" customFormat="1" ht="30" customHeight="1" x14ac:dyDescent="0.3">
      <c r="A21" s="91" t="s">
        <v>234</v>
      </c>
      <c r="B21" s="92"/>
      <c r="C21" s="92"/>
      <c r="D21" s="92"/>
      <c r="E21" s="92"/>
      <c r="F21" s="92"/>
      <c r="G21" s="92"/>
      <c r="H21" s="92"/>
      <c r="I21" s="92"/>
      <c r="L21" s="90"/>
    </row>
    <row r="22" spans="1:12" s="88" customFormat="1" ht="30" customHeight="1" x14ac:dyDescent="0.3">
      <c r="A22" s="88" t="s">
        <v>235</v>
      </c>
      <c r="B22" s="92">
        <f>'Summary YTD 10.31.18'!B44</f>
        <v>442000</v>
      </c>
      <c r="C22" s="92">
        <f>'Summary YTD 10.31.18'!C44</f>
        <v>50000</v>
      </c>
      <c r="D22" s="92">
        <f>'Summary YTD 10.31.18'!D44</f>
        <v>375000</v>
      </c>
      <c r="E22" s="92">
        <f>'Summary YTD 10.31.18'!E44</f>
        <v>0</v>
      </c>
      <c r="F22" s="92">
        <f>'Summary YTD 10.31.18'!F44</f>
        <v>10000</v>
      </c>
      <c r="G22" s="92">
        <f>'Summary YTD 10.31.18'!G44</f>
        <v>0</v>
      </c>
      <c r="H22" s="92">
        <f>'Summary YTD 10.31.18'!H44</f>
        <v>0</v>
      </c>
      <c r="I22" s="92">
        <f>SUM(B22:H22)</f>
        <v>877000</v>
      </c>
      <c r="L22" s="90"/>
    </row>
    <row r="23" spans="1:12" s="88" customFormat="1" ht="30" customHeight="1" x14ac:dyDescent="0.3">
      <c r="A23" s="88" t="s">
        <v>290</v>
      </c>
      <c r="B23" s="92">
        <f>'Summary YTD 10.31.18'!B45+'Summary YTD 10.31.18'!B46+'Summary YTD 10.31.18'!B47</f>
        <v>11758.279999999999</v>
      </c>
      <c r="C23" s="92">
        <f>'Summary YTD 10.31.18'!C45+'Summary YTD 10.31.18'!C46+'Summary YTD 10.31.18'!C47</f>
        <v>0</v>
      </c>
      <c r="D23" s="92">
        <f>'Summary YTD 10.31.18'!D45+'Summary YTD 10.31.18'!D46+'Summary YTD 10.31.18'!D47</f>
        <v>69462.649999999994</v>
      </c>
      <c r="E23" s="92">
        <f>'Summary YTD 10.31.18'!E45+'Summary YTD 10.31.18'!E46+'Summary YTD 10.31.18'!E47</f>
        <v>0</v>
      </c>
      <c r="F23" s="92">
        <f>'Summary YTD 10.31.18'!F45+'Summary YTD 10.31.18'!F46+'Summary YTD 10.31.18'!F47</f>
        <v>68914.140000000014</v>
      </c>
      <c r="G23" s="92">
        <f>'Summary YTD 10.31.18'!G45+'Summary YTD 10.31.18'!G46+'Summary YTD 10.31.18'!G47</f>
        <v>0</v>
      </c>
      <c r="H23" s="92">
        <f>'Summary YTD 10.31.18'!H45+'Summary YTD 10.31.18'!H46+'Summary YTD 10.31.18'!H47</f>
        <v>0</v>
      </c>
      <c r="I23" s="92">
        <f t="shared" ref="I23:I35" si="2">SUM(B23:H23)</f>
        <v>150135.07</v>
      </c>
      <c r="L23" s="90"/>
    </row>
    <row r="24" spans="1:12" s="88" customFormat="1" ht="30" customHeight="1" x14ac:dyDescent="0.3">
      <c r="A24" s="88" t="s">
        <v>415</v>
      </c>
      <c r="B24" s="92">
        <f>'Summary YTD 10.31.18'!B48+'Summary YTD 10.31.18'!B49+'Summary YTD 10.31.18'!B50+'Summary YTD 10.31.18'!B51</f>
        <v>149481.89000000001</v>
      </c>
      <c r="C24" s="92">
        <f>'Summary YTD 10.31.18'!C48+'Summary YTD 10.31.18'!C49+'Summary YTD 10.31.18'!C50+'Summary YTD 10.31.18'!C51</f>
        <v>2719.73</v>
      </c>
      <c r="D24" s="92">
        <f>'Summary YTD 10.31.18'!D48+'Summary YTD 10.31.18'!D49+'Summary YTD 10.31.18'!D50+'Summary YTD 10.31.18'!D51</f>
        <v>64777.95</v>
      </c>
      <c r="E24" s="92">
        <f>'Summary YTD 10.31.18'!E48+'Summary YTD 10.31.18'!E49+'Summary YTD 10.31.18'!E50+'Summary YTD 10.31.18'!E51</f>
        <v>0</v>
      </c>
      <c r="F24" s="92">
        <f>'Summary YTD 10.31.18'!F48+'Summary YTD 10.31.18'!F49+'Summary YTD 10.31.18'!F50+'Summary YTD 10.31.18'!F51</f>
        <v>25776.63</v>
      </c>
      <c r="G24" s="92">
        <f>'Summary YTD 10.31.18'!G48+'Summary YTD 10.31.18'!G49+'Summary YTD 10.31.18'!G50+'Summary YTD 10.31.18'!G51</f>
        <v>0</v>
      </c>
      <c r="H24" s="92">
        <f>'Summary YTD 10.31.18'!H48+'Summary YTD 10.31.18'!H49+'Summary YTD 10.31.18'!H50+'Summary YTD 10.31.18'!H51</f>
        <v>0</v>
      </c>
      <c r="I24" s="92">
        <f>SUM(B24:H24)</f>
        <v>242756.2</v>
      </c>
      <c r="L24" s="90"/>
    </row>
    <row r="25" spans="1:12" s="88" customFormat="1" ht="30" customHeight="1" x14ac:dyDescent="0.3">
      <c r="A25" s="88" t="s">
        <v>240</v>
      </c>
      <c r="B25" s="92">
        <f>'Summary YTD 10.31.18'!B52</f>
        <v>88777.890000000014</v>
      </c>
      <c r="C25" s="92">
        <f>'Summary YTD 10.31.18'!C52</f>
        <v>0</v>
      </c>
      <c r="D25" s="92">
        <f>'Summary YTD 10.31.18'!D52</f>
        <v>52895.720000000016</v>
      </c>
      <c r="E25" s="92">
        <f>'Summary YTD 10.31.18'!E52</f>
        <v>0</v>
      </c>
      <c r="F25" s="92">
        <f>'Summary YTD 10.31.18'!F52</f>
        <v>739.67</v>
      </c>
      <c r="G25" s="92">
        <f>'Summary YTD 10.31.18'!G52</f>
        <v>0</v>
      </c>
      <c r="H25" s="92">
        <f>'Summary YTD 10.31.18'!H52</f>
        <v>0</v>
      </c>
      <c r="I25" s="92">
        <f t="shared" si="2"/>
        <v>142413.28000000006</v>
      </c>
      <c r="L25" s="90"/>
    </row>
    <row r="26" spans="1:12" s="88" customFormat="1" ht="30" customHeight="1" x14ac:dyDescent="0.3">
      <c r="A26" s="88" t="s">
        <v>241</v>
      </c>
      <c r="B26" s="92">
        <f>'Summary YTD 10.31.18'!B53</f>
        <v>38000</v>
      </c>
      <c r="C26" s="92">
        <f>'Summary YTD 10.31.18'!C53</f>
        <v>0</v>
      </c>
      <c r="D26" s="92">
        <f>'Summary YTD 10.31.18'!D53</f>
        <v>12411.92</v>
      </c>
      <c r="E26" s="92">
        <f>'Summary YTD 10.31.18'!E53</f>
        <v>0</v>
      </c>
      <c r="F26" s="92">
        <f>'Summary YTD 10.31.18'!F53</f>
        <v>0</v>
      </c>
      <c r="G26" s="92">
        <f>'Summary YTD 10.31.18'!G53</f>
        <v>0</v>
      </c>
      <c r="H26" s="92">
        <f>'Summary YTD 10.31.18'!H53</f>
        <v>0</v>
      </c>
      <c r="I26" s="92">
        <f t="shared" si="2"/>
        <v>50411.92</v>
      </c>
      <c r="L26" s="90"/>
    </row>
    <row r="27" spans="1:12" s="88" customFormat="1" ht="30" customHeight="1" x14ac:dyDescent="0.3">
      <c r="A27" s="88" t="s">
        <v>239</v>
      </c>
      <c r="B27" s="92">
        <f>'Summary YTD 10.31.18'!B54</f>
        <v>45541.539999999994</v>
      </c>
      <c r="C27" s="92">
        <f>'Summary YTD 10.31.18'!C54</f>
        <v>5060.17</v>
      </c>
      <c r="D27" s="92">
        <f>'Summary YTD 10.31.18'!D54</f>
        <v>167056.25</v>
      </c>
      <c r="E27" s="92">
        <f>'Summary YTD 10.31.18'!E54</f>
        <v>0</v>
      </c>
      <c r="F27" s="92">
        <f>'Summary YTD 10.31.18'!F54</f>
        <v>24234</v>
      </c>
      <c r="G27" s="92">
        <f>'Summary YTD 10.31.18'!G54</f>
        <v>0</v>
      </c>
      <c r="H27" s="92">
        <f>'Summary YTD 10.31.18'!H54</f>
        <v>0</v>
      </c>
      <c r="I27" s="92">
        <f t="shared" si="2"/>
        <v>241891.96</v>
      </c>
      <c r="L27" s="90"/>
    </row>
    <row r="28" spans="1:12" s="88" customFormat="1" ht="30" customHeight="1" x14ac:dyDescent="0.3">
      <c r="A28" s="88" t="s">
        <v>358</v>
      </c>
      <c r="B28" s="92">
        <f>'Summary YTD 10.31.18'!B55</f>
        <v>1753</v>
      </c>
      <c r="C28" s="92">
        <f>'Summary YTD 10.31.18'!C55</f>
        <v>408.90000000000003</v>
      </c>
      <c r="D28" s="92">
        <f>'Summary YTD 10.31.18'!D55</f>
        <v>449</v>
      </c>
      <c r="E28" s="92">
        <f>'Summary YTD 10.31.18'!E55</f>
        <v>109</v>
      </c>
      <c r="F28" s="92">
        <f>'Summary YTD 10.31.18'!F55</f>
        <v>965</v>
      </c>
      <c r="G28" s="92">
        <f>'Summary YTD 10.31.18'!G55</f>
        <v>520</v>
      </c>
      <c r="H28" s="92">
        <f>'Summary YTD 10.31.18'!H55</f>
        <v>520</v>
      </c>
      <c r="I28" s="92">
        <f t="shared" si="2"/>
        <v>4724.8999999999996</v>
      </c>
      <c r="L28" s="90"/>
    </row>
    <row r="29" spans="1:12" s="88" customFormat="1" ht="30" customHeight="1" x14ac:dyDescent="0.3">
      <c r="A29" s="88" t="s">
        <v>242</v>
      </c>
      <c r="B29" s="92">
        <f>'Summary YTD 10.31.18'!B57+'Summary YTD 10.31.18'!B56</f>
        <v>29064.620000000003</v>
      </c>
      <c r="C29" s="92">
        <f>'Summary YTD 10.31.18'!C57+'Summary YTD 10.31.18'!C56</f>
        <v>0</v>
      </c>
      <c r="D29" s="92">
        <f>'Summary YTD 10.31.18'!D57+'Summary YTD 10.31.18'!D56</f>
        <v>272.42</v>
      </c>
      <c r="E29" s="92">
        <f>'Summary YTD 10.31.18'!E57+'Summary YTD 10.31.18'!E56</f>
        <v>0</v>
      </c>
      <c r="F29" s="92">
        <f>'Summary YTD 10.31.18'!F57+'Summary YTD 10.31.18'!F56</f>
        <v>17940.54</v>
      </c>
      <c r="G29" s="92">
        <f>'Summary YTD 10.31.18'!G57+'Summary YTD 10.31.18'!G56</f>
        <v>0</v>
      </c>
      <c r="H29" s="92">
        <f>'Summary YTD 10.31.18'!H57+'Summary YTD 10.31.18'!H56</f>
        <v>0</v>
      </c>
      <c r="I29" s="92">
        <f t="shared" si="2"/>
        <v>47277.58</v>
      </c>
      <c r="L29" s="90"/>
    </row>
    <row r="30" spans="1:12" s="88" customFormat="1" ht="30" customHeight="1" x14ac:dyDescent="0.3">
      <c r="A30" s="88" t="s">
        <v>243</v>
      </c>
      <c r="B30" s="92">
        <f>'Summary YTD 10.31.18'!B58</f>
        <v>8554.1299999999992</v>
      </c>
      <c r="C30" s="92">
        <f>'Summary YTD 10.31.18'!C58</f>
        <v>0</v>
      </c>
      <c r="D30" s="92">
        <f>'Summary YTD 10.31.18'!D58</f>
        <v>3721.8099999999995</v>
      </c>
      <c r="E30" s="92">
        <f>'Summary YTD 10.31.18'!E58</f>
        <v>0</v>
      </c>
      <c r="F30" s="92">
        <f>'Summary YTD 10.31.18'!F58</f>
        <v>0</v>
      </c>
      <c r="G30" s="92">
        <f>'Summary YTD 10.31.18'!G58</f>
        <v>0</v>
      </c>
      <c r="H30" s="92">
        <f>'Summary YTD 10.31.18'!H58</f>
        <v>0</v>
      </c>
      <c r="I30" s="92">
        <f t="shared" si="2"/>
        <v>12275.939999999999</v>
      </c>
      <c r="L30" s="90"/>
    </row>
    <row r="31" spans="1:12" s="88" customFormat="1" ht="30" customHeight="1" x14ac:dyDescent="0.3">
      <c r="A31" s="88" t="s">
        <v>245</v>
      </c>
      <c r="B31" s="92">
        <f>'Summary YTD 10.31.18'!B60</f>
        <v>1250210.18</v>
      </c>
      <c r="C31" s="92">
        <f>'Summary YTD 10.31.18'!C60</f>
        <v>3907.0299999999997</v>
      </c>
      <c r="D31" s="92">
        <f>'Summary YTD 10.31.18'!D60</f>
        <v>104785.78</v>
      </c>
      <c r="E31" s="92">
        <f>'Summary YTD 10.31.18'!E60</f>
        <v>0</v>
      </c>
      <c r="F31" s="92">
        <f>'Summary YTD 10.31.18'!F60</f>
        <v>93289.06</v>
      </c>
      <c r="G31" s="92">
        <f>'Summary YTD 10.31.18'!G60</f>
        <v>92512.700000000026</v>
      </c>
      <c r="H31" s="92">
        <f>'Summary YTD 10.31.18'!H60</f>
        <v>147135.84</v>
      </c>
      <c r="I31" s="92">
        <f t="shared" si="2"/>
        <v>1691840.59</v>
      </c>
      <c r="L31" s="90"/>
    </row>
    <row r="32" spans="1:12" s="88" customFormat="1" ht="30" customHeight="1" x14ac:dyDescent="0.3">
      <c r="A32" s="88" t="s">
        <v>244</v>
      </c>
      <c r="B32" s="92">
        <f>'Summary YTD 10.31.18'!B59</f>
        <v>3333.2999999999997</v>
      </c>
      <c r="C32" s="92">
        <f>'Summary YTD 10.31.18'!C59</f>
        <v>0</v>
      </c>
      <c r="D32" s="92">
        <f>'Summary YTD 10.31.18'!D59</f>
        <v>0</v>
      </c>
      <c r="E32" s="92">
        <f>'Summary YTD 10.31.18'!E59</f>
        <v>0</v>
      </c>
      <c r="F32" s="92">
        <f>'Summary YTD 10.31.18'!F59</f>
        <v>0</v>
      </c>
      <c r="G32" s="92">
        <f>'Summary YTD 10.31.18'!G59</f>
        <v>0</v>
      </c>
      <c r="H32" s="92">
        <f>'Summary YTD 10.31.18'!H59</f>
        <v>0</v>
      </c>
      <c r="I32" s="92">
        <f t="shared" si="2"/>
        <v>3333.2999999999997</v>
      </c>
      <c r="L32" s="90"/>
    </row>
    <row r="33" spans="1:12" s="88" customFormat="1" ht="30" customHeight="1" x14ac:dyDescent="0.3">
      <c r="A33" s="88" t="s">
        <v>255</v>
      </c>
      <c r="B33" s="92">
        <f>'Summary YTD 10.31.18'!B61</f>
        <v>1560.6100000000001</v>
      </c>
      <c r="C33" s="92">
        <f>'Summary YTD 10.31.18'!C61</f>
        <v>0</v>
      </c>
      <c r="D33" s="92">
        <f>'Summary YTD 10.31.18'!D61</f>
        <v>0</v>
      </c>
      <c r="E33" s="92">
        <f>'Summary YTD 10.31.18'!E61</f>
        <v>0</v>
      </c>
      <c r="F33" s="92">
        <f>'Summary YTD 10.31.18'!F61</f>
        <v>0</v>
      </c>
      <c r="G33" s="92">
        <f>'Summary YTD 10.31.18'!G61</f>
        <v>0</v>
      </c>
      <c r="H33" s="92">
        <f>'Summary YTD 10.31.18'!H61</f>
        <v>0</v>
      </c>
      <c r="I33" s="92">
        <f t="shared" si="2"/>
        <v>1560.6100000000001</v>
      </c>
      <c r="L33" s="90"/>
    </row>
    <row r="34" spans="1:12" s="88" customFormat="1" ht="30" customHeight="1" x14ac:dyDescent="0.3">
      <c r="A34" s="88" t="s">
        <v>249</v>
      </c>
      <c r="B34" s="92">
        <f>'Summary YTD 10.31.18'!B63</f>
        <v>111555.28999999998</v>
      </c>
      <c r="C34" s="92">
        <f>'Summary YTD 10.31.18'!C63</f>
        <v>19617.41</v>
      </c>
      <c r="D34" s="92">
        <f>'Summary YTD 10.31.18'!D63</f>
        <v>71986.22</v>
      </c>
      <c r="E34" s="92">
        <f>'Summary YTD 10.31.18'!E63</f>
        <v>0</v>
      </c>
      <c r="F34" s="92">
        <f>'Summary YTD 10.31.18'!F63</f>
        <v>0</v>
      </c>
      <c r="G34" s="92">
        <f>'Summary YTD 10.31.18'!G63</f>
        <v>0</v>
      </c>
      <c r="H34" s="92">
        <f>'Summary YTD 10.31.18'!H63</f>
        <v>0</v>
      </c>
      <c r="I34" s="92">
        <f t="shared" si="2"/>
        <v>203158.91999999998</v>
      </c>
      <c r="L34" s="90"/>
    </row>
    <row r="35" spans="1:12" s="88" customFormat="1" ht="30" customHeight="1" x14ac:dyDescent="0.3">
      <c r="A35" s="88" t="s">
        <v>416</v>
      </c>
      <c r="B35" s="92">
        <f>'Summary YTD 10.31.18'!B62+'Summary YTD 10.31.18'!B64+'Summary YTD 10.31.18'!B65</f>
        <v>57986.53</v>
      </c>
      <c r="C35" s="92">
        <f>'Summary YTD 10.31.18'!C62+'Summary YTD 10.31.18'!C64+'Summary YTD 10.31.18'!C65</f>
        <v>8591.49</v>
      </c>
      <c r="D35" s="92">
        <f>'Summary YTD 10.31.18'!D62+'Summary YTD 10.31.18'!D64+'Summary YTD 10.31.18'!D65</f>
        <v>31994.049999999996</v>
      </c>
      <c r="E35" s="92">
        <f>'Summary YTD 10.31.18'!E62+'Summary YTD 10.31.18'!E64+'Summary YTD 10.31.18'!E65</f>
        <v>0</v>
      </c>
      <c r="F35" s="92">
        <f>'Summary YTD 10.31.18'!F62+'Summary YTD 10.31.18'!F64+'Summary YTD 10.31.18'!F65</f>
        <v>7826.5099999999993</v>
      </c>
      <c r="G35" s="92">
        <f>'Summary YTD 10.31.18'!G62+'Summary YTD 10.31.18'!G64+'Summary YTD 10.31.18'!G65</f>
        <v>0</v>
      </c>
      <c r="H35" s="92">
        <f>'Summary YTD 10.31.18'!H62+'Summary YTD 10.31.18'!H64+'Summary YTD 10.31.18'!H65</f>
        <v>0</v>
      </c>
      <c r="I35" s="92">
        <f t="shared" si="2"/>
        <v>106398.58</v>
      </c>
      <c r="L35" s="90"/>
    </row>
    <row r="36" spans="1:12" s="88" customFormat="1" ht="30" customHeight="1" x14ac:dyDescent="0.3">
      <c r="A36" s="91" t="s">
        <v>250</v>
      </c>
      <c r="B36" s="93">
        <f t="shared" ref="B36:H36" si="3">SUM(B22:B35)</f>
        <v>2239577.2599999998</v>
      </c>
      <c r="C36" s="93">
        <f t="shared" si="3"/>
        <v>90304.73000000001</v>
      </c>
      <c r="D36" s="93">
        <f t="shared" si="3"/>
        <v>954813.77000000025</v>
      </c>
      <c r="E36" s="93">
        <f t="shared" si="3"/>
        <v>109</v>
      </c>
      <c r="F36" s="93">
        <f t="shared" si="3"/>
        <v>249685.55000000002</v>
      </c>
      <c r="G36" s="93">
        <f t="shared" si="3"/>
        <v>93032.700000000026</v>
      </c>
      <c r="H36" s="93">
        <f t="shared" si="3"/>
        <v>147655.84</v>
      </c>
      <c r="I36" s="93">
        <f>SUM(B36:H36)</f>
        <v>3775178.8499999996</v>
      </c>
      <c r="L36" s="90"/>
    </row>
    <row r="37" spans="1:12" s="88" customFormat="1" ht="30" customHeight="1" x14ac:dyDescent="0.3">
      <c r="B37" s="92"/>
      <c r="C37" s="92"/>
      <c r="D37" s="92"/>
      <c r="E37" s="92"/>
      <c r="F37" s="92"/>
      <c r="G37" s="92"/>
      <c r="H37" s="92"/>
      <c r="I37" s="92">
        <f>SUM(B37:F37)</f>
        <v>0</v>
      </c>
      <c r="L37" s="90"/>
    </row>
    <row r="38" spans="1:12" s="88" customFormat="1" ht="30" customHeight="1" x14ac:dyDescent="0.3">
      <c r="A38" s="91" t="s">
        <v>251</v>
      </c>
      <c r="B38" s="92"/>
      <c r="C38" s="92"/>
      <c r="D38" s="92"/>
      <c r="E38" s="92"/>
      <c r="F38" s="92"/>
      <c r="G38" s="92"/>
      <c r="H38" s="92"/>
      <c r="I38" s="92">
        <f>SUM(B38:F38)</f>
        <v>0</v>
      </c>
      <c r="L38" s="90"/>
    </row>
    <row r="39" spans="1:12" s="88" customFormat="1" ht="30" customHeight="1" x14ac:dyDescent="0.3">
      <c r="A39" s="88" t="s">
        <v>252</v>
      </c>
      <c r="B39" s="92">
        <f>'Summary YTD 10.31.18'!B69</f>
        <v>8850.92</v>
      </c>
      <c r="C39" s="92">
        <f>'Summary YTD 10.31.18'!C69</f>
        <v>0</v>
      </c>
      <c r="D39" s="92">
        <f>'Summary YTD 10.31.18'!D69</f>
        <v>1549.8</v>
      </c>
      <c r="E39" s="92">
        <f>'Summary YTD 10.31.18'!E69</f>
        <v>0</v>
      </c>
      <c r="F39" s="92">
        <f>'Summary YTD 10.31.18'!F69</f>
        <v>3133.06</v>
      </c>
      <c r="G39" s="92">
        <f>'Summary YTD 10.31.18'!G69</f>
        <v>0</v>
      </c>
      <c r="H39" s="92">
        <f>'Summary YTD 10.31.18'!H69</f>
        <v>0</v>
      </c>
      <c r="I39" s="92">
        <f>SUM(B39:H39)</f>
        <v>13533.779999999999</v>
      </c>
      <c r="L39" s="90"/>
    </row>
    <row r="40" spans="1:12" s="88" customFormat="1" ht="30" customHeight="1" x14ac:dyDescent="0.3">
      <c r="A40" s="88" t="s">
        <v>253</v>
      </c>
      <c r="B40" s="92">
        <f>'Summary YTD 10.31.18'!B71</f>
        <v>102677.48999999999</v>
      </c>
      <c r="C40" s="92">
        <f>'Summary YTD 10.31.18'!C71</f>
        <v>8558.14</v>
      </c>
      <c r="D40" s="92">
        <f>'Summary YTD 10.31.18'!D71</f>
        <v>7379.1600000000008</v>
      </c>
      <c r="E40" s="92">
        <f>'Summary YTD 10.31.18'!E71</f>
        <v>2029.5100000000002</v>
      </c>
      <c r="F40" s="92">
        <f>'Summary YTD 10.31.18'!F71</f>
        <v>2538.8799999999992</v>
      </c>
      <c r="G40" s="92">
        <f>'Summary YTD 10.31.18'!G71</f>
        <v>0</v>
      </c>
      <c r="H40" s="92">
        <f>'Summary YTD 10.31.18'!H71</f>
        <v>791.58000000000015</v>
      </c>
      <c r="I40" s="92">
        <f t="shared" ref="I40:I50" si="4">SUM(B40:H40)</f>
        <v>123974.76</v>
      </c>
      <c r="L40" s="90"/>
    </row>
    <row r="41" spans="1:12" s="88" customFormat="1" ht="30" customHeight="1" x14ac:dyDescent="0.3">
      <c r="A41" s="88" t="s">
        <v>365</v>
      </c>
      <c r="B41" s="92">
        <f>'Summary YTD 10.31.18'!B72</f>
        <v>0</v>
      </c>
      <c r="C41" s="92">
        <f>'Summary YTD 10.31.18'!C72</f>
        <v>0</v>
      </c>
      <c r="D41" s="92">
        <f>'Summary YTD 10.31.18'!D72</f>
        <v>0</v>
      </c>
      <c r="E41" s="92">
        <f>'Summary YTD 10.31.18'!E72</f>
        <v>0</v>
      </c>
      <c r="F41" s="92">
        <f>'Summary YTD 10.31.18'!F72</f>
        <v>3885.13</v>
      </c>
      <c r="G41" s="92">
        <f>'Summary YTD 10.31.18'!G72</f>
        <v>0</v>
      </c>
      <c r="H41" s="92">
        <f>'Summary YTD 10.31.18'!H72</f>
        <v>0</v>
      </c>
      <c r="I41" s="92">
        <f t="shared" si="4"/>
        <v>3885.13</v>
      </c>
      <c r="L41" s="90"/>
    </row>
    <row r="42" spans="1:12" s="88" customFormat="1" ht="30" customHeight="1" x14ac:dyDescent="0.3">
      <c r="A42" s="88" t="s">
        <v>254</v>
      </c>
      <c r="B42" s="92">
        <f>'Summary YTD 10.31.18'!B73</f>
        <v>3869.16</v>
      </c>
      <c r="C42" s="92">
        <f>'Summary YTD 10.31.18'!C73</f>
        <v>0</v>
      </c>
      <c r="D42" s="92">
        <f>'Summary YTD 10.31.18'!D73</f>
        <v>899.5</v>
      </c>
      <c r="E42" s="92">
        <f>'Summary YTD 10.31.18'!E73</f>
        <v>0</v>
      </c>
      <c r="F42" s="92">
        <f>'Summary YTD 10.31.18'!F73</f>
        <v>1068.2</v>
      </c>
      <c r="G42" s="92">
        <f>'Summary YTD 10.31.18'!G73</f>
        <v>0</v>
      </c>
      <c r="H42" s="92">
        <f>'Summary YTD 10.31.18'!H73</f>
        <v>0</v>
      </c>
      <c r="I42" s="92">
        <f t="shared" si="4"/>
        <v>5836.86</v>
      </c>
      <c r="L42" s="90"/>
    </row>
    <row r="43" spans="1:12" s="88" customFormat="1" ht="30" customHeight="1" x14ac:dyDescent="0.3">
      <c r="A43" s="88" t="s">
        <v>462</v>
      </c>
      <c r="B43" s="92">
        <f>'Summary YTD 10.31.18'!B74+'Summary YTD 10.31.18'!B75+'Summary YTD 10.31.18'!B76+'Summary YTD 10.31.18'!B77+'Summary YTD 10.31.18'!B78</f>
        <v>449073.23000000004</v>
      </c>
      <c r="C43" s="92">
        <f>'Summary YTD 10.31.18'!C74+'Summary YTD 10.31.18'!C75+'Summary YTD 10.31.18'!C76+'Summary YTD 10.31.18'!C77+'Summary YTD 10.31.18'!C78</f>
        <v>58909.06</v>
      </c>
      <c r="D43" s="92">
        <f>'Summary YTD 10.31.18'!D74+'Summary YTD 10.31.18'!D75+'Summary YTD 10.31.18'!D76+'Summary YTD 10.31.18'!D77+'Summary YTD 10.31.18'!D78</f>
        <v>86009.48</v>
      </c>
      <c r="E43" s="92">
        <f>'Summary YTD 10.31.18'!E74+'Summary YTD 10.31.18'!E75+'Summary YTD 10.31.18'!E76+'Summary YTD 10.31.18'!E77+'Summary YTD 10.31.18'!E78</f>
        <v>16806.68</v>
      </c>
      <c r="F43" s="92">
        <f>'Summary YTD 10.31.18'!F74+'Summary YTD 10.31.18'!F75+'Summary YTD 10.31.18'!F76+'Summary YTD 10.31.18'!F77+'Summary YTD 10.31.18'!F78</f>
        <v>19625</v>
      </c>
      <c r="G43" s="92">
        <f>'Summary YTD 10.31.18'!G74+'Summary YTD 10.31.18'!G75+'Summary YTD 10.31.18'!G76+'Summary YTD 10.31.18'!G77+'Summary YTD 10.31.18'!G78</f>
        <v>2915</v>
      </c>
      <c r="H43" s="92">
        <f>'Summary YTD 10.31.18'!H74+'Summary YTD 10.31.18'!H75+'Summary YTD 10.31.18'!H76+'Summary YTD 10.31.18'!H77+'Summary YTD 10.31.18'!H78</f>
        <v>2550</v>
      </c>
      <c r="I43" s="92">
        <f t="shared" si="4"/>
        <v>635888.45000000007</v>
      </c>
      <c r="L43" s="90"/>
    </row>
    <row r="44" spans="1:12" s="88" customFormat="1" ht="30" customHeight="1" x14ac:dyDescent="0.3">
      <c r="A44" s="88" t="s">
        <v>256</v>
      </c>
      <c r="B44" s="92">
        <f>'Summary YTD 10.31.18'!B79</f>
        <v>16111.960000000006</v>
      </c>
      <c r="C44" s="92">
        <f>'Summary YTD 10.31.18'!C79</f>
        <v>0</v>
      </c>
      <c r="D44" s="92">
        <f>'Summary YTD 10.31.18'!D79</f>
        <v>42934.79</v>
      </c>
      <c r="E44" s="92">
        <f>'Summary YTD 10.31.18'!E79</f>
        <v>0</v>
      </c>
      <c r="F44" s="92">
        <f>'Summary YTD 10.31.18'!F79</f>
        <v>1460.9099999999996</v>
      </c>
      <c r="G44" s="92">
        <f>'Summary YTD 10.31.18'!G79</f>
        <v>0</v>
      </c>
      <c r="H44" s="92">
        <f>'Summary YTD 10.31.18'!H79</f>
        <v>0</v>
      </c>
      <c r="I44" s="92">
        <f t="shared" si="4"/>
        <v>60507.66</v>
      </c>
      <c r="L44" s="90"/>
    </row>
    <row r="45" spans="1:12" s="88" customFormat="1" ht="30" customHeight="1" x14ac:dyDescent="0.3">
      <c r="A45" s="88" t="s">
        <v>257</v>
      </c>
      <c r="B45" s="92">
        <f>'Summary YTD 10.31.18'!B80</f>
        <v>29286.44</v>
      </c>
      <c r="C45" s="92">
        <f>'Summary YTD 10.31.18'!C80</f>
        <v>912.49</v>
      </c>
      <c r="D45" s="92">
        <f>'Summary YTD 10.31.18'!D80</f>
        <v>2477.5</v>
      </c>
      <c r="E45" s="92">
        <f>'Summary YTD 10.31.18'!E80</f>
        <v>0</v>
      </c>
      <c r="F45" s="92">
        <f>'Summary YTD 10.31.18'!F80</f>
        <v>642</v>
      </c>
      <c r="G45" s="92">
        <f>'Summary YTD 10.31.18'!G80</f>
        <v>0</v>
      </c>
      <c r="H45" s="92">
        <f>'Summary YTD 10.31.18'!H80</f>
        <v>0</v>
      </c>
      <c r="I45" s="92">
        <f t="shared" si="4"/>
        <v>33318.43</v>
      </c>
      <c r="L45" s="90"/>
    </row>
    <row r="46" spans="1:12" s="88" customFormat="1" ht="30" customHeight="1" x14ac:dyDescent="0.3">
      <c r="A46" s="88" t="s">
        <v>258</v>
      </c>
      <c r="B46" s="92">
        <f>'Summary YTD 10.31.18'!B81</f>
        <v>21781.940000000002</v>
      </c>
      <c r="C46" s="92">
        <f>'Summary YTD 10.31.18'!C81</f>
        <v>0</v>
      </c>
      <c r="D46" s="92">
        <f>'Summary YTD 10.31.18'!D81</f>
        <v>7217.7</v>
      </c>
      <c r="E46" s="92">
        <f>'Summary YTD 10.31.18'!E81</f>
        <v>0</v>
      </c>
      <c r="F46" s="92">
        <f>'Summary YTD 10.31.18'!F81</f>
        <v>0</v>
      </c>
      <c r="G46" s="92">
        <f>'Summary YTD 10.31.18'!G81</f>
        <v>0</v>
      </c>
      <c r="H46" s="92">
        <f>'Summary YTD 10.31.18'!H81</f>
        <v>0</v>
      </c>
      <c r="I46" s="92">
        <f t="shared" si="4"/>
        <v>28999.640000000003</v>
      </c>
      <c r="L46" s="90"/>
    </row>
    <row r="47" spans="1:12" s="88" customFormat="1" ht="30" customHeight="1" x14ac:dyDescent="0.3">
      <c r="A47" s="88" t="s">
        <v>295</v>
      </c>
      <c r="B47" s="92">
        <f>'Summary YTD 10.31.18'!B82</f>
        <v>543.67999999999995</v>
      </c>
      <c r="C47" s="92">
        <f>'Summary YTD 10.31.18'!C82</f>
        <v>0</v>
      </c>
      <c r="D47" s="92">
        <f>'Summary YTD 10.31.18'!D82</f>
        <v>300</v>
      </c>
      <c r="E47" s="92">
        <f>'Summary YTD 10.31.18'!E82</f>
        <v>0</v>
      </c>
      <c r="F47" s="92">
        <f>'Summary YTD 10.31.18'!F82</f>
        <v>2600</v>
      </c>
      <c r="G47" s="92">
        <f>'Summary YTD 10.31.18'!G82</f>
        <v>0</v>
      </c>
      <c r="H47" s="92">
        <f>'Summary YTD 10.31.18'!H82</f>
        <v>0</v>
      </c>
      <c r="I47" s="92">
        <f t="shared" si="4"/>
        <v>3443.68</v>
      </c>
      <c r="L47" s="90"/>
    </row>
    <row r="48" spans="1:12" s="88" customFormat="1" ht="30" customHeight="1" x14ac:dyDescent="0.3">
      <c r="A48" s="88" t="s">
        <v>380</v>
      </c>
      <c r="B48" s="92">
        <f>'Summary YTD 10.31.18'!B83</f>
        <v>397.63</v>
      </c>
      <c r="C48" s="92">
        <v>0</v>
      </c>
      <c r="D48" s="92">
        <v>0</v>
      </c>
      <c r="E48" s="92">
        <v>0</v>
      </c>
      <c r="F48" s="92">
        <f>'BSC (Dome)'!L64</f>
        <v>10329.9</v>
      </c>
      <c r="G48" s="92">
        <v>0</v>
      </c>
      <c r="H48" s="92">
        <f>'BSC (Dome)'!M64</f>
        <v>0</v>
      </c>
      <c r="I48" s="92">
        <f t="shared" si="4"/>
        <v>10727.529999999999</v>
      </c>
      <c r="L48" s="90"/>
    </row>
    <row r="49" spans="1:12" s="88" customFormat="1" ht="30" customHeight="1" x14ac:dyDescent="0.3">
      <c r="A49" s="88" t="s">
        <v>417</v>
      </c>
      <c r="B49" s="92">
        <f>'Summary YTD 10.31.18'!B84+'Summary YTD 10.31.18'!B85</f>
        <v>32729.160000000003</v>
      </c>
      <c r="C49" s="92">
        <f>'Summary YTD 10.31.18'!C84+'Summary YTD 10.31.18'!C85</f>
        <v>7140.03</v>
      </c>
      <c r="D49" s="92">
        <f>'Summary YTD 10.31.18'!D84+'Summary YTD 10.31.18'!D85</f>
        <v>6690.94</v>
      </c>
      <c r="E49" s="92">
        <f>'Summary YTD 10.31.18'!E84+'Summary YTD 10.31.18'!E85</f>
        <v>0</v>
      </c>
      <c r="F49" s="92">
        <f>'Summary YTD 10.31.18'!F84+'Summary YTD 10.31.18'!F85</f>
        <v>0</v>
      </c>
      <c r="G49" s="92">
        <f>'Summary YTD 10.31.18'!G84+'Summary YTD 10.31.18'!G85</f>
        <v>0</v>
      </c>
      <c r="H49" s="92">
        <f>'Summary YTD 10.31.18'!H84+'Summary YTD 10.31.18'!H85</f>
        <v>0</v>
      </c>
      <c r="I49" s="92">
        <f t="shared" si="4"/>
        <v>46560.130000000005</v>
      </c>
      <c r="L49" s="90"/>
    </row>
    <row r="50" spans="1:12" s="88" customFormat="1" ht="30" customHeight="1" x14ac:dyDescent="0.3">
      <c r="A50" s="88" t="s">
        <v>464</v>
      </c>
      <c r="B50" s="92">
        <f>'Summary YTD 10.31.18'!B86+'Summary YTD 10.31.18'!B87</f>
        <v>24456.480000000003</v>
      </c>
      <c r="C50" s="92">
        <f>'Summary YTD 10.31.18'!C86+'Summary YTD 10.31.18'!C87</f>
        <v>0</v>
      </c>
      <c r="D50" s="92">
        <f>'Summary YTD 10.31.18'!D86+'Summary YTD 10.31.18'!D87</f>
        <v>0</v>
      </c>
      <c r="E50" s="92">
        <f>'Summary YTD 10.31.18'!E86+'Summary YTD 10.31.18'!E87</f>
        <v>0</v>
      </c>
      <c r="F50" s="92">
        <f>'Summary YTD 10.31.18'!F86+'Summary YTD 10.31.18'!F87</f>
        <v>0</v>
      </c>
      <c r="G50" s="92">
        <f>'Summary YTD 10.31.18'!G86+'Summary YTD 10.31.18'!G87</f>
        <v>0</v>
      </c>
      <c r="H50" s="92">
        <f>'Summary YTD 10.31.18'!H86+'Summary YTD 10.31.18'!H87</f>
        <v>0</v>
      </c>
      <c r="I50" s="92">
        <f t="shared" si="4"/>
        <v>24456.480000000003</v>
      </c>
      <c r="L50" s="90"/>
    </row>
    <row r="51" spans="1:12" s="88" customFormat="1" ht="30" customHeight="1" x14ac:dyDescent="0.3">
      <c r="A51" s="91" t="s">
        <v>264</v>
      </c>
      <c r="B51" s="93">
        <f t="shared" ref="B51:H51" si="5">SUM(B39:B50)</f>
        <v>689778.09</v>
      </c>
      <c r="C51" s="93">
        <f t="shared" si="5"/>
        <v>75519.72</v>
      </c>
      <c r="D51" s="93">
        <f t="shared" si="5"/>
        <v>155458.87000000002</v>
      </c>
      <c r="E51" s="93">
        <f t="shared" si="5"/>
        <v>18836.190000000002</v>
      </c>
      <c r="F51" s="93">
        <f t="shared" si="5"/>
        <v>45283.08</v>
      </c>
      <c r="G51" s="93">
        <f t="shared" si="5"/>
        <v>2915</v>
      </c>
      <c r="H51" s="93">
        <f t="shared" si="5"/>
        <v>3341.58</v>
      </c>
      <c r="I51" s="93">
        <f>SUM(B51:H51)</f>
        <v>991132.5299999998</v>
      </c>
      <c r="L51" s="90"/>
    </row>
    <row r="52" spans="1:12" s="88" customFormat="1" ht="30" customHeight="1" x14ac:dyDescent="0.3">
      <c r="B52" s="92"/>
      <c r="C52" s="92"/>
      <c r="D52" s="92"/>
      <c r="E52" s="92"/>
      <c r="F52" s="92"/>
      <c r="G52" s="92"/>
      <c r="H52" s="92"/>
      <c r="I52" s="92">
        <f>SUM(B52:F52)</f>
        <v>0</v>
      </c>
      <c r="L52" s="90"/>
    </row>
    <row r="53" spans="1:12" s="88" customFormat="1" ht="30" customHeight="1" thickBot="1" x14ac:dyDescent="0.35">
      <c r="A53" s="91" t="s">
        <v>265</v>
      </c>
      <c r="B53" s="94">
        <f t="shared" ref="B53:H53" si="6">B19+B36+B51</f>
        <v>5549740.5899999999</v>
      </c>
      <c r="C53" s="94">
        <f t="shared" si="6"/>
        <v>806357.21</v>
      </c>
      <c r="D53" s="94">
        <f t="shared" si="6"/>
        <v>1923904.8900000004</v>
      </c>
      <c r="E53" s="94">
        <f t="shared" si="6"/>
        <v>18945.190000000002</v>
      </c>
      <c r="F53" s="94">
        <f t="shared" si="6"/>
        <v>614874.85</v>
      </c>
      <c r="G53" s="94">
        <f>G19+G36+G51</f>
        <v>95947.700000000026</v>
      </c>
      <c r="H53" s="94">
        <f t="shared" si="6"/>
        <v>150997.41999999998</v>
      </c>
      <c r="I53" s="94">
        <f>SUM(B53:H53)</f>
        <v>9160767.8499999996</v>
      </c>
      <c r="L53" s="90"/>
    </row>
    <row r="54" spans="1:12" s="88" customFormat="1" ht="30" customHeight="1" x14ac:dyDescent="0.3">
      <c r="B54" s="92"/>
      <c r="C54" s="92"/>
      <c r="D54" s="92"/>
      <c r="E54" s="92"/>
      <c r="F54" s="92"/>
      <c r="G54" s="92"/>
      <c r="H54" s="92"/>
      <c r="I54" s="92"/>
      <c r="L54" s="90"/>
    </row>
    <row r="55" spans="1:12" s="88" customFormat="1" ht="30" customHeight="1" x14ac:dyDescent="0.3">
      <c r="A55" s="91" t="s">
        <v>465</v>
      </c>
      <c r="B55" s="92"/>
      <c r="C55" s="92"/>
      <c r="D55" s="92"/>
      <c r="E55" s="92"/>
      <c r="F55" s="92"/>
      <c r="G55" s="92"/>
      <c r="H55" s="92"/>
      <c r="I55" s="92"/>
      <c r="L55" s="90"/>
    </row>
    <row r="56" spans="1:12" s="88" customFormat="1" ht="30" customHeight="1" x14ac:dyDescent="0.3">
      <c r="A56" s="88" t="s">
        <v>268</v>
      </c>
      <c r="B56" s="92">
        <f>'Summary YTD 10.31.18'!B93</f>
        <v>125000</v>
      </c>
      <c r="C56" s="92">
        <v>0</v>
      </c>
      <c r="D56" s="92">
        <f>DEP!L76</f>
        <v>125000</v>
      </c>
      <c r="E56" s="92">
        <v>0</v>
      </c>
      <c r="F56" s="92">
        <f>'BSC (Dome)'!L75+'BSC (Dome)'!L76</f>
        <v>54000</v>
      </c>
      <c r="G56" s="92">
        <f>'Summary YTD 10.31.18'!G93</f>
        <v>227000</v>
      </c>
      <c r="H56" s="92">
        <f>'722 Bedford St'!L22+'722 Bedford St'!L23</f>
        <v>175000</v>
      </c>
      <c r="I56" s="92">
        <f t="shared" ref="I56:I61" si="7">SUM(B56:H56)</f>
        <v>706000</v>
      </c>
      <c r="L56" s="90"/>
    </row>
    <row r="57" spans="1:12" s="88" customFormat="1" ht="30" customHeight="1" x14ac:dyDescent="0.3">
      <c r="A57" s="88" t="s">
        <v>273</v>
      </c>
      <c r="B57" s="92">
        <f>'Summary YTD 10.31.18'!B94+'Summary YTD 10.31.18'!B96+'Summary YTD 10.31.18'!B97+'Summary YTD 10.31.18'!B100+'Summary YTD 10.31.18'!B101+'Summary YTD 10.31.18'!B104+'Summary YTD 10.31.18'!B102+'Summary YTD 10.31.18'!B103</f>
        <v>330347.52999999997</v>
      </c>
      <c r="C57" s="92">
        <v>0</v>
      </c>
      <c r="D57" s="92">
        <f>'Summary YTD 10.31.18'!D94+'Summary YTD 10.31.18'!D96+'Summary YTD 10.31.18'!D97+'Summary YTD 10.31.18'!D100+'Summary YTD 10.31.18'!D101+'Summary YTD 10.31.18'!D104</f>
        <v>0</v>
      </c>
      <c r="E57" s="92">
        <f>'Summary YTD 10.31.18'!E94+'Summary YTD 10.31.18'!E96+'Summary YTD 10.31.18'!E97+'Summary YTD 10.31.18'!E100+'Summary YTD 10.31.18'!E101+'Summary YTD 10.31.18'!E104</f>
        <v>0</v>
      </c>
      <c r="F57" s="92">
        <f>'Summary YTD 10.31.18'!F94+'Summary YTD 10.31.18'!F96+'Summary YTD 10.31.18'!F97+'Summary YTD 10.31.18'!F100+'Summary YTD 10.31.18'!F101+'Summary YTD 10.31.18'!F104</f>
        <v>1912.98</v>
      </c>
      <c r="G57" s="92">
        <f>'Summary YTD 10.31.18'!G100</f>
        <v>1.01</v>
      </c>
      <c r="H57" s="92">
        <v>0</v>
      </c>
      <c r="I57" s="92">
        <f t="shared" si="7"/>
        <v>332261.51999999996</v>
      </c>
      <c r="L57" s="90"/>
    </row>
    <row r="58" spans="1:12" s="88" customFormat="1" ht="30" customHeight="1" x14ac:dyDescent="0.3">
      <c r="A58" s="88" t="s">
        <v>271</v>
      </c>
      <c r="B58" s="92">
        <f>'Summary YTD 10.31.18'!B98</f>
        <v>205536.41</v>
      </c>
      <c r="C58" s="92">
        <f>'Summary YTD 10.31.18'!C98</f>
        <v>11103.05</v>
      </c>
      <c r="D58" s="92">
        <f>'Summary YTD 10.31.18'!D98</f>
        <v>27991.05</v>
      </c>
      <c r="E58" s="92">
        <f>'Summary YTD 10.31.18'!E98</f>
        <v>43817.899999999994</v>
      </c>
      <c r="F58" s="92">
        <f>'Summary YTD 10.31.18'!F98</f>
        <v>0</v>
      </c>
      <c r="G58" s="92">
        <f>'Summary YTD 10.31.18'!G98</f>
        <v>36247.920000000006</v>
      </c>
      <c r="H58" s="92">
        <v>0</v>
      </c>
      <c r="I58" s="92">
        <f t="shared" si="7"/>
        <v>324696.32999999996</v>
      </c>
      <c r="L58" s="90"/>
    </row>
    <row r="59" spans="1:12" s="88" customFormat="1" ht="30" customHeight="1" x14ac:dyDescent="0.3">
      <c r="A59" s="88" t="s">
        <v>272</v>
      </c>
      <c r="B59" s="92">
        <f>'Summary YTD 10.31.18'!B99</f>
        <v>-154193.69999999998</v>
      </c>
      <c r="C59" s="92">
        <f>'Summary YTD 10.31.18'!C99</f>
        <v>0</v>
      </c>
      <c r="D59" s="92">
        <f>'Summary YTD 10.31.18'!D99</f>
        <v>0</v>
      </c>
      <c r="E59" s="92">
        <f>'Summary YTD 10.31.18'!E99</f>
        <v>-4941.34</v>
      </c>
      <c r="F59" s="92">
        <f>'Summary YTD 10.31.18'!F99</f>
        <v>-96696.13</v>
      </c>
      <c r="G59" s="92">
        <f>'Summary YTD 10.31.18'!G99</f>
        <v>-8609.3000000000011</v>
      </c>
      <c r="H59" s="92">
        <f>'Summary YTD 10.31.18'!H99</f>
        <v>-138.88999999999999</v>
      </c>
      <c r="I59" s="92">
        <f t="shared" si="7"/>
        <v>-264579.36</v>
      </c>
      <c r="L59" s="90"/>
    </row>
    <row r="60" spans="1:12" s="88" customFormat="1" ht="30" customHeight="1" x14ac:dyDescent="0.3">
      <c r="A60" s="88" t="s">
        <v>418</v>
      </c>
      <c r="B60" s="92">
        <f>'Summary YTD 10.31.18'!B95+'Summary YTD 10.31.18'!B105</f>
        <v>3098.28</v>
      </c>
      <c r="C60" s="92">
        <f>'Summary YTD 10.31.18'!C95+'Summary YTD 10.31.18'!C96</f>
        <v>-52442.54</v>
      </c>
      <c r="D60" s="92">
        <f>'Summary YTD 10.31.18'!D95</f>
        <v>0</v>
      </c>
      <c r="E60" s="92">
        <f>'Summary YTD 10.31.18'!E95</f>
        <v>0</v>
      </c>
      <c r="F60" s="92">
        <f>'Summary YTD 10.31.18'!F95</f>
        <v>0</v>
      </c>
      <c r="G60" s="92">
        <f>'Summary YTD 10.31.18'!G95</f>
        <v>0</v>
      </c>
      <c r="H60" s="92">
        <v>0</v>
      </c>
      <c r="I60" s="92">
        <f>SUM(B60:H60)</f>
        <v>-49344.26</v>
      </c>
      <c r="L60" s="90"/>
    </row>
    <row r="61" spans="1:12" s="88" customFormat="1" ht="30" customHeight="1" x14ac:dyDescent="0.3">
      <c r="A61" s="91" t="s">
        <v>466</v>
      </c>
      <c r="B61" s="93">
        <f t="shared" ref="B61:H61" si="8">SUM(B56:B60)</f>
        <v>509788.52</v>
      </c>
      <c r="C61" s="93">
        <f t="shared" si="8"/>
        <v>-41339.490000000005</v>
      </c>
      <c r="D61" s="93">
        <f t="shared" si="8"/>
        <v>152991.04999999999</v>
      </c>
      <c r="E61" s="93">
        <f t="shared" si="8"/>
        <v>38876.559999999998</v>
      </c>
      <c r="F61" s="93">
        <f t="shared" si="8"/>
        <v>-40783.15</v>
      </c>
      <c r="G61" s="93">
        <f t="shared" si="8"/>
        <v>254639.63</v>
      </c>
      <c r="H61" s="93">
        <f t="shared" si="8"/>
        <v>174861.11</v>
      </c>
      <c r="I61" s="93">
        <f t="shared" si="7"/>
        <v>1049034.23</v>
      </c>
      <c r="L61" s="90"/>
    </row>
    <row r="62" spans="1:12" s="88" customFormat="1" ht="30" customHeight="1" x14ac:dyDescent="0.3">
      <c r="A62" s="91"/>
      <c r="B62" s="92"/>
      <c r="C62" s="92"/>
      <c r="D62" s="92"/>
      <c r="E62" s="92"/>
      <c r="F62" s="92"/>
      <c r="G62" s="92"/>
      <c r="H62" s="92"/>
      <c r="I62" s="92">
        <f>SUM(B62:F62)</f>
        <v>0</v>
      </c>
      <c r="L62" s="90"/>
    </row>
    <row r="63" spans="1:12" s="88" customFormat="1" ht="30" customHeight="1" thickBot="1" x14ac:dyDescent="0.35">
      <c r="A63" s="91" t="s">
        <v>267</v>
      </c>
      <c r="B63" s="95">
        <f t="shared" ref="B63:H63" si="9">B11-B53+B61</f>
        <v>42773.270000152756</v>
      </c>
      <c r="C63" s="95">
        <f t="shared" si="9"/>
        <v>190860.8400000066</v>
      </c>
      <c r="D63" s="95">
        <f t="shared" si="9"/>
        <v>756450.62999999989</v>
      </c>
      <c r="E63" s="95">
        <f t="shared" si="9"/>
        <v>19931.369999999995</v>
      </c>
      <c r="F63" s="95">
        <f t="shared" si="9"/>
        <v>-94654.929999999906</v>
      </c>
      <c r="G63" s="95">
        <f>G11-G53+G61</f>
        <v>158691.93</v>
      </c>
      <c r="H63" s="95">
        <f t="shared" si="9"/>
        <v>23863.690000000002</v>
      </c>
      <c r="I63" s="95">
        <f>SUM(B63:H63)</f>
        <v>1097916.8000001593</v>
      </c>
      <c r="L63" s="90"/>
    </row>
    <row r="64" spans="1:12" ht="15.75" thickTop="1" x14ac:dyDescent="0.25">
      <c r="A64" t="s">
        <v>332</v>
      </c>
      <c r="B64" s="57">
        <f>CNT!N280</f>
        <v>38273.269999525859</v>
      </c>
      <c r="C64" s="57">
        <f>BPM!L80</f>
        <v>190860.8400000066</v>
      </c>
      <c r="D64" s="57">
        <f>DEP!L80</f>
        <v>756450.62999999989</v>
      </c>
      <c r="E64" s="57">
        <f>Lending!L20</f>
        <v>19931.369999999995</v>
      </c>
      <c r="F64" s="57">
        <f>'BSC (Dome)'!L84</f>
        <v>-94654.93</v>
      </c>
      <c r="G64" s="57">
        <f>'Oliari Co.'!L29</f>
        <v>158691.93</v>
      </c>
      <c r="H64" s="57">
        <f>'722 Bedford St'!L29</f>
        <v>23863.690000000002</v>
      </c>
      <c r="I64" s="57">
        <f>SUM(B64:H64)</f>
        <v>1093416.7999995323</v>
      </c>
    </row>
    <row r="86" spans="1:12" x14ac:dyDescent="0.25">
      <c r="B86" s="57"/>
      <c r="C86" s="57"/>
      <c r="D86" s="57"/>
      <c r="E86" s="57"/>
      <c r="I86" s="59"/>
    </row>
    <row r="87" spans="1:12" x14ac:dyDescent="0.25">
      <c r="B87" s="57"/>
      <c r="C87" s="57"/>
      <c r="D87" s="57"/>
      <c r="E87" s="57"/>
    </row>
    <row r="88" spans="1:12" x14ac:dyDescent="0.25">
      <c r="B88" s="57"/>
      <c r="C88" s="57"/>
      <c r="D88" s="57"/>
      <c r="E88" s="57"/>
    </row>
    <row r="89" spans="1:12" x14ac:dyDescent="0.25">
      <c r="B89" s="57"/>
      <c r="C89" s="57"/>
      <c r="D89" s="57"/>
      <c r="E89" s="57"/>
    </row>
    <row r="90" spans="1:12" s="55" customFormat="1" x14ac:dyDescent="0.25">
      <c r="A90"/>
      <c r="B90" s="57"/>
      <c r="C90" s="57"/>
      <c r="D90" s="57"/>
      <c r="E90" s="57"/>
      <c r="J90"/>
      <c r="K90"/>
      <c r="L90" s="48"/>
    </row>
    <row r="91" spans="1:12" s="55" customFormat="1" x14ac:dyDescent="0.25">
      <c r="A91"/>
      <c r="B91" s="57"/>
      <c r="C91" s="57"/>
      <c r="D91" s="57"/>
      <c r="E91" s="57"/>
      <c r="J91"/>
      <c r="K91"/>
      <c r="L91" s="48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43" orientation="portrait" r:id="rId1"/>
  <headerFooter>
    <oddFooter>&amp;C&amp;14Page &amp;P of &amp;N</oddFooter>
  </headerFooter>
  <rowBreaks count="2" manualBreakCount="2">
    <brk id="12" max="6" man="1"/>
    <brk id="3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M31"/>
  <sheetViews>
    <sheetView zoomScaleNormal="100" workbookViewId="0">
      <pane ySplit="6" topLeftCell="A7" activePane="bottomLeft" state="frozen"/>
      <selection activeCell="C20" sqref="C20"/>
      <selection pane="bottomLeft" activeCell="C20" sqref="C20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1" width="13" style="48" bestFit="1" customWidth="1"/>
    <col min="12" max="12" width="13.42578125" style="48" bestFit="1" customWidth="1"/>
    <col min="13" max="13" width="9.140625" style="48" customWidth="1"/>
    <col min="14" max="14" width="9.5703125" bestFit="1" customWidth="1"/>
    <col min="16" max="16" width="11.5703125" bestFit="1" customWidth="1"/>
  </cols>
  <sheetData>
    <row r="1" spans="1:12" x14ac:dyDescent="0.25">
      <c r="A1" s="218" t="s">
        <v>420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x14ac:dyDescent="0.25">
      <c r="A2" s="218" t="s">
        <v>275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x14ac:dyDescent="0.25">
      <c r="A3" s="218">
        <v>2018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8" spans="1:12" s="48" customFormat="1" x14ac:dyDescent="0.25">
      <c r="A8" s="47" t="s">
        <v>209</v>
      </c>
    </row>
    <row r="9" spans="1:12" s="48" customFormat="1" x14ac:dyDescent="0.25">
      <c r="A9" s="47" t="s">
        <v>289</v>
      </c>
    </row>
    <row r="10" spans="1:12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f>SUM(B10:K10)</f>
        <v>520</v>
      </c>
    </row>
    <row r="11" spans="1:12" s="48" customFormat="1" x14ac:dyDescent="0.25">
      <c r="A11" t="s">
        <v>293</v>
      </c>
      <c r="B11" s="48">
        <v>14678.56</v>
      </c>
      <c r="C11" s="48">
        <v>14704</v>
      </c>
      <c r="D11" s="48">
        <v>14704</v>
      </c>
      <c r="E11" s="48">
        <v>14704</v>
      </c>
      <c r="F11" s="48">
        <v>14704</v>
      </c>
      <c r="G11" s="48">
        <v>14704</v>
      </c>
      <c r="H11" s="48">
        <v>14704</v>
      </c>
      <c r="I11" s="48">
        <v>14665.08</v>
      </c>
      <c r="J11" s="48">
        <v>14665.08</v>
      </c>
      <c r="K11" s="48">
        <v>14903.12</v>
      </c>
      <c r="L11" s="48">
        <f>SUM(B11:K11)</f>
        <v>147135.84</v>
      </c>
    </row>
    <row r="12" spans="1:12" s="48" customFormat="1" x14ac:dyDescent="0.25">
      <c r="A12" s="47" t="s">
        <v>335</v>
      </c>
      <c r="B12" s="50">
        <f t="shared" ref="B12:L12" si="0">SUM(B10:B11)</f>
        <v>14678.56</v>
      </c>
      <c r="C12" s="50">
        <f t="shared" si="0"/>
        <v>14704</v>
      </c>
      <c r="D12" s="50">
        <f t="shared" si="0"/>
        <v>14704</v>
      </c>
      <c r="E12" s="50">
        <f t="shared" si="0"/>
        <v>15224</v>
      </c>
      <c r="F12" s="50">
        <f>SUM(F10:F11)</f>
        <v>14704</v>
      </c>
      <c r="G12" s="50">
        <f>SUM(G10:G11)</f>
        <v>14704</v>
      </c>
      <c r="H12" s="50">
        <f t="shared" ref="H12:J12" si="1">SUM(H10:H11)</f>
        <v>14704</v>
      </c>
      <c r="I12" s="50">
        <f t="shared" si="1"/>
        <v>14665.08</v>
      </c>
      <c r="J12" s="50">
        <f t="shared" si="1"/>
        <v>14665.08</v>
      </c>
      <c r="K12" s="50">
        <f t="shared" si="0"/>
        <v>14903.12</v>
      </c>
      <c r="L12" s="50">
        <f t="shared" si="0"/>
        <v>147655.84</v>
      </c>
    </row>
    <row r="14" spans="1:12" s="48" customFormat="1" x14ac:dyDescent="0.25">
      <c r="A14" s="47" t="s">
        <v>294</v>
      </c>
    </row>
    <row r="15" spans="1:12" s="48" customFormat="1" x14ac:dyDescent="0.25">
      <c r="A15" t="s">
        <v>362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2550</v>
      </c>
      <c r="L15" s="48">
        <f>SUM(B15:K15)</f>
        <v>2550</v>
      </c>
    </row>
    <row r="16" spans="1:12" s="48" customFormat="1" x14ac:dyDescent="0.25">
      <c r="A16" t="s">
        <v>444</v>
      </c>
      <c r="B16" s="48">
        <v>78.37</v>
      </c>
      <c r="C16" s="48">
        <v>78.38</v>
      </c>
      <c r="D16" s="48">
        <v>84.61</v>
      </c>
      <c r="E16" s="48">
        <v>78.400000000000006</v>
      </c>
      <c r="F16" s="48">
        <v>82.39</v>
      </c>
      <c r="G16" s="48">
        <v>78.48</v>
      </c>
      <c r="H16" s="48">
        <v>80.56</v>
      </c>
      <c r="I16" s="48">
        <v>61.32</v>
      </c>
      <c r="J16" s="48">
        <v>91.96</v>
      </c>
      <c r="K16" s="48">
        <v>77.11</v>
      </c>
      <c r="L16" s="48">
        <f>SUM(B16:K16)</f>
        <v>791.58000000000015</v>
      </c>
    </row>
    <row r="17" spans="1:13" s="48" customFormat="1" x14ac:dyDescent="0.25">
      <c r="A17" s="47" t="s">
        <v>297</v>
      </c>
      <c r="B17" s="50">
        <f>SUM(B15:B16)</f>
        <v>78.37</v>
      </c>
      <c r="C17" s="50">
        <f t="shared" ref="C17:K17" si="2">SUM(C15:C16)</f>
        <v>78.38</v>
      </c>
      <c r="D17" s="50">
        <f t="shared" si="2"/>
        <v>84.61</v>
      </c>
      <c r="E17" s="50">
        <f t="shared" si="2"/>
        <v>78.400000000000006</v>
      </c>
      <c r="F17" s="50">
        <f>SUM(F15:F16)</f>
        <v>82.39</v>
      </c>
      <c r="G17" s="50">
        <f>SUM(G15:G16)</f>
        <v>78.48</v>
      </c>
      <c r="H17" s="50">
        <f t="shared" ref="H17:J17" si="3">SUM(H15:H16)</f>
        <v>80.56</v>
      </c>
      <c r="I17" s="50">
        <f t="shared" si="3"/>
        <v>61.32</v>
      </c>
      <c r="J17" s="50">
        <f t="shared" si="3"/>
        <v>91.96</v>
      </c>
      <c r="K17" s="50">
        <f t="shared" si="2"/>
        <v>2627.11</v>
      </c>
      <c r="L17" s="50">
        <f>SUM(L15:L16)</f>
        <v>3341.58</v>
      </c>
    </row>
    <row r="18" spans="1:13" s="48" customFormat="1" x14ac:dyDescent="0.25">
      <c r="A18" t="s">
        <v>246</v>
      </c>
    </row>
    <row r="19" spans="1:13" s="48" customFormat="1" ht="15.75" thickBot="1" x14ac:dyDescent="0.3">
      <c r="A19" s="47" t="s">
        <v>210</v>
      </c>
      <c r="B19" s="51">
        <f t="shared" ref="B19:L19" si="4">B12+B17</f>
        <v>14756.93</v>
      </c>
      <c r="C19" s="51">
        <f t="shared" si="4"/>
        <v>14782.38</v>
      </c>
      <c r="D19" s="51">
        <f t="shared" si="4"/>
        <v>14788.61</v>
      </c>
      <c r="E19" s="51">
        <f t="shared" si="4"/>
        <v>15302.4</v>
      </c>
      <c r="F19" s="51">
        <f>F12+F17</f>
        <v>14786.39</v>
      </c>
      <c r="G19" s="51">
        <f>G12+G17</f>
        <v>14782.48</v>
      </c>
      <c r="H19" s="51">
        <f t="shared" ref="H19:J19" si="5">H12+H17</f>
        <v>14784.56</v>
      </c>
      <c r="I19" s="51">
        <f t="shared" si="5"/>
        <v>14726.4</v>
      </c>
      <c r="J19" s="51">
        <f t="shared" si="5"/>
        <v>14757.039999999999</v>
      </c>
      <c r="K19" s="51">
        <f t="shared" si="4"/>
        <v>17530.23</v>
      </c>
      <c r="L19" s="51">
        <f t="shared" si="4"/>
        <v>150997.41999999998</v>
      </c>
    </row>
    <row r="21" spans="1:13" s="48" customFormat="1" x14ac:dyDescent="0.25">
      <c r="A21" s="47" t="s">
        <v>298</v>
      </c>
    </row>
    <row r="22" spans="1:13" s="48" customFormat="1" x14ac:dyDescent="0.25">
      <c r="A22" t="s">
        <v>445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25000</v>
      </c>
      <c r="I22" s="48">
        <v>25000</v>
      </c>
      <c r="J22" s="48">
        <v>25000</v>
      </c>
      <c r="K22" s="48">
        <v>25000</v>
      </c>
      <c r="L22" s="48">
        <f>SUM(B22:K22)</f>
        <v>100000</v>
      </c>
    </row>
    <row r="23" spans="1:13" s="48" customFormat="1" x14ac:dyDescent="0.25">
      <c r="A23" t="s">
        <v>468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f>92500-25000</f>
        <v>67500</v>
      </c>
      <c r="K23" s="48">
        <v>7500</v>
      </c>
      <c r="L23" s="48">
        <f>SUM(B23:K23)</f>
        <v>75000</v>
      </c>
    </row>
    <row r="24" spans="1:13" s="48" customFormat="1" x14ac:dyDescent="0.25">
      <c r="A24" t="s">
        <v>368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f>SUM(B24:K24)</f>
        <v>0</v>
      </c>
    </row>
    <row r="25" spans="1:13" s="48" customFormat="1" x14ac:dyDescent="0.25">
      <c r="A25" t="s">
        <v>271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f>SUM(B25:K25)</f>
        <v>0</v>
      </c>
    </row>
    <row r="26" spans="1:13" s="48" customFormat="1" x14ac:dyDescent="0.25">
      <c r="A26" t="s">
        <v>272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-138.88999999999999</v>
      </c>
      <c r="L26" s="108">
        <f>SUM(B26:K26)</f>
        <v>-138.88999999999999</v>
      </c>
    </row>
    <row r="27" spans="1:13" s="48" customFormat="1" x14ac:dyDescent="0.25">
      <c r="A27" s="47" t="s">
        <v>300</v>
      </c>
      <c r="B27" s="50">
        <f t="shared" ref="B27:L27" si="6">SUM(B22:B26)</f>
        <v>0</v>
      </c>
      <c r="C27" s="50">
        <f t="shared" si="6"/>
        <v>0</v>
      </c>
      <c r="D27" s="50">
        <f t="shared" si="6"/>
        <v>0</v>
      </c>
      <c r="E27" s="50">
        <f t="shared" si="6"/>
        <v>0</v>
      </c>
      <c r="F27" s="50">
        <f>SUM(F22:F26)</f>
        <v>0</v>
      </c>
      <c r="G27" s="50">
        <f>SUM(G22:G26)</f>
        <v>0</v>
      </c>
      <c r="H27" s="50">
        <f t="shared" ref="H27:J27" si="7">SUM(H22:H26)</f>
        <v>25000</v>
      </c>
      <c r="I27" s="50">
        <f t="shared" si="7"/>
        <v>25000</v>
      </c>
      <c r="J27" s="50">
        <f t="shared" si="7"/>
        <v>92500</v>
      </c>
      <c r="K27" s="50">
        <f t="shared" si="6"/>
        <v>32361.11</v>
      </c>
      <c r="L27" s="50">
        <f t="shared" si="6"/>
        <v>174861.11</v>
      </c>
    </row>
    <row r="29" spans="1:13" ht="15.75" thickBot="1" x14ac:dyDescent="0.3">
      <c r="A29" s="47" t="s">
        <v>301</v>
      </c>
      <c r="B29" s="52">
        <f>B27-B19</f>
        <v>-14756.93</v>
      </c>
      <c r="C29" s="52">
        <f t="shared" ref="C29:L29" si="8">C27-C19</f>
        <v>-14782.38</v>
      </c>
      <c r="D29" s="52">
        <f t="shared" si="8"/>
        <v>-14788.61</v>
      </c>
      <c r="E29" s="52">
        <f t="shared" si="8"/>
        <v>-15302.4</v>
      </c>
      <c r="F29" s="52">
        <f>F27-F19</f>
        <v>-14786.39</v>
      </c>
      <c r="G29" s="52">
        <f>G27-G19</f>
        <v>-14782.48</v>
      </c>
      <c r="H29" s="52">
        <f t="shared" ref="H29:J29" si="9">H27-H19</f>
        <v>10215.44</v>
      </c>
      <c r="I29" s="52">
        <f t="shared" si="9"/>
        <v>10273.6</v>
      </c>
      <c r="J29" s="52">
        <f t="shared" si="9"/>
        <v>77742.960000000006</v>
      </c>
      <c r="K29" s="52">
        <f t="shared" si="8"/>
        <v>14830.880000000001</v>
      </c>
      <c r="L29" s="52">
        <f t="shared" si="8"/>
        <v>23863.690000000002</v>
      </c>
      <c r="M29"/>
    </row>
    <row r="30" spans="1:13" ht="15.75" thickTop="1" x14ac:dyDescent="0.25"/>
    <row r="31" spans="1:13" x14ac:dyDescent="0.25">
      <c r="J31" s="48">
        <v>0</v>
      </c>
      <c r="K31" s="48">
        <v>0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48" fitToHeight="0" orientation="portrait" r:id="rId1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</sheetPr>
  <dimension ref="A1:R284"/>
  <sheetViews>
    <sheetView view="pageBreakPreview" zoomScale="60" zoomScaleNormal="110" workbookViewId="0">
      <pane xSplit="1" ySplit="4" topLeftCell="B9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ColWidth="9.140625" defaultRowHeight="15" x14ac:dyDescent="0.25"/>
  <cols>
    <col min="1" max="1" width="88.5703125" style="112" bestFit="1" customWidth="1"/>
    <col min="2" max="2" width="22.42578125" style="1" customWidth="1"/>
    <col min="3" max="3" width="24" style="2" customWidth="1"/>
    <col min="4" max="4" width="24.28515625" style="2" customWidth="1"/>
    <col min="5" max="6" width="25.140625" style="2" customWidth="1"/>
    <col min="7" max="7" width="24" style="2" customWidth="1"/>
    <col min="8" max="8" width="23.42578125" style="7" customWidth="1"/>
    <col min="9" max="9" width="23.42578125" style="2" customWidth="1"/>
    <col min="10" max="11" width="23" style="2" customWidth="1"/>
    <col min="12" max="13" width="25.5703125" style="2" hidden="1" customWidth="1"/>
    <col min="14" max="14" width="26.28515625" style="7" customWidth="1"/>
    <col min="15" max="15" width="12.5703125" style="2" bestFit="1" customWidth="1"/>
    <col min="16" max="17" width="26.28515625" style="2" hidden="1" customWidth="1"/>
    <col min="18" max="16384" width="9.140625" style="2"/>
  </cols>
  <sheetData>
    <row r="1" spans="1:17" ht="18.75" x14ac:dyDescent="0.3">
      <c r="A1" s="111" t="s">
        <v>0</v>
      </c>
    </row>
    <row r="2" spans="1:17" ht="19.5" thickBot="1" x14ac:dyDescent="0.35">
      <c r="A2" s="111"/>
      <c r="I2" s="2">
        <v>0</v>
      </c>
    </row>
    <row r="3" spans="1:17" ht="15.75" thickBot="1" x14ac:dyDescent="0.3">
      <c r="B3" s="3">
        <v>43131</v>
      </c>
      <c r="C3" s="3">
        <v>43159</v>
      </c>
      <c r="D3" s="3">
        <v>43190</v>
      </c>
      <c r="E3" s="3">
        <v>43220</v>
      </c>
      <c r="F3" s="3">
        <v>43251</v>
      </c>
      <c r="G3" s="3">
        <v>43281</v>
      </c>
      <c r="H3" s="3">
        <v>43312</v>
      </c>
      <c r="I3" s="3">
        <v>43343</v>
      </c>
      <c r="J3" s="3">
        <v>43373</v>
      </c>
      <c r="K3" s="3">
        <v>43404</v>
      </c>
      <c r="L3" s="3">
        <v>43434</v>
      </c>
      <c r="M3" s="3">
        <v>43465</v>
      </c>
      <c r="N3" s="4" t="s">
        <v>1</v>
      </c>
      <c r="P3" s="4" t="s">
        <v>2</v>
      </c>
      <c r="Q3" s="4" t="s">
        <v>3</v>
      </c>
    </row>
    <row r="4" spans="1:17" ht="15.75" thickBot="1" x14ac:dyDescent="0.3">
      <c r="A4" s="113" t="s">
        <v>4</v>
      </c>
      <c r="P4" s="4" t="s">
        <v>5</v>
      </c>
      <c r="Q4" s="4" t="s">
        <v>6</v>
      </c>
    </row>
    <row r="5" spans="1:17" x14ac:dyDescent="0.25">
      <c r="A5" s="112" t="s">
        <v>7</v>
      </c>
      <c r="B5" s="5">
        <f t="shared" ref="B5:E6" si="0">+B105+B116</f>
        <v>154563428.67000002</v>
      </c>
      <c r="C5" s="5">
        <f t="shared" si="0"/>
        <v>109601727.78999999</v>
      </c>
      <c r="D5" s="5">
        <f>+D105+D116</f>
        <v>101069868.19</v>
      </c>
      <c r="E5" s="5">
        <f>+E105+E116</f>
        <v>92671539.059999987</v>
      </c>
      <c r="F5" s="5">
        <f>+F105+F116</f>
        <v>94258757.019999996</v>
      </c>
      <c r="G5" s="1">
        <f t="shared" ref="G5:M8" si="1">G105+G116</f>
        <v>92781088.61999999</v>
      </c>
      <c r="H5" s="58">
        <f t="shared" si="1"/>
        <v>122616849.06</v>
      </c>
      <c r="I5" s="58">
        <f t="shared" si="1"/>
        <v>126398264.86999999</v>
      </c>
      <c r="J5" s="58">
        <f t="shared" si="1"/>
        <v>93678610.930000007</v>
      </c>
      <c r="K5" s="58">
        <f t="shared" ref="K5" si="2">K105+K116</f>
        <v>83905128.570000008</v>
      </c>
      <c r="L5" s="1">
        <f t="shared" si="1"/>
        <v>0</v>
      </c>
      <c r="M5" s="1">
        <f t="shared" si="1"/>
        <v>0</v>
      </c>
      <c r="N5" s="58">
        <f>SUM(B5:M5)</f>
        <v>1071545262.7800001</v>
      </c>
      <c r="P5" s="1">
        <f t="shared" ref="P5:P71" si="3">(N5-M5)/11</f>
        <v>97413205.707272738</v>
      </c>
      <c r="Q5" s="1">
        <f t="shared" ref="Q5:Q71" si="4">M5-P5</f>
        <v>-97413205.707272738</v>
      </c>
    </row>
    <row r="6" spans="1:17" x14ac:dyDescent="0.25">
      <c r="A6" s="112" t="s">
        <v>8</v>
      </c>
      <c r="B6" s="5">
        <f t="shared" si="0"/>
        <v>424529753.21999997</v>
      </c>
      <c r="C6" s="5">
        <f t="shared" si="0"/>
        <v>1212317398.3500001</v>
      </c>
      <c r="D6" s="5">
        <f>+D106+D117</f>
        <v>305312522.13</v>
      </c>
      <c r="E6" s="5">
        <f t="shared" si="0"/>
        <v>46941731.32</v>
      </c>
      <c r="F6" s="5">
        <f>+F106+F117</f>
        <v>115060805.22</v>
      </c>
      <c r="G6" s="1">
        <f t="shared" si="1"/>
        <v>260963733.31999999</v>
      </c>
      <c r="H6" s="58">
        <f t="shared" si="1"/>
        <v>166703405.97</v>
      </c>
      <c r="I6" s="58">
        <f t="shared" si="1"/>
        <v>324765702.82999998</v>
      </c>
      <c r="J6" s="58">
        <f t="shared" si="1"/>
        <v>239385553.34999999</v>
      </c>
      <c r="K6" s="58">
        <f t="shared" ref="K6" si="5">K106+K117</f>
        <v>61006487.299999997</v>
      </c>
      <c r="L6" s="1">
        <f t="shared" si="1"/>
        <v>0</v>
      </c>
      <c r="M6" s="1">
        <f t="shared" si="1"/>
        <v>0</v>
      </c>
      <c r="N6" s="58">
        <f t="shared" ref="N6:N10" si="6">SUM(B6:M6)</f>
        <v>3156987093.0100002</v>
      </c>
      <c r="P6" s="1">
        <f t="shared" si="3"/>
        <v>286998826.63727278</v>
      </c>
      <c r="Q6" s="1">
        <f t="shared" si="4"/>
        <v>-286998826.63727278</v>
      </c>
    </row>
    <row r="7" spans="1:17" x14ac:dyDescent="0.25">
      <c r="A7" s="112" t="s">
        <v>9</v>
      </c>
      <c r="B7" s="5">
        <f>B107+B118</f>
        <v>2884704.37</v>
      </c>
      <c r="C7" s="5">
        <f>C107+C118</f>
        <v>2596535.7200000002</v>
      </c>
      <c r="D7" s="5">
        <f>D107+D118</f>
        <v>622399.88</v>
      </c>
      <c r="E7" s="5">
        <f>E107+E118</f>
        <v>1945746.84</v>
      </c>
      <c r="F7" s="5">
        <f>F107+F118</f>
        <v>1927944.8</v>
      </c>
      <c r="G7" s="1">
        <f t="shared" si="1"/>
        <v>474866.98</v>
      </c>
      <c r="H7" s="58">
        <f t="shared" si="1"/>
        <v>1059505.05</v>
      </c>
      <c r="I7" s="58">
        <f t="shared" si="1"/>
        <v>1450642.34</v>
      </c>
      <c r="J7" s="58">
        <f t="shared" si="1"/>
        <v>319490.71999999997</v>
      </c>
      <c r="K7" s="58">
        <f t="shared" ref="K7" si="7">K107+K118</f>
        <v>210539.64</v>
      </c>
      <c r="L7" s="1">
        <f t="shared" si="1"/>
        <v>0</v>
      </c>
      <c r="M7" s="1">
        <f t="shared" si="1"/>
        <v>0</v>
      </c>
      <c r="N7" s="58">
        <f t="shared" si="6"/>
        <v>13492376.340000002</v>
      </c>
      <c r="P7" s="1">
        <f t="shared" si="3"/>
        <v>1226579.6672727275</v>
      </c>
      <c r="Q7" s="1">
        <f t="shared" si="4"/>
        <v>-1226579.6672727275</v>
      </c>
    </row>
    <row r="8" spans="1:17" x14ac:dyDescent="0.25">
      <c r="A8" s="112" t="s">
        <v>10</v>
      </c>
      <c r="B8" s="5">
        <f>+B108</f>
        <v>3238349</v>
      </c>
      <c r="C8" s="5">
        <f>+C108</f>
        <v>1478660.42</v>
      </c>
      <c r="D8" s="5">
        <f>+D108+D119</f>
        <v>1427673</v>
      </c>
      <c r="E8" s="5">
        <f>+E108</f>
        <v>2167697.4500000002</v>
      </c>
      <c r="F8" s="5">
        <f>+F108</f>
        <v>847867.6</v>
      </c>
      <c r="G8" s="6">
        <f t="shared" si="1"/>
        <v>784960.5</v>
      </c>
      <c r="H8" s="6">
        <f t="shared" si="1"/>
        <v>518684.94</v>
      </c>
      <c r="I8" s="6">
        <f t="shared" si="1"/>
        <v>749745</v>
      </c>
      <c r="J8" s="6">
        <f t="shared" si="1"/>
        <v>593767</v>
      </c>
      <c r="K8" s="6">
        <f t="shared" ref="K8" si="8">K108+K119</f>
        <v>2838661.13</v>
      </c>
      <c r="L8" s="6">
        <f t="shared" si="1"/>
        <v>0</v>
      </c>
      <c r="M8" s="6">
        <f t="shared" si="1"/>
        <v>0</v>
      </c>
      <c r="N8" s="58">
        <f t="shared" si="6"/>
        <v>14646066.039999999</v>
      </c>
      <c r="P8" s="1">
        <f t="shared" si="3"/>
        <v>1331460.5490909091</v>
      </c>
      <c r="Q8" s="1">
        <f t="shared" si="4"/>
        <v>-1331460.5490909091</v>
      </c>
    </row>
    <row r="9" spans="1:17" x14ac:dyDescent="0.25">
      <c r="A9" s="112" t="s">
        <v>11</v>
      </c>
      <c r="B9" s="5">
        <f t="shared" ref="B9:M9" si="9">+B112+B122</f>
        <v>85825</v>
      </c>
      <c r="C9" s="5">
        <f t="shared" si="9"/>
        <v>579872.5</v>
      </c>
      <c r="D9" s="5">
        <f t="shared" si="9"/>
        <v>108078.75</v>
      </c>
      <c r="E9" s="5">
        <f t="shared" si="9"/>
        <v>903549.14</v>
      </c>
      <c r="F9" s="5">
        <f t="shared" si="9"/>
        <v>310999.59999999998</v>
      </c>
      <c r="G9" s="5">
        <f t="shared" si="9"/>
        <v>1246220.98</v>
      </c>
      <c r="H9" s="5">
        <f t="shared" si="9"/>
        <v>454175</v>
      </c>
      <c r="I9" s="5">
        <f t="shared" si="9"/>
        <v>875445</v>
      </c>
      <c r="J9" s="5">
        <f t="shared" si="9"/>
        <v>458565</v>
      </c>
      <c r="K9" s="5">
        <f t="shared" ref="K9" si="10">+K112+K122</f>
        <v>664960</v>
      </c>
      <c r="L9" s="5">
        <f t="shared" si="9"/>
        <v>0</v>
      </c>
      <c r="M9" s="5">
        <f t="shared" si="9"/>
        <v>0</v>
      </c>
      <c r="N9" s="58">
        <f t="shared" si="6"/>
        <v>5687690.9700000007</v>
      </c>
      <c r="P9" s="1">
        <f t="shared" si="3"/>
        <v>517062.81545454549</v>
      </c>
      <c r="Q9" s="1">
        <f t="shared" si="4"/>
        <v>-517062.81545454549</v>
      </c>
    </row>
    <row r="10" spans="1:17" x14ac:dyDescent="0.25">
      <c r="A10" s="112" t="s">
        <v>12</v>
      </c>
      <c r="B10" s="5"/>
      <c r="C10" s="5"/>
      <c r="D10" s="5"/>
      <c r="E10" s="5">
        <f>E123+E125</f>
        <v>292312.5</v>
      </c>
      <c r="F10" s="5">
        <f>F123+F125</f>
        <v>0</v>
      </c>
      <c r="G10" s="5">
        <f>G123+G125</f>
        <v>1845</v>
      </c>
      <c r="H10" s="5">
        <f>H123+H125</f>
        <v>161476.78</v>
      </c>
      <c r="I10" s="5">
        <f>I123+I125+I126+I124</f>
        <v>138951.82999999999</v>
      </c>
      <c r="J10" s="5">
        <f>J123+J125+J126+J124</f>
        <v>2028039.81</v>
      </c>
      <c r="K10" s="5">
        <f>K123+K125+K126+K124</f>
        <v>1609511.6</v>
      </c>
      <c r="L10" s="5">
        <f>L123+L125</f>
        <v>0</v>
      </c>
      <c r="M10" s="5">
        <f>M123+M125</f>
        <v>0</v>
      </c>
      <c r="N10" s="58">
        <f t="shared" si="6"/>
        <v>4232137.5199999996</v>
      </c>
      <c r="P10" s="1"/>
      <c r="Q10" s="1"/>
    </row>
    <row r="11" spans="1:17" x14ac:dyDescent="0.25">
      <c r="B11" s="8">
        <f>SUM(B5:B10)</f>
        <v>585302060.25999999</v>
      </c>
      <c r="C11" s="8">
        <f>SUM(C5:C10)</f>
        <v>1326574194.7800002</v>
      </c>
      <c r="D11" s="8">
        <f>SUM(D5:D10)</f>
        <v>408540541.94999999</v>
      </c>
      <c r="E11" s="9">
        <f>SUM(E5:E10)</f>
        <v>144922576.30999997</v>
      </c>
      <c r="F11" s="9">
        <f t="shared" ref="F11:M11" si="11">SUM(F5:F10)</f>
        <v>212406374.24000001</v>
      </c>
      <c r="G11" s="9">
        <f t="shared" si="11"/>
        <v>356252715.40000004</v>
      </c>
      <c r="H11" s="9">
        <f>SUM(H5:H10)</f>
        <v>291514096.79999995</v>
      </c>
      <c r="I11" s="9">
        <f>SUM(I5:I10)</f>
        <v>454378751.86999995</v>
      </c>
      <c r="J11" s="9">
        <f t="shared" si="11"/>
        <v>336464026.81</v>
      </c>
      <c r="K11" s="9">
        <f t="shared" si="11"/>
        <v>150235288.23999998</v>
      </c>
      <c r="L11" s="9">
        <f t="shared" si="11"/>
        <v>0</v>
      </c>
      <c r="M11" s="9">
        <f t="shared" si="11"/>
        <v>0</v>
      </c>
      <c r="N11" s="8">
        <f>SUM(N5:N10)</f>
        <v>4266590626.6600003</v>
      </c>
      <c r="P11" s="8">
        <f t="shared" si="3"/>
        <v>387871875.15090913</v>
      </c>
      <c r="Q11" s="8">
        <f t="shared" si="4"/>
        <v>-387871875.15090913</v>
      </c>
    </row>
    <row r="12" spans="1:17" x14ac:dyDescent="0.25">
      <c r="C12" s="1"/>
      <c r="D12" s="1"/>
      <c r="E12" s="1"/>
      <c r="F12" s="1"/>
      <c r="G12" s="1"/>
      <c r="H12" s="58"/>
      <c r="I12" s="1"/>
      <c r="J12" s="1"/>
      <c r="K12" s="1"/>
      <c r="L12" s="1"/>
      <c r="M12" s="1"/>
      <c r="P12" s="2">
        <f t="shared" si="3"/>
        <v>0</v>
      </c>
      <c r="Q12" s="2">
        <f t="shared" si="4"/>
        <v>0</v>
      </c>
    </row>
    <row r="13" spans="1:17" x14ac:dyDescent="0.25">
      <c r="A13" s="113" t="s">
        <v>13</v>
      </c>
      <c r="C13" s="1"/>
      <c r="D13" s="1"/>
      <c r="E13" s="1"/>
      <c r="F13" s="1"/>
      <c r="G13" s="1"/>
      <c r="H13" s="58"/>
      <c r="I13" s="1"/>
      <c r="J13" s="1"/>
      <c r="K13" s="1"/>
      <c r="L13" s="1"/>
      <c r="M13" s="1"/>
      <c r="P13" s="2">
        <f t="shared" si="3"/>
        <v>0</v>
      </c>
      <c r="Q13" s="2">
        <f t="shared" si="4"/>
        <v>0</v>
      </c>
    </row>
    <row r="14" spans="1:17" x14ac:dyDescent="0.25">
      <c r="A14" s="112" t="s">
        <v>14</v>
      </c>
      <c r="B14" s="5">
        <f t="shared" ref="B14:F17" si="12">+B136+B161+B168</f>
        <v>157842383.69</v>
      </c>
      <c r="C14" s="5">
        <f t="shared" si="12"/>
        <v>108846154.46000001</v>
      </c>
      <c r="D14" s="5">
        <f t="shared" si="12"/>
        <v>100906197.60999998</v>
      </c>
      <c r="E14" s="5">
        <f t="shared" si="12"/>
        <v>92373678.780000001</v>
      </c>
      <c r="F14" s="5">
        <f t="shared" si="12"/>
        <v>94255718.569999993</v>
      </c>
      <c r="G14" s="5">
        <f>G136+G161+G168</f>
        <v>92265888.5</v>
      </c>
      <c r="H14" s="5">
        <f t="shared" ref="H14:I17" si="13">H136+H161+H168</f>
        <v>124048206.41999999</v>
      </c>
      <c r="I14" s="5">
        <f t="shared" si="13"/>
        <v>127634931.13</v>
      </c>
      <c r="J14" s="5">
        <f t="shared" ref="J14:K14" si="14">J136+J161+J168</f>
        <v>93996436.060000002</v>
      </c>
      <c r="K14" s="5">
        <f t="shared" si="14"/>
        <v>83008415.149999991</v>
      </c>
      <c r="L14" s="1">
        <f t="shared" ref="L14:M17" si="15">L136+L161+L168</f>
        <v>0</v>
      </c>
      <c r="M14" s="1">
        <f t="shared" si="15"/>
        <v>0</v>
      </c>
      <c r="N14" s="58">
        <f t="shared" ref="N14:N20" si="16">SUM(B14:M14)</f>
        <v>1075178010.3699999</v>
      </c>
      <c r="P14" s="1">
        <f t="shared" si="3"/>
        <v>97743455.488181815</v>
      </c>
      <c r="Q14" s="1">
        <f t="shared" si="4"/>
        <v>-97743455.488181815</v>
      </c>
    </row>
    <row r="15" spans="1:17" x14ac:dyDescent="0.25">
      <c r="A15" s="112" t="s">
        <v>15</v>
      </c>
      <c r="B15" s="5">
        <f t="shared" si="12"/>
        <v>422465521.94999993</v>
      </c>
      <c r="C15" s="5">
        <f t="shared" si="12"/>
        <v>1215546261.6300001</v>
      </c>
      <c r="D15" s="5">
        <f t="shared" si="12"/>
        <v>305678068.99000001</v>
      </c>
      <c r="E15" s="5">
        <f t="shared" si="12"/>
        <v>48482029.219999999</v>
      </c>
      <c r="F15" s="5">
        <f t="shared" si="12"/>
        <v>116507251.69</v>
      </c>
      <c r="G15" s="5">
        <f>G137+G162+G169</f>
        <v>262380283.97</v>
      </c>
      <c r="H15" s="5">
        <f t="shared" ref="H15" si="17">H137+H162+H169</f>
        <v>169287706.25999999</v>
      </c>
      <c r="I15" s="5">
        <f t="shared" si="13"/>
        <v>327625512.15999997</v>
      </c>
      <c r="J15" s="5">
        <f t="shared" ref="J15:K15" si="18">J137+J162+J169</f>
        <v>243891316.29999998</v>
      </c>
      <c r="K15" s="5">
        <f t="shared" si="18"/>
        <v>60177181.419999994</v>
      </c>
      <c r="L15" s="1">
        <f t="shared" si="15"/>
        <v>0</v>
      </c>
      <c r="M15" s="1">
        <f t="shared" si="15"/>
        <v>0</v>
      </c>
      <c r="N15" s="58">
        <f t="shared" si="16"/>
        <v>3172041133.5900002</v>
      </c>
      <c r="P15" s="1">
        <f t="shared" si="3"/>
        <v>288367375.78090912</v>
      </c>
      <c r="Q15" s="1">
        <f t="shared" si="4"/>
        <v>-288367375.78090912</v>
      </c>
    </row>
    <row r="16" spans="1:17" x14ac:dyDescent="0.25">
      <c r="A16" s="155" t="s">
        <v>477</v>
      </c>
      <c r="B16" s="5">
        <f t="shared" si="12"/>
        <v>2842624.1900000004</v>
      </c>
      <c r="C16" s="5">
        <f t="shared" si="12"/>
        <v>2535222.7399999998</v>
      </c>
      <c r="D16" s="5">
        <f t="shared" si="12"/>
        <v>618326.57000000007</v>
      </c>
      <c r="E16" s="5">
        <f t="shared" si="12"/>
        <v>1945380.79</v>
      </c>
      <c r="F16" s="5">
        <f t="shared" si="12"/>
        <v>2008835.22</v>
      </c>
      <c r="G16" s="5">
        <f>G138+G163+G170</f>
        <v>484708.1</v>
      </c>
      <c r="H16" s="5">
        <f t="shared" ref="H16" si="19">H138+H163+H170</f>
        <v>1046932.3900000002</v>
      </c>
      <c r="I16" s="5">
        <f t="shared" si="13"/>
        <v>1505536.0799999998</v>
      </c>
      <c r="J16" s="5">
        <f t="shared" ref="J16:K16" si="20">J138+J163+J170</f>
        <v>401564.48</v>
      </c>
      <c r="K16" s="5">
        <f t="shared" si="20"/>
        <v>210096.02</v>
      </c>
      <c r="L16" s="1">
        <f t="shared" si="15"/>
        <v>0</v>
      </c>
      <c r="M16" s="1">
        <f t="shared" si="15"/>
        <v>0</v>
      </c>
      <c r="N16" s="58">
        <f t="shared" si="16"/>
        <v>13599226.58</v>
      </c>
      <c r="P16" s="1">
        <f t="shared" si="3"/>
        <v>1236293.3254545454</v>
      </c>
      <c r="Q16" s="1">
        <f t="shared" si="4"/>
        <v>-1236293.3254545454</v>
      </c>
    </row>
    <row r="17" spans="1:17" x14ac:dyDescent="0.25">
      <c r="A17" s="112" t="s">
        <v>16</v>
      </c>
      <c r="B17" s="5">
        <f t="shared" si="12"/>
        <v>3972878.5</v>
      </c>
      <c r="C17" s="5">
        <f t="shared" si="12"/>
        <v>1516251.86</v>
      </c>
      <c r="D17" s="5">
        <f t="shared" si="12"/>
        <v>1446310.3</v>
      </c>
      <c r="E17" s="5">
        <f t="shared" si="12"/>
        <v>2111524.9700000002</v>
      </c>
      <c r="F17" s="5">
        <f t="shared" si="12"/>
        <v>836505.07000000007</v>
      </c>
      <c r="G17" s="5">
        <f>G139+G164+G171</f>
        <v>759607.35</v>
      </c>
      <c r="H17" s="5">
        <f t="shared" ref="H17" si="21">H139+H164+H171</f>
        <v>470878.57</v>
      </c>
      <c r="I17" s="5">
        <f t="shared" si="13"/>
        <v>769499.35</v>
      </c>
      <c r="J17" s="5">
        <f t="shared" ref="J17:K17" si="22">J139+J164+J171</f>
        <v>632199.65</v>
      </c>
      <c r="K17" s="5">
        <f t="shared" si="22"/>
        <v>2817866.3699999996</v>
      </c>
      <c r="L17" s="1">
        <f t="shared" si="15"/>
        <v>0</v>
      </c>
      <c r="M17" s="1">
        <f t="shared" si="15"/>
        <v>0</v>
      </c>
      <c r="N17" s="58">
        <f t="shared" si="16"/>
        <v>15333521.99</v>
      </c>
      <c r="P17" s="1">
        <f t="shared" si="3"/>
        <v>1393956.5445454547</v>
      </c>
      <c r="Q17" s="1">
        <f t="shared" si="4"/>
        <v>-1393956.5445454547</v>
      </c>
    </row>
    <row r="18" spans="1:17" x14ac:dyDescent="0.25">
      <c r="A18" s="112" t="s">
        <v>17</v>
      </c>
      <c r="B18" s="5">
        <f>+B142+B177</f>
        <v>103200.43</v>
      </c>
      <c r="C18" s="5">
        <f>+C142+C177</f>
        <v>557565.63</v>
      </c>
      <c r="D18" s="5">
        <f>+D142+D177</f>
        <v>104546.19</v>
      </c>
      <c r="E18" s="5">
        <f>+E142+E177</f>
        <v>891459.31</v>
      </c>
      <c r="F18" s="5">
        <f>+F142+F177</f>
        <v>468362.63</v>
      </c>
      <c r="G18" s="5">
        <f>G142+G177+G166</f>
        <v>1064241.21</v>
      </c>
      <c r="H18" s="5">
        <f>H142+H177+H166</f>
        <v>433922.20999999996</v>
      </c>
      <c r="I18" s="5">
        <f>I142+I177+I166</f>
        <v>851173.99</v>
      </c>
      <c r="J18" s="5">
        <f>J142+J177+J166</f>
        <v>441104</v>
      </c>
      <c r="K18" s="5">
        <f>K142+K177+K166</f>
        <v>654934.12</v>
      </c>
      <c r="L18" s="1">
        <f>L142+L177</f>
        <v>0</v>
      </c>
      <c r="M18" s="1">
        <f>M142+M177</f>
        <v>0</v>
      </c>
      <c r="N18" s="58">
        <f t="shared" si="16"/>
        <v>5570509.7199999997</v>
      </c>
      <c r="P18" s="1">
        <f t="shared" si="3"/>
        <v>506409.97454545455</v>
      </c>
      <c r="Q18" s="1">
        <f t="shared" si="4"/>
        <v>-506409.97454545455</v>
      </c>
    </row>
    <row r="19" spans="1:17" x14ac:dyDescent="0.25">
      <c r="A19" s="112" t="s">
        <v>402</v>
      </c>
      <c r="B19" s="5"/>
      <c r="C19" s="5"/>
      <c r="D19" s="5"/>
      <c r="E19" s="5"/>
      <c r="F19" s="5">
        <f>F140</f>
        <v>72</v>
      </c>
      <c r="G19" s="5"/>
      <c r="H19" s="5">
        <f>H140+H184</f>
        <v>0</v>
      </c>
      <c r="I19" s="5">
        <f>I140+I184</f>
        <v>0</v>
      </c>
      <c r="J19" s="5">
        <f>J140+J184</f>
        <v>86.04000000000002</v>
      </c>
      <c r="K19" s="5">
        <f>K140+K184</f>
        <v>-142.80000000000001</v>
      </c>
      <c r="L19" s="1"/>
      <c r="M19" s="1"/>
      <c r="N19" s="58">
        <f t="shared" si="16"/>
        <v>15.240000000000009</v>
      </c>
      <c r="P19" s="1"/>
      <c r="Q19" s="1"/>
    </row>
    <row r="20" spans="1:17" x14ac:dyDescent="0.25">
      <c r="A20" s="112" t="s">
        <v>12</v>
      </c>
      <c r="B20" s="5"/>
      <c r="C20" s="5"/>
      <c r="D20" s="5"/>
      <c r="E20" s="5">
        <f>E188+E190</f>
        <v>180989.71000000002</v>
      </c>
      <c r="F20" s="5">
        <f>F188+F190</f>
        <v>-0.02</v>
      </c>
      <c r="G20" s="5">
        <f>G188+G190+G194+G193</f>
        <v>1208.02</v>
      </c>
      <c r="H20" s="5">
        <f>H188+H190+H194+H193+H195</f>
        <v>165633.65</v>
      </c>
      <c r="I20" s="5">
        <f>I188+I190+I194+I193+I195+I189+I192</f>
        <v>148231.46</v>
      </c>
      <c r="J20" s="5">
        <f>J188+J190+J194+J193+J195+J189+J192</f>
        <v>2225227.27</v>
      </c>
      <c r="K20" s="5">
        <f>K188+K190+K194+K193+K195+K189+K192</f>
        <v>1271518.28</v>
      </c>
      <c r="L20" s="5">
        <f>L188+L190</f>
        <v>0</v>
      </c>
      <c r="M20" s="5">
        <f>M188+M190</f>
        <v>0</v>
      </c>
      <c r="N20" s="58">
        <f t="shared" si="16"/>
        <v>3992808.37</v>
      </c>
      <c r="P20" s="1"/>
      <c r="Q20" s="1"/>
    </row>
    <row r="21" spans="1:17" x14ac:dyDescent="0.25">
      <c r="C21" s="1"/>
      <c r="D21" s="1"/>
      <c r="E21" s="10"/>
      <c r="F21" s="10"/>
      <c r="G21" s="10"/>
      <c r="H21" s="58"/>
      <c r="I21" s="58"/>
      <c r="J21" s="58"/>
      <c r="K21" s="58"/>
      <c r="L21" s="1"/>
      <c r="M21" s="1"/>
      <c r="N21" s="11"/>
      <c r="P21" s="11">
        <f t="shared" si="3"/>
        <v>0</v>
      </c>
      <c r="Q21" s="11">
        <f t="shared" si="4"/>
        <v>0</v>
      </c>
    </row>
    <row r="22" spans="1:17" x14ac:dyDescent="0.25">
      <c r="A22" s="112" t="s">
        <v>18</v>
      </c>
      <c r="B22" s="5">
        <f>B157+B152</f>
        <v>-4303584.0399999917</v>
      </c>
      <c r="C22" s="5">
        <f>C157+C152</f>
        <v>-230168.78000000119</v>
      </c>
      <c r="D22" s="5">
        <f>D157+D152</f>
        <v>-102046.03999999166</v>
      </c>
      <c r="E22" s="13">
        <f>E157+E152</f>
        <v>14781.879999995232</v>
      </c>
      <c r="F22" s="13">
        <f>F157+F152</f>
        <v>98279.520000003278</v>
      </c>
      <c r="G22" s="13">
        <f>G152+G157</f>
        <v>426672.62000000477</v>
      </c>
      <c r="H22" s="13">
        <f t="shared" ref="H22:I22" si="23">H152+H157</f>
        <v>293118.11000001431</v>
      </c>
      <c r="I22" s="13">
        <f t="shared" si="23"/>
        <v>327964.43000000715</v>
      </c>
      <c r="J22" s="13">
        <f t="shared" ref="J22:K22" si="24">J152+J157</f>
        <v>277404.03999996185</v>
      </c>
      <c r="K22" s="13">
        <f t="shared" si="24"/>
        <v>-370818.23000000417</v>
      </c>
      <c r="L22" s="1">
        <f>L152+L157</f>
        <v>0</v>
      </c>
      <c r="M22" s="1">
        <f>M152+M157</f>
        <v>0</v>
      </c>
      <c r="N22" s="58">
        <f>SUM(B22:M22)</f>
        <v>-3568396.4900000021</v>
      </c>
      <c r="P22" s="1">
        <f t="shared" si="3"/>
        <v>-324399.68090909108</v>
      </c>
      <c r="Q22" s="1">
        <f t="shared" si="4"/>
        <v>324399.68090909108</v>
      </c>
    </row>
    <row r="23" spans="1:17" x14ac:dyDescent="0.25">
      <c r="A23" s="112" t="s">
        <v>19</v>
      </c>
      <c r="B23" s="5">
        <f t="shared" ref="B23:G23" si="25">B158+B165</f>
        <v>-198311.54999999702</v>
      </c>
      <c r="C23" s="5">
        <f t="shared" si="25"/>
        <v>-141071.81000000052</v>
      </c>
      <c r="D23" s="5">
        <f t="shared" si="25"/>
        <v>73914.890000000596</v>
      </c>
      <c r="E23" s="5">
        <f t="shared" si="25"/>
        <v>442679.44999998808</v>
      </c>
      <c r="F23" s="5">
        <f t="shared" si="25"/>
        <v>682167.71000003815</v>
      </c>
      <c r="G23" s="5">
        <f t="shared" si="25"/>
        <v>1346835.4100000858</v>
      </c>
      <c r="H23" s="5">
        <f t="shared" ref="H23:I23" si="26">H158+H165</f>
        <v>4496541.1600000262</v>
      </c>
      <c r="I23" s="5">
        <f t="shared" si="26"/>
        <v>161672.65999996662</v>
      </c>
      <c r="J23" s="5">
        <f t="shared" ref="J23:K23" si="27">J158+J165</f>
        <v>664706.21999999881</v>
      </c>
      <c r="K23" s="5">
        <f t="shared" si="27"/>
        <v>1736952.3999998569</v>
      </c>
      <c r="L23" s="1">
        <f>L158+L165</f>
        <v>0</v>
      </c>
      <c r="M23" s="1">
        <f>M158+M165</f>
        <v>0</v>
      </c>
      <c r="N23" s="58">
        <f t="shared" ref="N23:N25" si="28">SUM(B23:M23)</f>
        <v>9266086.5399999637</v>
      </c>
      <c r="P23" s="1">
        <f t="shared" si="3"/>
        <v>842371.50363636028</v>
      </c>
      <c r="Q23" s="1">
        <f t="shared" si="4"/>
        <v>-842371.50363636028</v>
      </c>
    </row>
    <row r="24" spans="1:17" x14ac:dyDescent="0.25">
      <c r="A24" s="112" t="s">
        <v>20</v>
      </c>
      <c r="B24" s="5">
        <f t="shared" ref="B24:G24" si="29">B159+B167</f>
        <v>-28077.910000000033</v>
      </c>
      <c r="C24" s="5">
        <f t="shared" si="29"/>
        <v>-41342.620000000112</v>
      </c>
      <c r="D24" s="5">
        <f t="shared" si="29"/>
        <v>-28127.939999999944</v>
      </c>
      <c r="E24" s="12">
        <f t="shared" si="29"/>
        <v>1048.5499999999884</v>
      </c>
      <c r="F24" s="12">
        <f t="shared" si="29"/>
        <v>13526.869999999995</v>
      </c>
      <c r="G24" s="12">
        <f t="shared" si="29"/>
        <v>28752.459999999963</v>
      </c>
      <c r="H24" s="12">
        <f t="shared" ref="H24:I24" si="30">H159+H167</f>
        <v>-16145.679999999993</v>
      </c>
      <c r="I24" s="12">
        <f t="shared" si="30"/>
        <v>-6336.4200000000419</v>
      </c>
      <c r="J24" s="12">
        <f t="shared" ref="J24:K24" si="31">J159+J167</f>
        <v>-36760.469999999972</v>
      </c>
      <c r="K24" s="12">
        <f t="shared" si="31"/>
        <v>-12813.290000000037</v>
      </c>
      <c r="L24" s="1">
        <f>L159+L167</f>
        <v>0</v>
      </c>
      <c r="M24" s="1">
        <f>M159+M167</f>
        <v>0</v>
      </c>
      <c r="N24" s="58">
        <f t="shared" si="28"/>
        <v>-126276.45000000019</v>
      </c>
      <c r="P24" s="1">
        <f t="shared" si="3"/>
        <v>-11479.677272727289</v>
      </c>
      <c r="Q24" s="1">
        <f t="shared" si="4"/>
        <v>11479.677272727289</v>
      </c>
    </row>
    <row r="25" spans="1:17" x14ac:dyDescent="0.25">
      <c r="A25" s="112" t="s">
        <v>21</v>
      </c>
      <c r="B25" s="5">
        <f t="shared" ref="B25:G25" si="32">B160+B172</f>
        <v>-17915.510000000009</v>
      </c>
      <c r="C25" s="5">
        <f t="shared" si="32"/>
        <v>0</v>
      </c>
      <c r="D25" s="5">
        <f t="shared" si="32"/>
        <v>-35497.39</v>
      </c>
      <c r="E25" s="12">
        <f t="shared" si="32"/>
        <v>2061.8000000000466</v>
      </c>
      <c r="F25" s="12">
        <f t="shared" si="32"/>
        <v>0</v>
      </c>
      <c r="G25" s="12">
        <f t="shared" si="32"/>
        <v>0</v>
      </c>
      <c r="H25" s="12">
        <f t="shared" ref="H25:I25" si="33">H160+H172</f>
        <v>-19969.050000000003</v>
      </c>
      <c r="I25" s="12">
        <f t="shared" si="33"/>
        <v>18581.950000000012</v>
      </c>
      <c r="J25" s="12">
        <f t="shared" ref="J25:K25" si="34">J160+J172</f>
        <v>-29775.839999999967</v>
      </c>
      <c r="K25" s="12">
        <f t="shared" si="34"/>
        <v>-57997.5</v>
      </c>
      <c r="L25" s="1">
        <f>L160+L172</f>
        <v>0</v>
      </c>
      <c r="M25" s="1">
        <f>M160+M172</f>
        <v>0</v>
      </c>
      <c r="N25" s="58">
        <f t="shared" si="28"/>
        <v>-140511.53999999992</v>
      </c>
      <c r="P25" s="1">
        <f t="shared" si="3"/>
        <v>-12773.776363636356</v>
      </c>
      <c r="Q25" s="1">
        <f t="shared" si="4"/>
        <v>12773.776363636356</v>
      </c>
    </row>
    <row r="26" spans="1:17" x14ac:dyDescent="0.25">
      <c r="C26" s="1"/>
      <c r="D26" s="1"/>
      <c r="E26" s="10"/>
      <c r="F26" s="10"/>
      <c r="G26" s="10"/>
      <c r="H26" s="58"/>
      <c r="I26" s="58"/>
      <c r="J26" s="58"/>
      <c r="K26" s="58"/>
      <c r="L26" s="1"/>
      <c r="M26" s="1"/>
      <c r="N26" s="11"/>
      <c r="P26" s="11">
        <f t="shared" si="3"/>
        <v>0</v>
      </c>
      <c r="Q26" s="11">
        <f t="shared" si="4"/>
        <v>0</v>
      </c>
    </row>
    <row r="27" spans="1:17" x14ac:dyDescent="0.25">
      <c r="A27" s="112" t="s">
        <v>22</v>
      </c>
      <c r="B27" s="5">
        <f t="shared" ref="B27:G28" si="35">B148+B153</f>
        <v>-1451390.0700000077</v>
      </c>
      <c r="C27" s="5">
        <f t="shared" si="35"/>
        <v>-14017.5</v>
      </c>
      <c r="D27" s="5">
        <f t="shared" si="35"/>
        <v>-649600</v>
      </c>
      <c r="E27" s="5">
        <f t="shared" si="35"/>
        <v>339010</v>
      </c>
      <c r="F27" s="5">
        <f t="shared" si="35"/>
        <v>92680</v>
      </c>
      <c r="G27" s="5">
        <f t="shared" si="35"/>
        <v>525780</v>
      </c>
      <c r="H27" s="5">
        <f t="shared" ref="H27:I27" si="36">H148+H153</f>
        <v>464420</v>
      </c>
      <c r="I27" s="5">
        <f t="shared" si="36"/>
        <v>390490</v>
      </c>
      <c r="J27" s="5">
        <f t="shared" ref="J27:K27" si="37">J148+J153</f>
        <v>142640</v>
      </c>
      <c r="K27" s="5">
        <f t="shared" si="37"/>
        <v>-503440</v>
      </c>
      <c r="L27" s="1">
        <f t="shared" ref="L27:M28" si="38">L148+L153</f>
        <v>0</v>
      </c>
      <c r="M27" s="1">
        <f t="shared" si="38"/>
        <v>0</v>
      </c>
      <c r="N27" s="58">
        <f>SUM(B27:M27)</f>
        <v>-663427.57000000775</v>
      </c>
      <c r="P27" s="1">
        <f t="shared" si="3"/>
        <v>-60311.59727272798</v>
      </c>
      <c r="Q27" s="1">
        <f t="shared" si="4"/>
        <v>60311.59727272798</v>
      </c>
    </row>
    <row r="28" spans="1:17" x14ac:dyDescent="0.25">
      <c r="A28" s="112" t="s">
        <v>23</v>
      </c>
      <c r="B28" s="5">
        <f t="shared" si="35"/>
        <v>287951.64999999851</v>
      </c>
      <c r="C28" s="5">
        <f t="shared" si="35"/>
        <v>-4461877.3100000024</v>
      </c>
      <c r="D28" s="5">
        <f t="shared" si="35"/>
        <v>67555.530000001192</v>
      </c>
      <c r="E28" s="12">
        <f t="shared" si="35"/>
        <v>-3414426</v>
      </c>
      <c r="F28" s="12">
        <f t="shared" si="35"/>
        <v>-28165.459999993443</v>
      </c>
      <c r="G28" s="12">
        <f t="shared" si="35"/>
        <v>-6775542</v>
      </c>
      <c r="H28" s="12">
        <f t="shared" ref="H28" si="39">H149+H154</f>
        <v>-2610952</v>
      </c>
      <c r="I28" s="12">
        <f>I149+I154</f>
        <v>-4106876</v>
      </c>
      <c r="J28" s="12">
        <f>J149+J154</f>
        <v>-875180</v>
      </c>
      <c r="K28" s="12">
        <f>K149+K154</f>
        <v>-5978691.5</v>
      </c>
      <c r="L28" s="1">
        <f t="shared" si="38"/>
        <v>0</v>
      </c>
      <c r="M28" s="1">
        <f t="shared" si="38"/>
        <v>0</v>
      </c>
      <c r="N28" s="58">
        <f t="shared" ref="N28:N30" si="40">SUM(B28:M28)</f>
        <v>-27896203.089999996</v>
      </c>
      <c r="P28" s="1">
        <f t="shared" si="3"/>
        <v>-2536018.4627272724</v>
      </c>
      <c r="Q28" s="1">
        <f t="shared" si="4"/>
        <v>2536018.4627272724</v>
      </c>
    </row>
    <row r="29" spans="1:17" x14ac:dyDescent="0.25">
      <c r="A29" s="112" t="s">
        <v>24</v>
      </c>
      <c r="B29" s="5">
        <f>B150+B155</f>
        <v>0</v>
      </c>
      <c r="C29" s="5">
        <f>C150+C155</f>
        <v>4535</v>
      </c>
      <c r="D29" s="5">
        <f>D150+D155</f>
        <v>-3890</v>
      </c>
      <c r="E29" s="12">
        <f>E150+E155</f>
        <v>-555</v>
      </c>
      <c r="F29" s="12">
        <f>F150+F155</f>
        <v>0</v>
      </c>
      <c r="G29" s="12">
        <f>G155+G150</f>
        <v>1775</v>
      </c>
      <c r="H29" s="12">
        <f t="shared" ref="H29:I29" si="41">H155+H150</f>
        <v>0</v>
      </c>
      <c r="I29" s="12">
        <f t="shared" si="41"/>
        <v>0</v>
      </c>
      <c r="J29" s="12">
        <f t="shared" ref="J29:K29" si="42">J155+J150</f>
        <v>0</v>
      </c>
      <c r="K29" s="12">
        <f t="shared" si="42"/>
        <v>-450</v>
      </c>
      <c r="L29" s="1">
        <f t="shared" ref="L29:M30" si="43">L155+L150</f>
        <v>0</v>
      </c>
      <c r="M29" s="1">
        <f t="shared" si="43"/>
        <v>0</v>
      </c>
      <c r="N29" s="58">
        <f t="shared" si="40"/>
        <v>1415</v>
      </c>
      <c r="P29" s="1">
        <f t="shared" si="3"/>
        <v>128.63636363636363</v>
      </c>
      <c r="Q29" s="1">
        <f t="shared" si="4"/>
        <v>-128.63636363636363</v>
      </c>
    </row>
    <row r="30" spans="1:17" x14ac:dyDescent="0.25">
      <c r="A30" s="112" t="s">
        <v>25</v>
      </c>
      <c r="B30" s="1">
        <v>0</v>
      </c>
      <c r="C30" s="1">
        <v>0</v>
      </c>
      <c r="D30" s="1">
        <v>0</v>
      </c>
      <c r="E30" s="14">
        <v>0</v>
      </c>
      <c r="F30" s="14">
        <f>F151+F156</f>
        <v>0</v>
      </c>
      <c r="G30" s="14">
        <v>0</v>
      </c>
      <c r="H30" s="14">
        <f>H151+H156</f>
        <v>-880</v>
      </c>
      <c r="I30" s="14">
        <f>I151+I156</f>
        <v>0</v>
      </c>
      <c r="J30" s="14">
        <f>J151+J156</f>
        <v>0</v>
      </c>
      <c r="K30" s="14">
        <f>K151+K156</f>
        <v>0</v>
      </c>
      <c r="L30" s="1">
        <f t="shared" si="43"/>
        <v>0</v>
      </c>
      <c r="M30" s="1">
        <f t="shared" si="43"/>
        <v>0</v>
      </c>
      <c r="N30" s="58">
        <f t="shared" si="40"/>
        <v>-880</v>
      </c>
      <c r="P30" s="1">
        <f t="shared" si="3"/>
        <v>-80</v>
      </c>
      <c r="Q30" s="1">
        <f t="shared" si="4"/>
        <v>80</v>
      </c>
    </row>
    <row r="31" spans="1:17" x14ac:dyDescent="0.25">
      <c r="C31" s="1"/>
      <c r="D31" s="1"/>
      <c r="E31" s="10"/>
      <c r="F31" s="10"/>
      <c r="G31" s="10"/>
      <c r="H31" s="10"/>
      <c r="I31" s="10"/>
      <c r="J31" s="10"/>
      <c r="K31" s="10"/>
      <c r="L31" s="1"/>
      <c r="M31" s="1"/>
      <c r="N31" s="11"/>
      <c r="P31" s="11">
        <f t="shared" si="3"/>
        <v>0</v>
      </c>
      <c r="Q31" s="11">
        <f t="shared" si="4"/>
        <v>0</v>
      </c>
    </row>
    <row r="32" spans="1:17" x14ac:dyDescent="0.25">
      <c r="A32" s="112" t="s">
        <v>26</v>
      </c>
      <c r="B32" s="1">
        <f t="shared" ref="B32:G32" si="44">+B178</f>
        <v>2910296.13</v>
      </c>
      <c r="C32" s="1">
        <f t="shared" si="44"/>
        <v>1651163.39</v>
      </c>
      <c r="D32" s="1">
        <f t="shared" si="44"/>
        <v>-414097.59</v>
      </c>
      <c r="E32" s="14">
        <f t="shared" si="44"/>
        <v>959937.83</v>
      </c>
      <c r="F32" s="14">
        <f t="shared" si="44"/>
        <v>-3014399.59</v>
      </c>
      <c r="G32" s="14">
        <f t="shared" si="44"/>
        <v>3160990.11</v>
      </c>
      <c r="H32" s="14">
        <f>+H178+H191</f>
        <v>-6978241.0899999999</v>
      </c>
      <c r="I32" s="14">
        <f>+I178+I191</f>
        <v>-1664169.4700000002</v>
      </c>
      <c r="J32" s="14">
        <f>+J178+J191+J131+J132+J133+J134+J135</f>
        <v>-5710025.96</v>
      </c>
      <c r="K32" s="14">
        <f>+K178+K191+K131+K132+K133+K134+K135</f>
        <v>6617453.9100000001</v>
      </c>
      <c r="L32" s="1">
        <f>+L178</f>
        <v>0</v>
      </c>
      <c r="M32" s="1">
        <f>+M178</f>
        <v>0</v>
      </c>
      <c r="N32" s="58">
        <f>SUM(B32:M32)</f>
        <v>-2481092.33</v>
      </c>
      <c r="P32" s="1">
        <f t="shared" si="3"/>
        <v>-225553.84818181818</v>
      </c>
      <c r="Q32" s="1">
        <f t="shared" si="4"/>
        <v>225553.84818181818</v>
      </c>
    </row>
    <row r="33" spans="1:17" x14ac:dyDescent="0.25">
      <c r="A33" s="112" t="s">
        <v>27</v>
      </c>
      <c r="B33" s="5">
        <f t="shared" ref="B33:G33" si="45">B174</f>
        <v>2682.05</v>
      </c>
      <c r="C33" s="5">
        <f t="shared" si="45"/>
        <v>-1617.38</v>
      </c>
      <c r="D33" s="5">
        <f t="shared" si="45"/>
        <v>5756.07</v>
      </c>
      <c r="E33" s="5">
        <f t="shared" si="45"/>
        <v>9048.32</v>
      </c>
      <c r="F33" s="5">
        <f t="shared" si="45"/>
        <v>11168.19</v>
      </c>
      <c r="G33" s="5">
        <f t="shared" si="45"/>
        <v>3721.59</v>
      </c>
      <c r="H33" s="5">
        <f t="shared" ref="H33:I33" si="46">H174</f>
        <v>6172.25</v>
      </c>
      <c r="I33" s="5">
        <f t="shared" si="46"/>
        <v>7102.98</v>
      </c>
      <c r="J33" s="5">
        <f t="shared" ref="J33:K33" si="47">J174</f>
        <v>7169.65</v>
      </c>
      <c r="K33" s="5">
        <f t="shared" si="47"/>
        <v>9614.02</v>
      </c>
      <c r="L33" s="1">
        <f>L174</f>
        <v>0</v>
      </c>
      <c r="M33" s="1">
        <f>M174</f>
        <v>0</v>
      </c>
      <c r="N33" s="58">
        <f>SUM(B33:M33)</f>
        <v>60817.739999999991</v>
      </c>
      <c r="P33" s="1">
        <f t="shared" si="3"/>
        <v>5528.8854545454533</v>
      </c>
      <c r="Q33" s="1">
        <f t="shared" si="4"/>
        <v>-5528.8854545454533</v>
      </c>
    </row>
    <row r="34" spans="1:17" x14ac:dyDescent="0.25">
      <c r="A34" s="112" t="s">
        <v>28</v>
      </c>
      <c r="B34" s="8">
        <f t="shared" ref="B34:M34" si="48">SUM(B14:B33)</f>
        <v>584428259.50999987</v>
      </c>
      <c r="C34" s="8">
        <f t="shared" si="48"/>
        <v>1325767059.3100004</v>
      </c>
      <c r="D34" s="8">
        <f t="shared" si="48"/>
        <v>407667417.19000006</v>
      </c>
      <c r="E34" s="8">
        <f t="shared" si="48"/>
        <v>144338649.61000001</v>
      </c>
      <c r="F34" s="8">
        <f t="shared" si="48"/>
        <v>211932002.40000001</v>
      </c>
      <c r="G34" s="8">
        <f t="shared" si="48"/>
        <v>355674922.34000009</v>
      </c>
      <c r="H34" s="8">
        <f>SUM(H14:H33)</f>
        <v>291087343.19999993</v>
      </c>
      <c r="I34" s="8">
        <f>SUM(I14:I33)</f>
        <v>453663314.29999989</v>
      </c>
      <c r="J34" s="8">
        <f t="shared" si="48"/>
        <v>336028111.43999994</v>
      </c>
      <c r="K34" s="8">
        <f t="shared" si="48"/>
        <v>149579678.36999986</v>
      </c>
      <c r="L34" s="8">
        <f t="shared" si="48"/>
        <v>0</v>
      </c>
      <c r="M34" s="8">
        <f t="shared" si="48"/>
        <v>0</v>
      </c>
      <c r="N34" s="8">
        <f>SUM(N14:N33)</f>
        <v>4260166757.6699991</v>
      </c>
      <c r="P34" s="8">
        <f t="shared" si="3"/>
        <v>387287887.06090903</v>
      </c>
      <c r="Q34" s="8">
        <f t="shared" si="4"/>
        <v>-387287887.06090903</v>
      </c>
    </row>
    <row r="35" spans="1:17" ht="24" customHeight="1" thickBot="1" x14ac:dyDescent="0.3">
      <c r="A35" s="112" t="s">
        <v>29</v>
      </c>
      <c r="B35" s="15">
        <f t="shared" ref="B35:N35" si="49">+B11-B34</f>
        <v>873800.75000011921</v>
      </c>
      <c r="C35" s="15">
        <f t="shared" si="49"/>
        <v>807135.46999979019</v>
      </c>
      <c r="D35" s="15">
        <f t="shared" si="49"/>
        <v>873124.75999993086</v>
      </c>
      <c r="E35" s="15">
        <f t="shared" si="49"/>
        <v>583926.69999995828</v>
      </c>
      <c r="F35" s="15">
        <f t="shared" si="49"/>
        <v>474371.84000000358</v>
      </c>
      <c r="G35" s="15">
        <f t="shared" si="49"/>
        <v>577793.05999994278</v>
      </c>
      <c r="H35" s="15">
        <f>+H11-H34</f>
        <v>426753.60000002384</v>
      </c>
      <c r="I35" s="15">
        <f>+I11-I34</f>
        <v>715437.57000005245</v>
      </c>
      <c r="J35" s="15">
        <f t="shared" si="49"/>
        <v>435915.37000006437</v>
      </c>
      <c r="K35" s="15">
        <f t="shared" si="49"/>
        <v>655609.87000012398</v>
      </c>
      <c r="L35" s="15">
        <f t="shared" si="49"/>
        <v>0</v>
      </c>
      <c r="M35" s="15">
        <f t="shared" si="49"/>
        <v>0</v>
      </c>
      <c r="N35" s="33">
        <f t="shared" si="49"/>
        <v>6423868.9900012016</v>
      </c>
      <c r="P35" s="15">
        <f t="shared" si="3"/>
        <v>583988.09000010928</v>
      </c>
      <c r="Q35" s="15">
        <f t="shared" si="4"/>
        <v>-583988.09000010928</v>
      </c>
    </row>
    <row r="36" spans="1:17" ht="24" customHeight="1" thickTop="1" x14ac:dyDescent="0.25">
      <c r="B36" s="16">
        <f>+B35/B11</f>
        <v>1.4929056453550902E-3</v>
      </c>
      <c r="C36" s="16">
        <f t="shared" ref="C36:N36" si="50">+C35/C11</f>
        <v>6.0843597981615036E-4</v>
      </c>
      <c r="D36" s="16">
        <f t="shared" si="50"/>
        <v>2.137180206969006E-3</v>
      </c>
      <c r="E36" s="16">
        <f t="shared" si="50"/>
        <v>4.029232124268178E-3</v>
      </c>
      <c r="F36" s="16">
        <f t="shared" si="50"/>
        <v>2.233322053998277E-3</v>
      </c>
      <c r="G36" s="16">
        <f t="shared" si="50"/>
        <v>1.6218628940166744E-3</v>
      </c>
      <c r="H36" s="16">
        <f t="shared" ref="H36" si="51">+H35/H11</f>
        <v>1.4639209722087921E-3</v>
      </c>
      <c r="I36" s="16">
        <f t="shared" si="50"/>
        <v>1.5745401101078397E-3</v>
      </c>
      <c r="J36" s="16">
        <f t="shared" si="50"/>
        <v>1.2955779378049951E-3</v>
      </c>
      <c r="K36" s="16">
        <f t="shared" si="50"/>
        <v>4.3638873242136771E-3</v>
      </c>
      <c r="L36" s="16" t="e">
        <f t="shared" si="50"/>
        <v>#DIV/0!</v>
      </c>
      <c r="M36" s="16" t="e">
        <f>+M35/M11</f>
        <v>#DIV/0!</v>
      </c>
      <c r="N36" s="16">
        <f t="shared" si="50"/>
        <v>1.5056211275254162E-3</v>
      </c>
      <c r="P36" s="16" t="e">
        <f t="shared" si="3"/>
        <v>#DIV/0!</v>
      </c>
      <c r="Q36" s="16" t="e">
        <f t="shared" si="4"/>
        <v>#DIV/0!</v>
      </c>
    </row>
    <row r="37" spans="1:17" ht="24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P37" s="6">
        <f t="shared" si="3"/>
        <v>0</v>
      </c>
      <c r="Q37" s="6">
        <f t="shared" si="4"/>
        <v>0</v>
      </c>
    </row>
    <row r="38" spans="1:17" s="17" customFormat="1" x14ac:dyDescent="0.25">
      <c r="A38" s="114" t="s">
        <v>30</v>
      </c>
      <c r="B38" s="6">
        <f>'[1]Comparison 2017-2018'!$G$30</f>
        <v>885928.51408513961</v>
      </c>
      <c r="C38" s="6">
        <f>'[1]Comparison 2017-2018'!$G$54</f>
        <v>681928.29401690571</v>
      </c>
      <c r="D38" s="6">
        <f>'[1]Comparison 2017-2018'!$G$80</f>
        <v>674363.71418699983</v>
      </c>
      <c r="E38" s="6">
        <f>'[1]Comparison 2017-2018'!$G$105</f>
        <v>655611.34502510389</v>
      </c>
      <c r="F38" s="6">
        <v>538671.68000000005</v>
      </c>
      <c r="G38" s="6">
        <f>'[1]Comparison 2017-2018'!$G$155</f>
        <v>704133.82690028625</v>
      </c>
      <c r="H38" s="6">
        <f>'[1]Comparison 2017-2018'!$G$181</f>
        <v>515101.24188355304</v>
      </c>
      <c r="I38" s="6">
        <f>'[1]Comparison 2017-2018'!$G$207</f>
        <v>680756.08379218809</v>
      </c>
      <c r="J38" s="6">
        <f>'[1]Comparison 2017-2018'!$G$232</f>
        <v>640882.53297928849</v>
      </c>
      <c r="K38" s="6">
        <v>709222.42836744164</v>
      </c>
      <c r="L38" s="6"/>
      <c r="M38" s="6"/>
      <c r="N38" s="58">
        <f>SUM(B38:M38)</f>
        <v>6686599.6612369064</v>
      </c>
      <c r="P38" s="1">
        <f t="shared" si="3"/>
        <v>607872.69647608243</v>
      </c>
      <c r="Q38" s="1">
        <f t="shared" si="4"/>
        <v>-607872.69647608243</v>
      </c>
    </row>
    <row r="39" spans="1:17" s="17" customFormat="1" x14ac:dyDescent="0.25">
      <c r="A39" s="114" t="s">
        <v>31</v>
      </c>
      <c r="B39" s="6">
        <f>11347.91+1307.73</f>
        <v>12655.64</v>
      </c>
      <c r="C39" s="6">
        <f>2264.54+222.6</f>
        <v>2487.14</v>
      </c>
      <c r="D39" s="6">
        <f>3529.42+2652.3</f>
        <v>6181.72</v>
      </c>
      <c r="E39" s="6">
        <f>1899.66+1105.7</f>
        <v>3005.36</v>
      </c>
      <c r="F39" s="6">
        <v>3451.23</v>
      </c>
      <c r="G39" s="6">
        <f>1519.77+2478.24</f>
        <v>3998.0099999999998</v>
      </c>
      <c r="H39" s="6">
        <f>1220.82+2101.18</f>
        <v>3322</v>
      </c>
      <c r="I39" s="6">
        <f>2140.74+387.79</f>
        <v>2528.5299999999997</v>
      </c>
      <c r="J39" s="6">
        <f>1753.58+1855.92</f>
        <v>3609.5</v>
      </c>
      <c r="K39" s="6">
        <v>3887.99</v>
      </c>
      <c r="L39" s="6"/>
      <c r="M39" s="6"/>
      <c r="N39" s="58">
        <f t="shared" ref="N39:N46" si="52">SUM(B39:M39)</f>
        <v>45127.119999999995</v>
      </c>
      <c r="P39" s="1">
        <f t="shared" si="3"/>
        <v>4102.4654545454541</v>
      </c>
      <c r="Q39" s="1">
        <f t="shared" si="4"/>
        <v>-4102.4654545454541</v>
      </c>
    </row>
    <row r="40" spans="1:17" s="17" customFormat="1" x14ac:dyDescent="0.25">
      <c r="A40" s="114" t="s">
        <v>32</v>
      </c>
      <c r="B40" s="6">
        <f>'[2]Monthly Summary'!$B$6</f>
        <v>51934.229999999996</v>
      </c>
      <c r="C40" s="6">
        <f>[3]Feb!$B$35</f>
        <v>36189.82</v>
      </c>
      <c r="D40" s="6">
        <f>[2]Mar!$B$35</f>
        <v>90332.26999999999</v>
      </c>
      <c r="E40" s="13">
        <f>[2]Apr!$B$35</f>
        <v>42087.81</v>
      </c>
      <c r="F40" s="13">
        <v>36064.49</v>
      </c>
      <c r="G40" s="13">
        <f>[2]Jun!$B$35</f>
        <v>6099.46</v>
      </c>
      <c r="H40" s="13">
        <f>[2]Jul!$B$35</f>
        <v>91429.33</v>
      </c>
      <c r="I40" s="13">
        <f>[2]Aug!$B$35</f>
        <v>25335.02</v>
      </c>
      <c r="J40" s="19">
        <f>'[2]Sept '!$B$35</f>
        <v>17267.59</v>
      </c>
      <c r="K40" s="18">
        <v>34023.760000000002</v>
      </c>
      <c r="L40" s="18"/>
      <c r="M40" s="19"/>
      <c r="N40" s="58">
        <f t="shared" si="52"/>
        <v>430763.78</v>
      </c>
      <c r="P40" s="1">
        <f t="shared" si="3"/>
        <v>39160.343636363636</v>
      </c>
      <c r="Q40" s="1">
        <f t="shared" si="4"/>
        <v>-39160.343636363636</v>
      </c>
    </row>
    <row r="41" spans="1:17" s="159" customFormat="1" x14ac:dyDescent="0.25">
      <c r="A41" s="159" t="s">
        <v>33</v>
      </c>
      <c r="B41" s="58">
        <f>-11152-36907.01</f>
        <v>-48059.01</v>
      </c>
      <c r="C41" s="6">
        <f>-4530.13-104404.39</f>
        <v>-108934.52</v>
      </c>
      <c r="D41" s="6">
        <v>-27223.4</v>
      </c>
      <c r="E41" s="157">
        <v>-45776.83</v>
      </c>
      <c r="F41" s="6">
        <v>-39077.56</v>
      </c>
      <c r="G41" s="12">
        <f>-13634.37-199763.99</f>
        <v>-213398.36</v>
      </c>
      <c r="H41" s="12">
        <v>-22650.5</v>
      </c>
      <c r="I41" s="6">
        <f>-18941-67230.98</f>
        <v>-86171.98</v>
      </c>
      <c r="J41" s="6">
        <f>-30571.4-9919.88</f>
        <v>-40491.279999999999</v>
      </c>
      <c r="K41" s="19">
        <v>-186820.5</v>
      </c>
      <c r="L41" s="19"/>
      <c r="M41" s="19"/>
      <c r="N41" s="58">
        <f t="shared" si="52"/>
        <v>-818603.94000000006</v>
      </c>
      <c r="O41" s="158"/>
      <c r="P41" s="58">
        <f t="shared" si="3"/>
        <v>-74418.540000000008</v>
      </c>
      <c r="Q41" s="58">
        <f t="shared" si="4"/>
        <v>74418.540000000008</v>
      </c>
    </row>
    <row r="42" spans="1:17" s="159" customFormat="1" x14ac:dyDescent="0.25">
      <c r="A42" s="17" t="s">
        <v>459</v>
      </c>
      <c r="B42" s="58">
        <v>0</v>
      </c>
      <c r="C42" s="6">
        <v>0</v>
      </c>
      <c r="D42" s="6">
        <v>0</v>
      </c>
      <c r="E42" s="157">
        <v>49617</v>
      </c>
      <c r="F42" s="6">
        <v>41682</v>
      </c>
      <c r="G42" s="12">
        <v>28751</v>
      </c>
      <c r="H42" s="12">
        <v>15774</v>
      </c>
      <c r="I42" s="6">
        <v>2612</v>
      </c>
      <c r="J42" s="6">
        <v>16737</v>
      </c>
      <c r="K42" s="19">
        <v>12095</v>
      </c>
      <c r="L42" s="19"/>
      <c r="M42" s="19"/>
      <c r="N42" s="58">
        <f t="shared" si="52"/>
        <v>167268</v>
      </c>
      <c r="O42" s="158"/>
      <c r="P42" s="58">
        <f t="shared" si="3"/>
        <v>15206.181818181818</v>
      </c>
      <c r="Q42" s="58">
        <f t="shared" si="4"/>
        <v>-15206.181818181818</v>
      </c>
    </row>
    <row r="43" spans="1:17" s="17" customFormat="1" x14ac:dyDescent="0.25">
      <c r="A43" s="114" t="s">
        <v>34</v>
      </c>
      <c r="B43" s="1">
        <f>-51657.33-70861</f>
        <v>-122518.33</v>
      </c>
      <c r="C43" s="6">
        <f>8840+42577</f>
        <v>51417</v>
      </c>
      <c r="D43" s="6">
        <f>-5460+61057-530</f>
        <v>55067</v>
      </c>
      <c r="E43" s="12">
        <f>9250+15494+530</f>
        <v>25274</v>
      </c>
      <c r="F43" s="12">
        <v>-57663</v>
      </c>
      <c r="G43" s="12">
        <f>-3480+39926</f>
        <v>36446</v>
      </c>
      <c r="H43" s="12">
        <v>-25800</v>
      </c>
      <c r="I43" s="12">
        <v>36495</v>
      </c>
      <c r="J43" s="6">
        <f>1485-23515</f>
        <v>-22030</v>
      </c>
      <c r="K43" s="18">
        <v>73039</v>
      </c>
      <c r="L43" s="18"/>
      <c r="M43" s="21"/>
      <c r="N43" s="58">
        <f t="shared" si="52"/>
        <v>49726.67</v>
      </c>
      <c r="O43" s="20"/>
      <c r="P43" s="1">
        <f t="shared" si="3"/>
        <v>4520.6063636363633</v>
      </c>
      <c r="Q43" s="1">
        <f t="shared" si="4"/>
        <v>-4520.6063636363633</v>
      </c>
    </row>
    <row r="44" spans="1:17" s="17" customFormat="1" x14ac:dyDescent="0.25">
      <c r="A44" s="112" t="s">
        <v>35</v>
      </c>
      <c r="B44" s="1">
        <v>129582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/>
      <c r="K44" s="18"/>
      <c r="L44" s="18"/>
      <c r="M44" s="18"/>
      <c r="N44" s="58">
        <f t="shared" si="52"/>
        <v>129582</v>
      </c>
      <c r="P44" s="1">
        <f t="shared" si="3"/>
        <v>11780.181818181818</v>
      </c>
      <c r="Q44" s="1">
        <f t="shared" si="4"/>
        <v>-11780.181818181818</v>
      </c>
    </row>
    <row r="45" spans="1:17" s="17" customFormat="1" x14ac:dyDescent="0.25">
      <c r="A45" s="159"/>
      <c r="B45" s="58"/>
      <c r="C45" s="6"/>
      <c r="D45" s="6"/>
      <c r="E45" s="6"/>
      <c r="F45" s="6"/>
      <c r="G45" s="6"/>
      <c r="H45" s="6"/>
      <c r="I45" s="6"/>
      <c r="J45" s="6">
        <v>-37539</v>
      </c>
      <c r="K45" s="19"/>
      <c r="L45" s="19"/>
      <c r="M45" s="19"/>
      <c r="N45" s="58">
        <f t="shared" si="52"/>
        <v>-37539</v>
      </c>
      <c r="P45" s="58"/>
      <c r="Q45" s="58"/>
    </row>
    <row r="46" spans="1:17" s="17" customFormat="1" x14ac:dyDescent="0.25">
      <c r="A46" s="112" t="s">
        <v>36</v>
      </c>
      <c r="B46" s="1">
        <v>-35000</v>
      </c>
      <c r="C46" s="1">
        <f>-18000-17000</f>
        <v>-35000</v>
      </c>
      <c r="D46" s="1">
        <v>-35000</v>
      </c>
      <c r="E46" s="1">
        <v>-35000</v>
      </c>
      <c r="F46" s="1">
        <v>-35000</v>
      </c>
      <c r="G46" s="1">
        <v>-35000</v>
      </c>
      <c r="H46" s="58">
        <v>-35000</v>
      </c>
      <c r="I46" s="1">
        <v>-35000</v>
      </c>
      <c r="J46" s="58">
        <v>-35000</v>
      </c>
      <c r="K46" s="1">
        <v>-35000</v>
      </c>
      <c r="L46" s="1"/>
      <c r="M46" s="1"/>
      <c r="N46" s="58">
        <f t="shared" si="52"/>
        <v>-350000</v>
      </c>
      <c r="P46" s="1">
        <f t="shared" si="3"/>
        <v>-31818.18181818182</v>
      </c>
      <c r="Q46" s="1">
        <f t="shared" si="4"/>
        <v>31818.18181818182</v>
      </c>
    </row>
    <row r="47" spans="1:17" s="17" customFormat="1" x14ac:dyDescent="0.25">
      <c r="A47" s="114"/>
      <c r="B47" s="8">
        <f t="shared" ref="B47:M47" si="53">SUM(B38:B46)</f>
        <v>874523.04408513964</v>
      </c>
      <c r="C47" s="8">
        <f t="shared" si="53"/>
        <v>628087.73401690566</v>
      </c>
      <c r="D47" s="8">
        <f t="shared" si="53"/>
        <v>763721.3041869998</v>
      </c>
      <c r="E47" s="8">
        <f t="shared" si="53"/>
        <v>694818.68502510397</v>
      </c>
      <c r="F47" s="8">
        <f t="shared" si="53"/>
        <v>488128.84000000008</v>
      </c>
      <c r="G47" s="8">
        <f t="shared" si="53"/>
        <v>531029.93690028624</v>
      </c>
      <c r="H47" s="8">
        <f t="shared" si="53"/>
        <v>542176.07188355306</v>
      </c>
      <c r="I47" s="8">
        <f t="shared" si="53"/>
        <v>626554.65379218815</v>
      </c>
      <c r="J47" s="8">
        <f t="shared" si="53"/>
        <v>543436.34297928843</v>
      </c>
      <c r="K47" s="8">
        <f t="shared" si="53"/>
        <v>610447.67836744164</v>
      </c>
      <c r="L47" s="8">
        <f t="shared" si="53"/>
        <v>0</v>
      </c>
      <c r="M47" s="8">
        <f t="shared" si="53"/>
        <v>0</v>
      </c>
      <c r="N47" s="8">
        <f>SUM(N38:N46)</f>
        <v>6302924.2912369063</v>
      </c>
      <c r="P47" s="8">
        <f t="shared" si="3"/>
        <v>572993.11738517333</v>
      </c>
      <c r="Q47" s="8">
        <f t="shared" si="4"/>
        <v>-572993.11738517333</v>
      </c>
    </row>
    <row r="48" spans="1:17" ht="25.5" customHeight="1" thickBot="1" x14ac:dyDescent="0.3">
      <c r="A48" s="112" t="s">
        <v>37</v>
      </c>
      <c r="B48" s="22">
        <f t="shared" ref="B48:N48" si="54">+B35-B47</f>
        <v>-722.29408502043225</v>
      </c>
      <c r="C48" s="22">
        <f t="shared" si="54"/>
        <v>179047.73598288454</v>
      </c>
      <c r="D48" s="22">
        <f t="shared" si="54"/>
        <v>109403.45581293106</v>
      </c>
      <c r="E48" s="22">
        <f t="shared" si="54"/>
        <v>-110891.9850251457</v>
      </c>
      <c r="F48" s="22">
        <f t="shared" si="54"/>
        <v>-13756.999999996508</v>
      </c>
      <c r="G48" s="22">
        <f t="shared" si="54"/>
        <v>46763.123099656543</v>
      </c>
      <c r="H48" s="22">
        <f t="shared" si="54"/>
        <v>-115422.47188352922</v>
      </c>
      <c r="I48" s="22">
        <f t="shared" si="54"/>
        <v>88882.916207864298</v>
      </c>
      <c r="J48" s="22">
        <f t="shared" si="54"/>
        <v>-107520.97297922405</v>
      </c>
      <c r="K48" s="22">
        <f t="shared" si="54"/>
        <v>45162.191632682341</v>
      </c>
      <c r="L48" s="22">
        <f t="shared" si="54"/>
        <v>0</v>
      </c>
      <c r="M48" s="22">
        <f t="shared" si="54"/>
        <v>0</v>
      </c>
      <c r="N48" s="172">
        <f t="shared" si="54"/>
        <v>120944.69876429532</v>
      </c>
      <c r="P48" s="22">
        <f t="shared" si="3"/>
        <v>10994.972614935938</v>
      </c>
      <c r="Q48" s="22">
        <f t="shared" si="4"/>
        <v>-10994.972614935938</v>
      </c>
    </row>
    <row r="49" spans="1:17" ht="15.75" thickTop="1" x14ac:dyDescent="0.25">
      <c r="C49" s="1"/>
      <c r="D49" s="1"/>
      <c r="E49" s="1"/>
      <c r="F49" s="1"/>
      <c r="G49" s="1"/>
      <c r="H49" s="23"/>
      <c r="I49" s="23"/>
      <c r="J49" s="23"/>
      <c r="K49" s="23"/>
      <c r="L49" s="1"/>
      <c r="M49" s="1"/>
      <c r="P49" s="2">
        <f t="shared" si="3"/>
        <v>0</v>
      </c>
      <c r="Q49" s="2">
        <f t="shared" si="4"/>
        <v>0</v>
      </c>
    </row>
    <row r="50" spans="1:17" x14ac:dyDescent="0.25">
      <c r="C50" s="1"/>
      <c r="D50" s="1"/>
      <c r="E50" s="1"/>
      <c r="F50" s="1"/>
      <c r="G50" s="1"/>
      <c r="H50" s="58"/>
      <c r="I50" s="1"/>
      <c r="J50" s="1"/>
      <c r="K50" s="1"/>
      <c r="L50" s="1"/>
      <c r="M50" s="1"/>
      <c r="P50" s="2">
        <f t="shared" si="3"/>
        <v>0</v>
      </c>
      <c r="Q50" s="2">
        <f t="shared" si="4"/>
        <v>0</v>
      </c>
    </row>
    <row r="51" spans="1:17" x14ac:dyDescent="0.25">
      <c r="A51" s="115" t="s">
        <v>38</v>
      </c>
      <c r="C51" s="1"/>
      <c r="D51" s="1"/>
      <c r="E51" s="1"/>
      <c r="F51" s="1"/>
      <c r="G51" s="1"/>
      <c r="H51" s="58"/>
      <c r="I51" s="1"/>
      <c r="J51" s="1"/>
      <c r="K51" s="1"/>
      <c r="L51" s="1"/>
      <c r="M51" s="1"/>
      <c r="P51" s="2">
        <f t="shared" si="3"/>
        <v>0</v>
      </c>
      <c r="Q51" s="2">
        <f t="shared" si="4"/>
        <v>0</v>
      </c>
    </row>
    <row r="52" spans="1:17" x14ac:dyDescent="0.25">
      <c r="A52" s="112" t="s">
        <v>4</v>
      </c>
      <c r="C52" s="1"/>
      <c r="D52" s="1"/>
      <c r="E52" s="1"/>
      <c r="F52" s="1"/>
      <c r="G52" s="1"/>
      <c r="H52" s="58"/>
      <c r="I52" s="1"/>
      <c r="J52" s="1"/>
      <c r="K52" s="1"/>
      <c r="L52" s="1"/>
      <c r="M52" s="1"/>
      <c r="P52" s="2">
        <f t="shared" si="3"/>
        <v>0</v>
      </c>
      <c r="Q52" s="2">
        <f t="shared" si="4"/>
        <v>0</v>
      </c>
    </row>
    <row r="53" spans="1:17" x14ac:dyDescent="0.25">
      <c r="A53" s="112" t="s">
        <v>39</v>
      </c>
      <c r="B53" s="5">
        <f>B104</f>
        <v>0</v>
      </c>
      <c r="C53" s="5">
        <f>C104</f>
        <v>0</v>
      </c>
      <c r="D53" s="5">
        <f>D104</f>
        <v>0</v>
      </c>
      <c r="E53" s="1">
        <f t="shared" ref="E53:J53" si="55">E104</f>
        <v>0</v>
      </c>
      <c r="F53" s="1">
        <f t="shared" si="55"/>
        <v>0</v>
      </c>
      <c r="G53" s="1">
        <f t="shared" si="55"/>
        <v>0</v>
      </c>
      <c r="H53" s="58">
        <f t="shared" ref="H53" si="56">H104</f>
        <v>0</v>
      </c>
      <c r="I53" s="58">
        <f t="shared" si="55"/>
        <v>0</v>
      </c>
      <c r="J53" s="1">
        <f t="shared" si="55"/>
        <v>0</v>
      </c>
      <c r="K53" s="58">
        <f t="shared" ref="K53" si="57">K104</f>
        <v>0</v>
      </c>
      <c r="L53" s="1">
        <f>L104</f>
        <v>0</v>
      </c>
      <c r="M53" s="1">
        <f>M104</f>
        <v>0</v>
      </c>
      <c r="N53" s="58">
        <f>SUM(B53:M53)</f>
        <v>0</v>
      </c>
      <c r="P53" s="1">
        <f t="shared" si="3"/>
        <v>0</v>
      </c>
      <c r="Q53" s="1">
        <f t="shared" si="4"/>
        <v>0</v>
      </c>
    </row>
    <row r="54" spans="1:17" x14ac:dyDescent="0.25">
      <c r="A54" s="112" t="s">
        <v>40</v>
      </c>
      <c r="B54" s="5">
        <f>B110+B121</f>
        <v>44174.48</v>
      </c>
      <c r="C54" s="5">
        <f>C110+C121</f>
        <v>37026.959999999999</v>
      </c>
      <c r="D54" s="5">
        <f>D110+D121</f>
        <v>50952.97</v>
      </c>
      <c r="E54" s="5">
        <f>E110+E121</f>
        <v>17383</v>
      </c>
      <c r="F54" s="5">
        <f t="shared" ref="F54:M54" si="58">F110+F121</f>
        <v>6537.5</v>
      </c>
      <c r="G54" s="5">
        <f t="shared" si="58"/>
        <v>12690.5</v>
      </c>
      <c r="H54" s="5">
        <f t="shared" ref="H54" si="59">H110+H121</f>
        <v>14136.99</v>
      </c>
      <c r="I54" s="5">
        <f t="shared" si="58"/>
        <v>3546</v>
      </c>
      <c r="J54" s="5">
        <f t="shared" si="58"/>
        <v>6577.55</v>
      </c>
      <c r="K54" s="5">
        <f t="shared" ref="K54" si="60">K110+K121</f>
        <v>18560.79</v>
      </c>
      <c r="L54" s="5">
        <f t="shared" si="58"/>
        <v>0</v>
      </c>
      <c r="M54" s="5">
        <f t="shared" si="58"/>
        <v>0</v>
      </c>
      <c r="N54" s="58">
        <f t="shared" ref="N54:N56" si="61">SUM(B54:M54)</f>
        <v>211586.74</v>
      </c>
      <c r="P54" s="1">
        <f t="shared" si="3"/>
        <v>19235.15818181818</v>
      </c>
      <c r="Q54" s="1">
        <f t="shared" si="4"/>
        <v>-19235.15818181818</v>
      </c>
    </row>
    <row r="55" spans="1:17" x14ac:dyDescent="0.25">
      <c r="A55" s="112" t="s">
        <v>41</v>
      </c>
      <c r="B55" s="1">
        <f>B109+B120</f>
        <v>0</v>
      </c>
      <c r="C55" s="1">
        <f>C109+C120</f>
        <v>0</v>
      </c>
      <c r="D55" s="1">
        <f>D109+D120</f>
        <v>0</v>
      </c>
      <c r="E55" s="1">
        <f>E109+E120</f>
        <v>0</v>
      </c>
      <c r="F55" s="1">
        <f t="shared" ref="F55:M55" si="62">F109+F120</f>
        <v>100</v>
      </c>
      <c r="G55" s="1">
        <f t="shared" si="62"/>
        <v>0</v>
      </c>
      <c r="H55" s="58">
        <f t="shared" ref="H55" si="63">H109+H120</f>
        <v>100</v>
      </c>
      <c r="I55" s="58">
        <f t="shared" si="62"/>
        <v>275</v>
      </c>
      <c r="J55" s="1">
        <f t="shared" si="62"/>
        <v>780</v>
      </c>
      <c r="K55" s="58">
        <f t="shared" ref="K55" si="64">K109+K120</f>
        <v>145</v>
      </c>
      <c r="L55" s="1">
        <f t="shared" si="62"/>
        <v>0</v>
      </c>
      <c r="M55" s="1">
        <f t="shared" si="62"/>
        <v>0</v>
      </c>
      <c r="N55" s="58">
        <f t="shared" si="61"/>
        <v>1400</v>
      </c>
      <c r="P55" s="1">
        <f t="shared" si="3"/>
        <v>127.27272727272727</v>
      </c>
      <c r="Q55" s="1">
        <f t="shared" si="4"/>
        <v>-127.27272727272727</v>
      </c>
    </row>
    <row r="56" spans="1:17" x14ac:dyDescent="0.25">
      <c r="A56" s="112" t="s">
        <v>42</v>
      </c>
      <c r="B56" s="5">
        <f>B111+B113+B114+B115</f>
        <v>44096.53</v>
      </c>
      <c r="C56" s="5">
        <f>C111+C113+C114+C115</f>
        <v>78044.399999999994</v>
      </c>
      <c r="D56" s="5">
        <f>D111+D113+D114+D115</f>
        <v>64584.18</v>
      </c>
      <c r="E56" s="5">
        <f>E111+E113+E114+E115</f>
        <v>30224.629999999997</v>
      </c>
      <c r="F56" s="5">
        <f t="shared" ref="F56:M56" si="65">F111+F113+F114+F115</f>
        <v>73319.850000000006</v>
      </c>
      <c r="G56" s="5">
        <f t="shared" si="65"/>
        <v>39472.699999999997</v>
      </c>
      <c r="H56" s="5">
        <f t="shared" ref="H56" si="66">H111+H113+H114+H115</f>
        <v>105316.34</v>
      </c>
      <c r="I56" s="5">
        <f t="shared" si="65"/>
        <v>42109.01</v>
      </c>
      <c r="J56" s="5">
        <f t="shared" si="65"/>
        <v>80331.100000000006</v>
      </c>
      <c r="K56" s="5">
        <f t="shared" ref="K56" si="67">K111+K113+K114+K115</f>
        <v>48035.92</v>
      </c>
      <c r="L56" s="5">
        <f t="shared" si="65"/>
        <v>0</v>
      </c>
      <c r="M56" s="5">
        <f t="shared" si="65"/>
        <v>0</v>
      </c>
      <c r="N56" s="58">
        <f t="shared" si="61"/>
        <v>605534.66</v>
      </c>
      <c r="P56" s="1">
        <f t="shared" si="3"/>
        <v>55048.605454545461</v>
      </c>
      <c r="Q56" s="1">
        <f t="shared" si="4"/>
        <v>-55048.605454545461</v>
      </c>
    </row>
    <row r="57" spans="1:17" x14ac:dyDescent="0.25">
      <c r="A57" s="112" t="s">
        <v>43</v>
      </c>
      <c r="B57" s="24">
        <f>SUM(B53:B56)</f>
        <v>88271.010000000009</v>
      </c>
      <c r="C57" s="24">
        <f t="shared" ref="C57:M57" si="68">SUM(C53:C56)</f>
        <v>115071.35999999999</v>
      </c>
      <c r="D57" s="24">
        <f t="shared" si="68"/>
        <v>115537.15</v>
      </c>
      <c r="E57" s="24">
        <f t="shared" si="68"/>
        <v>47607.63</v>
      </c>
      <c r="F57" s="24">
        <f t="shared" si="68"/>
        <v>79957.350000000006</v>
      </c>
      <c r="G57" s="24">
        <f t="shared" si="68"/>
        <v>52163.199999999997</v>
      </c>
      <c r="H57" s="24">
        <f t="shared" ref="H57" si="69">SUM(H53:H56)</f>
        <v>119553.33</v>
      </c>
      <c r="I57" s="24">
        <f t="shared" si="68"/>
        <v>45930.01</v>
      </c>
      <c r="J57" s="24">
        <f t="shared" si="68"/>
        <v>87688.650000000009</v>
      </c>
      <c r="K57" s="24">
        <f t="shared" si="68"/>
        <v>66741.709999999992</v>
      </c>
      <c r="L57" s="24">
        <f t="shared" si="68"/>
        <v>0</v>
      </c>
      <c r="M57" s="24">
        <f t="shared" si="68"/>
        <v>0</v>
      </c>
      <c r="N57" s="24">
        <f>SUM(N53:N56)</f>
        <v>818521.4</v>
      </c>
      <c r="P57" s="24">
        <f t="shared" si="3"/>
        <v>74411.036363636362</v>
      </c>
      <c r="Q57" s="24">
        <f t="shared" si="4"/>
        <v>-74411.036363636362</v>
      </c>
    </row>
    <row r="58" spans="1:17" x14ac:dyDescent="0.25">
      <c r="A58" s="112" t="s">
        <v>44</v>
      </c>
      <c r="C58" s="1"/>
      <c r="D58" s="1"/>
      <c r="E58" s="1"/>
      <c r="F58" s="1"/>
      <c r="G58" s="1"/>
      <c r="H58" s="58"/>
      <c r="I58" s="1"/>
      <c r="J58" s="1"/>
      <c r="K58" s="1"/>
      <c r="L58" s="1"/>
      <c r="M58" s="1"/>
      <c r="N58" s="11"/>
      <c r="P58" s="11">
        <f t="shared" si="3"/>
        <v>0</v>
      </c>
      <c r="Q58" s="11">
        <f t="shared" si="4"/>
        <v>0</v>
      </c>
    </row>
    <row r="59" spans="1:17" x14ac:dyDescent="0.25">
      <c r="A59" s="112" t="s">
        <v>39</v>
      </c>
      <c r="B59" s="5">
        <f>B130</f>
        <v>0</v>
      </c>
      <c r="C59" s="5">
        <f>C130</f>
        <v>0</v>
      </c>
      <c r="D59" s="5">
        <f>D130</f>
        <v>0</v>
      </c>
      <c r="E59" s="5">
        <f t="shared" ref="E59:J59" si="70">E130</f>
        <v>0</v>
      </c>
      <c r="F59" s="5">
        <f>F130</f>
        <v>0</v>
      </c>
      <c r="G59" s="1">
        <f t="shared" si="70"/>
        <v>0</v>
      </c>
      <c r="H59" s="58">
        <f t="shared" ref="H59" si="71">H130</f>
        <v>0</v>
      </c>
      <c r="I59" s="58">
        <f t="shared" si="70"/>
        <v>0</v>
      </c>
      <c r="J59" s="1">
        <f t="shared" si="70"/>
        <v>0</v>
      </c>
      <c r="K59" s="58">
        <f t="shared" ref="K59" si="72">K130</f>
        <v>0</v>
      </c>
      <c r="L59" s="1">
        <f>L130</f>
        <v>0</v>
      </c>
      <c r="M59" s="1">
        <f>M130</f>
        <v>0</v>
      </c>
      <c r="N59" s="58">
        <f>SUM(B59:M59)</f>
        <v>0</v>
      </c>
      <c r="P59" s="1">
        <f t="shared" si="3"/>
        <v>0</v>
      </c>
      <c r="Q59" s="1">
        <f t="shared" si="4"/>
        <v>0</v>
      </c>
    </row>
    <row r="60" spans="1:17" x14ac:dyDescent="0.25">
      <c r="A60" s="112" t="s">
        <v>45</v>
      </c>
      <c r="B60" s="5">
        <f>B141+B146+B147+B185+B173+B176+B184</f>
        <v>57082.080000000009</v>
      </c>
      <c r="C60" s="5">
        <f>C141+C146+C147+C185+C173+C176+C184</f>
        <v>43072.58</v>
      </c>
      <c r="D60" s="5">
        <f>D141+D146+D147+D185+D173+D176+D184</f>
        <v>59675.47</v>
      </c>
      <c r="E60" s="5">
        <f>E141+E146+E147+E185+E173+E176+E184</f>
        <v>4134.2700000000004</v>
      </c>
      <c r="F60" s="5">
        <f>F141+F146+F147+F185+F173+F176+F184</f>
        <v>5289.5499999999993</v>
      </c>
      <c r="G60" s="1">
        <f t="shared" ref="G60:M60" si="73">G141+G173+G146+G147+G140+G184+G185+G176</f>
        <v>13894.16</v>
      </c>
      <c r="H60" s="58">
        <f t="shared" ref="H60" si="74">H141+H173+H146+H147+H140+H184+H185+H176</f>
        <v>20530.47</v>
      </c>
      <c r="I60" s="58">
        <f t="shared" si="73"/>
        <v>5400.13</v>
      </c>
      <c r="J60" s="1">
        <f>J141+J173+J146+J147+J185+J176</f>
        <v>10087.08</v>
      </c>
      <c r="K60" s="58">
        <f>K141+K173+K146+K147+K185+K176</f>
        <v>20598.52</v>
      </c>
      <c r="L60" s="1">
        <f t="shared" si="73"/>
        <v>0</v>
      </c>
      <c r="M60" s="1">
        <f t="shared" si="73"/>
        <v>0</v>
      </c>
      <c r="N60" s="58">
        <f t="shared" ref="N60:N66" si="75">SUM(B60:M60)</f>
        <v>239764.30999999997</v>
      </c>
      <c r="P60" s="1">
        <f t="shared" si="3"/>
        <v>21796.755454545451</v>
      </c>
      <c r="Q60" s="1">
        <f t="shared" si="4"/>
        <v>-21796.755454545451</v>
      </c>
    </row>
    <row r="61" spans="1:17" x14ac:dyDescent="0.25">
      <c r="A61" s="112" t="s">
        <v>46</v>
      </c>
      <c r="B61" s="5">
        <f>B143+B145</f>
        <v>162526.82</v>
      </c>
      <c r="C61" s="5">
        <f>C143+C145</f>
        <v>186551.2</v>
      </c>
      <c r="D61" s="5">
        <f>D143+D145+D144</f>
        <v>121471.26</v>
      </c>
      <c r="E61" s="5">
        <f t="shared" ref="E61:J61" si="76">E143+E145</f>
        <v>104538.95</v>
      </c>
      <c r="F61" s="5">
        <f>F143+F145+F144</f>
        <v>112337.33</v>
      </c>
      <c r="G61" s="1">
        <f t="shared" si="76"/>
        <v>58522.59</v>
      </c>
      <c r="H61" s="58">
        <f t="shared" ref="H61" si="77">H143+H145</f>
        <v>142640.88</v>
      </c>
      <c r="I61" s="58">
        <f t="shared" si="76"/>
        <v>302010.69</v>
      </c>
      <c r="J61" s="1">
        <f t="shared" si="76"/>
        <v>148375.73000000001</v>
      </c>
      <c r="K61" s="58">
        <f t="shared" ref="K61" si="78">K143+K145</f>
        <v>124519.01</v>
      </c>
      <c r="L61" s="1">
        <f>L143+L145</f>
        <v>0</v>
      </c>
      <c r="M61" s="1">
        <f>M143+M145+M144</f>
        <v>0</v>
      </c>
      <c r="N61" s="58">
        <f t="shared" si="75"/>
        <v>1463494.46</v>
      </c>
      <c r="P61" s="1">
        <f t="shared" si="3"/>
        <v>133044.9509090909</v>
      </c>
      <c r="Q61" s="1">
        <f t="shared" si="4"/>
        <v>-133044.9509090909</v>
      </c>
    </row>
    <row r="62" spans="1:17" x14ac:dyDescent="0.25">
      <c r="A62" s="112" t="s">
        <v>47</v>
      </c>
      <c r="B62" s="5">
        <f t="shared" ref="B62:M62" si="79">B175</f>
        <v>5000</v>
      </c>
      <c r="C62" s="5">
        <f t="shared" si="79"/>
        <v>16772.5</v>
      </c>
      <c r="D62" s="5">
        <f t="shared" si="79"/>
        <v>-6772.5</v>
      </c>
      <c r="E62" s="5">
        <f t="shared" si="79"/>
        <v>5000</v>
      </c>
      <c r="F62" s="5">
        <f t="shared" si="79"/>
        <v>5000</v>
      </c>
      <c r="G62" s="1">
        <f t="shared" si="79"/>
        <v>5000</v>
      </c>
      <c r="H62" s="58">
        <f t="shared" ref="H62" si="80">H175</f>
        <v>5000</v>
      </c>
      <c r="I62" s="58">
        <f t="shared" si="79"/>
        <v>5000</v>
      </c>
      <c r="J62" s="1">
        <f t="shared" si="79"/>
        <v>5000</v>
      </c>
      <c r="K62" s="58">
        <f t="shared" ref="K62" si="81">K175</f>
        <v>5000</v>
      </c>
      <c r="L62" s="1">
        <f t="shared" si="79"/>
        <v>0</v>
      </c>
      <c r="M62" s="1">
        <f t="shared" si="79"/>
        <v>0</v>
      </c>
      <c r="N62" s="58">
        <f t="shared" si="75"/>
        <v>50000</v>
      </c>
      <c r="P62" s="1">
        <f t="shared" si="3"/>
        <v>4545.454545454545</v>
      </c>
      <c r="Q62" s="1">
        <f t="shared" si="4"/>
        <v>-4545.454545454545</v>
      </c>
    </row>
    <row r="63" spans="1:17" x14ac:dyDescent="0.25">
      <c r="A63" s="112" t="s">
        <v>48</v>
      </c>
      <c r="B63" s="5">
        <f>B182+B186+B187+B181+B183</f>
        <v>15314.77</v>
      </c>
      <c r="C63" s="5">
        <f>C182+C186+C187+C181+C183</f>
        <v>24623.15</v>
      </c>
      <c r="D63" s="5">
        <f t="shared" ref="D63:M63" si="82">D182+D186+D187+D181+D183</f>
        <v>20393.25</v>
      </c>
      <c r="E63" s="5">
        <f t="shared" si="82"/>
        <v>17847.68</v>
      </c>
      <c r="F63" s="5">
        <f t="shared" si="82"/>
        <v>17603.449999999997</v>
      </c>
      <c r="G63" s="5">
        <f t="shared" si="82"/>
        <v>14073.55</v>
      </c>
      <c r="H63" s="5">
        <f t="shared" ref="H63" si="83">H182+H186+H187+H181+H183</f>
        <v>12245.060000000001</v>
      </c>
      <c r="I63" s="5">
        <f t="shared" si="82"/>
        <v>18464.39</v>
      </c>
      <c r="J63" s="5">
        <f t="shared" si="82"/>
        <v>6687.04</v>
      </c>
      <c r="K63" s="5">
        <f t="shared" ref="K63" si="84">K182+K186+K187+K181+K183</f>
        <v>29655.07</v>
      </c>
      <c r="L63" s="5">
        <f t="shared" si="82"/>
        <v>0</v>
      </c>
      <c r="M63" s="5">
        <f t="shared" si="82"/>
        <v>0</v>
      </c>
      <c r="N63" s="58">
        <f t="shared" si="75"/>
        <v>176907.41</v>
      </c>
      <c r="P63" s="1">
        <f t="shared" si="3"/>
        <v>16082.491818181819</v>
      </c>
      <c r="Q63" s="1">
        <f t="shared" si="4"/>
        <v>-16082.491818181819</v>
      </c>
    </row>
    <row r="64" spans="1:17" x14ac:dyDescent="0.25">
      <c r="A64" s="112" t="s">
        <v>49</v>
      </c>
      <c r="B64" s="5">
        <f>B179</f>
        <v>28233.33</v>
      </c>
      <c r="C64" s="5">
        <f>C179</f>
        <v>28233.33</v>
      </c>
      <c r="D64" s="5">
        <f>D179</f>
        <v>28595.83</v>
      </c>
      <c r="E64" s="5">
        <f t="shared" ref="E64:J64" si="85">E179</f>
        <v>28233.33</v>
      </c>
      <c r="F64" s="5">
        <f>F179</f>
        <v>28233.33</v>
      </c>
      <c r="G64" s="1">
        <f t="shared" si="85"/>
        <v>7627.91</v>
      </c>
      <c r="H64" s="58">
        <f t="shared" ref="H64" si="86">H179</f>
        <v>28233.33</v>
      </c>
      <c r="I64" s="58">
        <f t="shared" si="85"/>
        <v>28233.33</v>
      </c>
      <c r="J64" s="1">
        <f t="shared" si="85"/>
        <v>28233.33</v>
      </c>
      <c r="K64" s="58">
        <f t="shared" ref="K64" si="87">K179</f>
        <v>28233.33</v>
      </c>
      <c r="L64" s="1">
        <f>L179</f>
        <v>0</v>
      </c>
      <c r="M64" s="1">
        <f>M179</f>
        <v>0</v>
      </c>
      <c r="N64" s="58">
        <f t="shared" si="75"/>
        <v>262090.38000000006</v>
      </c>
      <c r="P64" s="1">
        <f t="shared" si="3"/>
        <v>23826.398181818189</v>
      </c>
      <c r="Q64" s="1">
        <f t="shared" si="4"/>
        <v>-23826.398181818189</v>
      </c>
    </row>
    <row r="65" spans="1:17" x14ac:dyDescent="0.25">
      <c r="A65" s="112" t="s">
        <v>50</v>
      </c>
      <c r="B65" s="1">
        <v>0</v>
      </c>
      <c r="C65" s="1">
        <v>0</v>
      </c>
      <c r="D65" s="1">
        <v>0</v>
      </c>
      <c r="E65" s="5">
        <v>0</v>
      </c>
      <c r="F65" s="5">
        <v>0</v>
      </c>
      <c r="G65" s="1">
        <v>0</v>
      </c>
      <c r="H65" s="58">
        <v>0</v>
      </c>
      <c r="I65" s="58">
        <v>0</v>
      </c>
      <c r="J65" s="1"/>
      <c r="K65" s="58"/>
      <c r="L65" s="1"/>
      <c r="M65" s="1"/>
      <c r="N65" s="58">
        <f t="shared" si="75"/>
        <v>0</v>
      </c>
      <c r="P65" s="1">
        <f t="shared" si="3"/>
        <v>0</v>
      </c>
      <c r="Q65" s="1">
        <f t="shared" si="4"/>
        <v>0</v>
      </c>
    </row>
    <row r="66" spans="1:17" x14ac:dyDescent="0.25">
      <c r="A66" s="112" t="s">
        <v>51</v>
      </c>
      <c r="B66" s="13">
        <f>B180</f>
        <v>0</v>
      </c>
      <c r="C66" s="13">
        <f>C180</f>
        <v>878</v>
      </c>
      <c r="D66" s="25">
        <f>D180</f>
        <v>0</v>
      </c>
      <c r="E66" s="1">
        <f t="shared" ref="E66:J66" si="88">E180</f>
        <v>0</v>
      </c>
      <c r="F66" s="1">
        <f>F180</f>
        <v>620</v>
      </c>
      <c r="G66" s="1">
        <f t="shared" si="88"/>
        <v>0</v>
      </c>
      <c r="H66" s="58">
        <f t="shared" ref="H66" si="89">H180</f>
        <v>12</v>
      </c>
      <c r="I66" s="58">
        <f t="shared" si="88"/>
        <v>0</v>
      </c>
      <c r="J66" s="1">
        <f t="shared" si="88"/>
        <v>0</v>
      </c>
      <c r="K66" s="58">
        <f t="shared" ref="K66" si="90">K180</f>
        <v>0</v>
      </c>
      <c r="L66" s="1">
        <f>L180</f>
        <v>0</v>
      </c>
      <c r="M66" s="1">
        <f>M180</f>
        <v>0</v>
      </c>
      <c r="N66" s="58">
        <f t="shared" si="75"/>
        <v>1510</v>
      </c>
      <c r="P66" s="1">
        <f t="shared" si="3"/>
        <v>137.27272727272728</v>
      </c>
      <c r="Q66" s="1">
        <f t="shared" si="4"/>
        <v>-137.27272727272728</v>
      </c>
    </row>
    <row r="67" spans="1:17" x14ac:dyDescent="0.25">
      <c r="A67" s="112" t="s">
        <v>52</v>
      </c>
      <c r="B67" s="26">
        <f>SUM(B59:B66)</f>
        <v>268157</v>
      </c>
      <c r="C67" s="26">
        <f t="shared" ref="C67:M67" si="91">SUM(C59:C66)</f>
        <v>300130.76000000007</v>
      </c>
      <c r="D67" s="13">
        <f t="shared" si="91"/>
        <v>223363.31</v>
      </c>
      <c r="E67" s="26">
        <f t="shared" si="91"/>
        <v>159754.22999999998</v>
      </c>
      <c r="F67" s="26">
        <f t="shared" si="91"/>
        <v>169083.66000000003</v>
      </c>
      <c r="G67" s="26">
        <f t="shared" si="91"/>
        <v>99118.21</v>
      </c>
      <c r="H67" s="26">
        <f t="shared" ref="H67" si="92">SUM(H59:H66)</f>
        <v>208661.74</v>
      </c>
      <c r="I67" s="26">
        <f t="shared" si="91"/>
        <v>359108.54000000004</v>
      </c>
      <c r="J67" s="26">
        <f t="shared" si="91"/>
        <v>198383.18</v>
      </c>
      <c r="K67" s="26">
        <f t="shared" si="91"/>
        <v>208005.93</v>
      </c>
      <c r="L67" s="26">
        <f t="shared" si="91"/>
        <v>0</v>
      </c>
      <c r="M67" s="26">
        <f t="shared" si="91"/>
        <v>0</v>
      </c>
      <c r="N67" s="26">
        <f>SUM(N59:N66)</f>
        <v>2193766.56</v>
      </c>
      <c r="P67" s="26">
        <f t="shared" si="3"/>
        <v>199433.32363636364</v>
      </c>
      <c r="Q67" s="26">
        <f t="shared" si="4"/>
        <v>-199433.32363636364</v>
      </c>
    </row>
    <row r="68" spans="1:17" x14ac:dyDescent="0.25">
      <c r="A68" s="112" t="s">
        <v>53</v>
      </c>
      <c r="B68" s="27">
        <f>+B57-B67</f>
        <v>-179885.99</v>
      </c>
      <c r="C68" s="27">
        <f t="shared" ref="C68:N68" si="93">+C57-C67</f>
        <v>-185059.40000000008</v>
      </c>
      <c r="D68" s="27">
        <f t="shared" si="93"/>
        <v>-107826.16</v>
      </c>
      <c r="E68" s="27">
        <f t="shared" si="93"/>
        <v>-112146.59999999998</v>
      </c>
      <c r="F68" s="27">
        <f t="shared" si="93"/>
        <v>-89126.310000000027</v>
      </c>
      <c r="G68" s="27">
        <f t="shared" si="93"/>
        <v>-46955.010000000009</v>
      </c>
      <c r="H68" s="27">
        <f t="shared" ref="H68" si="94">+H57-H67</f>
        <v>-89108.409999999989</v>
      </c>
      <c r="I68" s="27">
        <f t="shared" si="93"/>
        <v>-313178.53000000003</v>
      </c>
      <c r="J68" s="27">
        <f t="shared" si="93"/>
        <v>-110694.52999999998</v>
      </c>
      <c r="K68" s="27">
        <f t="shared" si="93"/>
        <v>-141264.22</v>
      </c>
      <c r="L68" s="27">
        <f t="shared" si="93"/>
        <v>0</v>
      </c>
      <c r="M68" s="27">
        <f t="shared" si="93"/>
        <v>0</v>
      </c>
      <c r="N68" s="27">
        <f t="shared" si="93"/>
        <v>-1375245.1600000001</v>
      </c>
      <c r="P68" s="27">
        <f t="shared" si="3"/>
        <v>-125022.28727272729</v>
      </c>
      <c r="Q68" s="27">
        <f t="shared" si="4"/>
        <v>125022.28727272729</v>
      </c>
    </row>
    <row r="69" spans="1:17" x14ac:dyDescent="0.25">
      <c r="C69" s="1"/>
      <c r="D69" s="1"/>
      <c r="E69" s="1"/>
      <c r="F69" s="1"/>
      <c r="G69" s="1"/>
      <c r="H69" s="58"/>
      <c r="I69" s="1"/>
      <c r="J69" s="1"/>
      <c r="K69" s="1"/>
      <c r="L69" s="1"/>
      <c r="M69" s="1"/>
      <c r="N69" s="11"/>
      <c r="P69" s="11">
        <f t="shared" si="3"/>
        <v>0</v>
      </c>
      <c r="Q69" s="11">
        <f t="shared" si="4"/>
        <v>0</v>
      </c>
    </row>
    <row r="70" spans="1:17" x14ac:dyDescent="0.25">
      <c r="A70" s="112" t="s">
        <v>54</v>
      </c>
      <c r="B70" s="5">
        <f t="shared" ref="B70:G70" si="95">B210</f>
        <v>405193.11</v>
      </c>
      <c r="C70" s="5">
        <f t="shared" si="95"/>
        <v>341937.99000000005</v>
      </c>
      <c r="D70" s="5">
        <f t="shared" si="95"/>
        <v>343625.55</v>
      </c>
      <c r="E70" s="5">
        <f t="shared" si="95"/>
        <v>353871.56</v>
      </c>
      <c r="F70" s="5">
        <f t="shared" si="95"/>
        <v>420339.36000000004</v>
      </c>
      <c r="G70" s="1">
        <f t="shared" si="95"/>
        <v>403802.07</v>
      </c>
      <c r="H70" s="58">
        <f t="shared" ref="H70:I70" si="96">H210</f>
        <v>404965.73</v>
      </c>
      <c r="I70" s="58">
        <f t="shared" si="96"/>
        <v>398996.33</v>
      </c>
      <c r="J70" s="1">
        <f>J210</f>
        <v>-774085.3</v>
      </c>
      <c r="K70" s="58">
        <f>K210</f>
        <v>288817.17</v>
      </c>
      <c r="L70" s="1">
        <f>L210</f>
        <v>0</v>
      </c>
      <c r="M70" s="1">
        <f>M210</f>
        <v>0</v>
      </c>
      <c r="N70" s="58">
        <f>SUM(B70:M70)</f>
        <v>2587463.5700000003</v>
      </c>
      <c r="P70" s="1">
        <f t="shared" si="3"/>
        <v>235223.96090909094</v>
      </c>
      <c r="Q70" s="1">
        <f t="shared" si="4"/>
        <v>-235223.96090909094</v>
      </c>
    </row>
    <row r="71" spans="1:17" x14ac:dyDescent="0.25">
      <c r="A71" s="112" t="s">
        <v>55</v>
      </c>
      <c r="B71" s="5">
        <f t="shared" ref="B71:G71" si="97">B231</f>
        <v>196640.18</v>
      </c>
      <c r="C71" s="5">
        <f t="shared" si="97"/>
        <v>189381.89</v>
      </c>
      <c r="D71" s="5">
        <f t="shared" si="97"/>
        <v>195764.02000000002</v>
      </c>
      <c r="E71" s="5">
        <f t="shared" si="97"/>
        <v>187712.74</v>
      </c>
      <c r="F71" s="5">
        <f t="shared" si="97"/>
        <v>186399.78</v>
      </c>
      <c r="G71" s="1">
        <f t="shared" si="97"/>
        <v>206284.2</v>
      </c>
      <c r="H71" s="58">
        <f>H231</f>
        <v>214608.83</v>
      </c>
      <c r="I71" s="58">
        <f t="shared" ref="I71" si="98">I231</f>
        <v>186243.88999999998</v>
      </c>
      <c r="J71" s="1">
        <f>J231</f>
        <v>262825.53000000003</v>
      </c>
      <c r="K71" s="58">
        <f>K231</f>
        <v>224300.05</v>
      </c>
      <c r="L71" s="1">
        <f>L231</f>
        <v>0</v>
      </c>
      <c r="M71" s="1">
        <f>M231</f>
        <v>0</v>
      </c>
      <c r="N71" s="58">
        <f t="shared" ref="N71:N74" si="99">SUM(B71:M71)</f>
        <v>2050161.11</v>
      </c>
      <c r="P71" s="1">
        <f t="shared" si="3"/>
        <v>186378.28272727274</v>
      </c>
      <c r="Q71" s="1">
        <f t="shared" si="4"/>
        <v>-186378.28272727274</v>
      </c>
    </row>
    <row r="72" spans="1:17" x14ac:dyDescent="0.25">
      <c r="A72" s="112" t="s">
        <v>56</v>
      </c>
      <c r="B72" s="5">
        <f t="shared" ref="B72:G72" si="100">B263</f>
        <v>111240.83</v>
      </c>
      <c r="C72" s="5">
        <f t="shared" si="100"/>
        <v>91232.06</v>
      </c>
      <c r="D72" s="5">
        <f t="shared" si="100"/>
        <v>94277.48000000001</v>
      </c>
      <c r="E72" s="5">
        <f t="shared" si="100"/>
        <v>88611.98000000001</v>
      </c>
      <c r="F72" s="5">
        <f t="shared" si="100"/>
        <v>89444.540000000008</v>
      </c>
      <c r="G72" s="1">
        <f t="shared" si="100"/>
        <v>103146.35</v>
      </c>
      <c r="H72" s="58">
        <f t="shared" ref="H72:I72" si="101">H263</f>
        <v>118506.03</v>
      </c>
      <c r="I72" s="58">
        <f t="shared" si="101"/>
        <v>113578.72000000002</v>
      </c>
      <c r="J72" s="1">
        <f>J263</f>
        <v>3044.4400000000014</v>
      </c>
      <c r="K72" s="58">
        <f>K263</f>
        <v>103533.48</v>
      </c>
      <c r="L72" s="1">
        <f>L263</f>
        <v>0</v>
      </c>
      <c r="M72" s="1">
        <f>M263</f>
        <v>0</v>
      </c>
      <c r="N72" s="58">
        <f t="shared" si="99"/>
        <v>916615.90999999992</v>
      </c>
      <c r="P72" s="1">
        <f t="shared" ref="P72:P142" si="102">(N72-M72)/11</f>
        <v>83328.719090909086</v>
      </c>
      <c r="Q72" s="1">
        <f t="shared" ref="Q72:Q142" si="103">M72-P72</f>
        <v>-83328.719090909086</v>
      </c>
    </row>
    <row r="73" spans="1:17" x14ac:dyDescent="0.25">
      <c r="A73" s="112" t="s">
        <v>57</v>
      </c>
      <c r="B73" s="13">
        <f t="shared" ref="B73:G73" si="104">-B278</f>
        <v>-81297.39</v>
      </c>
      <c r="C73" s="13">
        <f t="shared" si="104"/>
        <v>-60573.55</v>
      </c>
      <c r="D73" s="13">
        <f t="shared" si="104"/>
        <v>-54599.840000000004</v>
      </c>
      <c r="E73" s="12">
        <f t="shared" si="104"/>
        <v>-82044.150000000009</v>
      </c>
      <c r="F73" s="12">
        <f t="shared" si="104"/>
        <v>-105834.51000000001</v>
      </c>
      <c r="G73" s="12">
        <f t="shared" si="104"/>
        <v>-92499.849999999991</v>
      </c>
      <c r="H73" s="58">
        <f t="shared" ref="H73:I73" si="105">-H278</f>
        <v>-94568.209999999992</v>
      </c>
      <c r="I73" s="58">
        <f t="shared" si="105"/>
        <v>-83366.98</v>
      </c>
      <c r="J73" s="1">
        <f>-J278</f>
        <v>211658.71</v>
      </c>
      <c r="K73" s="58">
        <f>-K278</f>
        <v>-66662.75</v>
      </c>
      <c r="L73" s="1">
        <f>-L278</f>
        <v>0</v>
      </c>
      <c r="M73" s="1">
        <f>-M278</f>
        <v>0</v>
      </c>
      <c r="N73" s="58">
        <f t="shared" si="99"/>
        <v>-509788.52</v>
      </c>
      <c r="P73" s="1">
        <f t="shared" si="102"/>
        <v>-46344.410909090911</v>
      </c>
      <c r="Q73" s="1">
        <f t="shared" si="103"/>
        <v>46344.410909090911</v>
      </c>
    </row>
    <row r="74" spans="1:17" x14ac:dyDescent="0.25">
      <c r="A74" s="112" t="s">
        <v>58</v>
      </c>
      <c r="B74" s="13">
        <f>B129</f>
        <v>-3595.4</v>
      </c>
      <c r="C74" s="13">
        <f>C129</f>
        <v>-2471.31</v>
      </c>
      <c r="D74" s="13">
        <f>D129</f>
        <v>-4621.22</v>
      </c>
      <c r="E74" s="12">
        <f t="shared" ref="E74:J74" si="106">E129</f>
        <v>-5799.91</v>
      </c>
      <c r="F74" s="12">
        <f>F129</f>
        <v>-1360.64</v>
      </c>
      <c r="G74" s="12">
        <f t="shared" si="106"/>
        <v>-1536.21</v>
      </c>
      <c r="H74" s="58">
        <f t="shared" ref="H74" si="107">H129</f>
        <v>-2242.15</v>
      </c>
      <c r="I74" s="58">
        <f t="shared" si="106"/>
        <v>-4335.7700000000004</v>
      </c>
      <c r="J74" s="1">
        <f t="shared" si="106"/>
        <v>-2948.83</v>
      </c>
      <c r="K74" s="58">
        <f t="shared" ref="K74" si="108">K129</f>
        <v>-5190.07</v>
      </c>
      <c r="L74" s="1">
        <f>L129</f>
        <v>0</v>
      </c>
      <c r="M74" s="1">
        <f>M129</f>
        <v>0</v>
      </c>
      <c r="N74" s="58">
        <f t="shared" si="99"/>
        <v>-34101.51</v>
      </c>
      <c r="P74" s="1">
        <f t="shared" si="102"/>
        <v>-3100.1372727272728</v>
      </c>
      <c r="Q74" s="1">
        <f t="shared" si="103"/>
        <v>3100.1372727272728</v>
      </c>
    </row>
    <row r="75" spans="1:17" x14ac:dyDescent="0.25">
      <c r="A75" s="112" t="s">
        <v>59</v>
      </c>
      <c r="B75" s="8">
        <f>SUM(B70:B74)</f>
        <v>628181.32999999996</v>
      </c>
      <c r="C75" s="8">
        <f>SUM(C70:C74)</f>
        <v>559507.08000000007</v>
      </c>
      <c r="D75" s="8">
        <f t="shared" ref="D75:L75" si="109">SUM(D70:D74)</f>
        <v>574445.99000000011</v>
      </c>
      <c r="E75" s="8">
        <f>SUM(E70:E74)</f>
        <v>542352.22</v>
      </c>
      <c r="F75" s="8">
        <f t="shared" si="109"/>
        <v>588988.53</v>
      </c>
      <c r="G75" s="8">
        <f t="shared" si="109"/>
        <v>619196.56000000006</v>
      </c>
      <c r="H75" s="8">
        <f>SUM(H70:H74)</f>
        <v>641270.23</v>
      </c>
      <c r="I75" s="8">
        <f>SUM(I70:I74)</f>
        <v>611116.18999999994</v>
      </c>
      <c r="J75" s="8">
        <f t="shared" si="109"/>
        <v>-299505.45</v>
      </c>
      <c r="K75" s="8">
        <f t="shared" si="109"/>
        <v>544797.88</v>
      </c>
      <c r="L75" s="8">
        <f t="shared" si="109"/>
        <v>0</v>
      </c>
      <c r="M75" s="8">
        <f>SUM(M70:M74)</f>
        <v>0</v>
      </c>
      <c r="N75" s="8">
        <f>SUM(N70:N74)</f>
        <v>5010350.5600000005</v>
      </c>
      <c r="P75" s="8">
        <f t="shared" si="102"/>
        <v>455486.41454545461</v>
      </c>
      <c r="Q75" s="8">
        <f t="shared" si="103"/>
        <v>-455486.41454545461</v>
      </c>
    </row>
    <row r="76" spans="1:17" ht="27" customHeight="1" thickBot="1" x14ac:dyDescent="0.3">
      <c r="A76" s="112" t="s">
        <v>60</v>
      </c>
      <c r="B76" s="15">
        <f t="shared" ref="B76:N76" si="110">+B35+B68-B75</f>
        <v>65733.430000119261</v>
      </c>
      <c r="C76" s="15">
        <f t="shared" si="110"/>
        <v>62568.989999789977</v>
      </c>
      <c r="D76" s="15">
        <f t="shared" si="110"/>
        <v>190852.60999993072</v>
      </c>
      <c r="E76" s="15">
        <f t="shared" si="110"/>
        <v>-70572.120000041672</v>
      </c>
      <c r="F76" s="15">
        <f t="shared" si="110"/>
        <v>-203742.99999999651</v>
      </c>
      <c r="G76" s="15">
        <f t="shared" si="110"/>
        <v>-88358.510000057286</v>
      </c>
      <c r="H76" s="15">
        <f t="shared" si="110"/>
        <v>-303625.03999997611</v>
      </c>
      <c r="I76" s="15">
        <f t="shared" si="110"/>
        <v>-208857.14999994752</v>
      </c>
      <c r="J76" s="15">
        <f t="shared" si="110"/>
        <v>624726.29000006441</v>
      </c>
      <c r="K76" s="15">
        <f t="shared" si="110"/>
        <v>-30452.229999875999</v>
      </c>
      <c r="L76" s="15">
        <f t="shared" si="110"/>
        <v>0</v>
      </c>
      <c r="M76" s="15">
        <f t="shared" si="110"/>
        <v>0</v>
      </c>
      <c r="N76" s="33">
        <f t="shared" si="110"/>
        <v>38273.270001200959</v>
      </c>
      <c r="P76" s="15">
        <f t="shared" si="102"/>
        <v>3479.3881819273597</v>
      </c>
      <c r="Q76" s="15">
        <f t="shared" si="103"/>
        <v>-3479.3881819273597</v>
      </c>
    </row>
    <row r="77" spans="1:17" ht="15.75" thickTop="1" x14ac:dyDescent="0.25">
      <c r="C77" s="1"/>
      <c r="D77" s="1"/>
      <c r="E77" s="1"/>
      <c r="F77" s="1"/>
      <c r="G77" s="1"/>
      <c r="H77" s="58"/>
      <c r="I77" s="1"/>
      <c r="J77" s="1"/>
      <c r="K77" s="1"/>
      <c r="L77" s="1"/>
      <c r="M77" s="1"/>
      <c r="P77" s="2">
        <f t="shared" si="102"/>
        <v>0</v>
      </c>
      <c r="Q77" s="2">
        <f t="shared" si="103"/>
        <v>0</v>
      </c>
    </row>
    <row r="78" spans="1:17" x14ac:dyDescent="0.25">
      <c r="A78" s="112" t="s">
        <v>61</v>
      </c>
      <c r="C78" s="1"/>
      <c r="D78" s="1"/>
      <c r="E78" s="1"/>
      <c r="F78" s="1"/>
      <c r="G78" s="1"/>
      <c r="H78" s="58"/>
      <c r="I78" s="1"/>
      <c r="J78" s="1"/>
      <c r="K78" s="1"/>
      <c r="L78" s="1"/>
      <c r="M78" s="1"/>
      <c r="P78" s="2">
        <f t="shared" si="102"/>
        <v>0</v>
      </c>
      <c r="Q78" s="2">
        <f t="shared" si="103"/>
        <v>0</v>
      </c>
    </row>
    <row r="79" spans="1:17" x14ac:dyDescent="0.25">
      <c r="C79" s="1"/>
      <c r="D79" s="1"/>
      <c r="E79" s="1"/>
      <c r="F79" s="1"/>
      <c r="G79" s="1"/>
      <c r="H79" s="58"/>
      <c r="I79" s="1"/>
      <c r="J79" s="1"/>
      <c r="K79" s="1"/>
      <c r="L79" s="1"/>
      <c r="M79" s="1"/>
      <c r="N79" s="58"/>
      <c r="P79" s="1">
        <f t="shared" si="102"/>
        <v>0</v>
      </c>
      <c r="Q79" s="1">
        <f t="shared" si="103"/>
        <v>0</v>
      </c>
    </row>
    <row r="80" spans="1:17" hidden="1" x14ac:dyDescent="0.25">
      <c r="B80" s="1">
        <f t="shared" ref="B80:K80" si="111">+B76-B79</f>
        <v>65733.430000119261</v>
      </c>
      <c r="C80" s="1">
        <f t="shared" si="111"/>
        <v>62568.989999789977</v>
      </c>
      <c r="D80" s="1">
        <f t="shared" si="111"/>
        <v>190852.60999993072</v>
      </c>
      <c r="E80" s="1">
        <f t="shared" si="111"/>
        <v>-70572.120000041672</v>
      </c>
      <c r="F80" s="1">
        <f t="shared" si="111"/>
        <v>-203742.99999999651</v>
      </c>
      <c r="G80" s="1">
        <f t="shared" si="111"/>
        <v>-88358.510000057286</v>
      </c>
      <c r="H80" s="58">
        <f t="shared" ref="H80" si="112">+H76-H79</f>
        <v>-303625.03999997611</v>
      </c>
      <c r="I80" s="1">
        <f t="shared" si="111"/>
        <v>-208857.14999994752</v>
      </c>
      <c r="J80" s="1">
        <f t="shared" si="111"/>
        <v>624726.29000006441</v>
      </c>
      <c r="K80" s="1">
        <f t="shared" si="111"/>
        <v>-30452.229999875999</v>
      </c>
      <c r="L80" s="1">
        <v>0</v>
      </c>
      <c r="M80" s="1"/>
      <c r="N80" s="58">
        <v>0</v>
      </c>
      <c r="P80" s="1">
        <f t="shared" si="102"/>
        <v>0</v>
      </c>
      <c r="Q80" s="1">
        <f t="shared" si="103"/>
        <v>0</v>
      </c>
    </row>
    <row r="81" spans="1:17" ht="15.75" thickBot="1" x14ac:dyDescent="0.3">
      <c r="C81" s="1"/>
      <c r="D81" s="1"/>
      <c r="E81" s="1"/>
      <c r="F81" s="1"/>
      <c r="G81" s="1"/>
      <c r="H81" s="58"/>
      <c r="I81" s="1"/>
      <c r="J81" s="1"/>
      <c r="K81" s="1"/>
      <c r="L81" s="1"/>
      <c r="M81" s="1"/>
      <c r="P81" s="2">
        <f t="shared" si="102"/>
        <v>0</v>
      </c>
      <c r="Q81" s="2">
        <f t="shared" si="103"/>
        <v>0</v>
      </c>
    </row>
    <row r="82" spans="1:17" x14ac:dyDescent="0.25">
      <c r="A82" s="116" t="s">
        <v>62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9"/>
      <c r="P82" s="29">
        <f t="shared" si="102"/>
        <v>0</v>
      </c>
      <c r="Q82" s="29">
        <f t="shared" si="103"/>
        <v>0</v>
      </c>
    </row>
    <row r="83" spans="1:17" x14ac:dyDescent="0.25">
      <c r="A83" s="117" t="s">
        <v>39</v>
      </c>
      <c r="B83" s="6">
        <f t="shared" ref="B83:E84" si="113">+B53</f>
        <v>0</v>
      </c>
      <c r="C83" s="6">
        <f t="shared" si="113"/>
        <v>0</v>
      </c>
      <c r="D83" s="6">
        <f t="shared" si="113"/>
        <v>0</v>
      </c>
      <c r="E83" s="6">
        <f t="shared" si="113"/>
        <v>0</v>
      </c>
      <c r="F83" s="6">
        <f>F104</f>
        <v>0</v>
      </c>
      <c r="G83" s="6">
        <f t="shared" ref="G83:M84" si="114">+G53</f>
        <v>0</v>
      </c>
      <c r="H83" s="6">
        <f t="shared" ref="H83" si="115">+H53</f>
        <v>0</v>
      </c>
      <c r="I83" s="6">
        <f t="shared" si="114"/>
        <v>0</v>
      </c>
      <c r="J83" s="6">
        <f t="shared" si="114"/>
        <v>0</v>
      </c>
      <c r="K83" s="6">
        <f t="shared" si="114"/>
        <v>0</v>
      </c>
      <c r="L83" s="6">
        <f t="shared" si="114"/>
        <v>0</v>
      </c>
      <c r="M83" s="6">
        <f t="shared" si="114"/>
        <v>0</v>
      </c>
      <c r="N83" s="30">
        <f>SUM(B83:M83)</f>
        <v>0</v>
      </c>
      <c r="P83" s="30">
        <f t="shared" si="102"/>
        <v>0</v>
      </c>
      <c r="Q83" s="30">
        <f t="shared" si="103"/>
        <v>0</v>
      </c>
    </row>
    <row r="84" spans="1:17" x14ac:dyDescent="0.25">
      <c r="A84" s="117" t="s">
        <v>63</v>
      </c>
      <c r="B84" s="6">
        <f t="shared" si="113"/>
        <v>44174.48</v>
      </c>
      <c r="C84" s="6">
        <f t="shared" si="113"/>
        <v>37026.959999999999</v>
      </c>
      <c r="D84" s="6">
        <f t="shared" si="113"/>
        <v>50952.97</v>
      </c>
      <c r="E84" s="6">
        <f t="shared" si="113"/>
        <v>17383</v>
      </c>
      <c r="F84" s="6">
        <f>F110+F121</f>
        <v>6537.5</v>
      </c>
      <c r="G84" s="6">
        <f t="shared" si="114"/>
        <v>12690.5</v>
      </c>
      <c r="H84" s="6">
        <f t="shared" ref="H84" si="116">+H54</f>
        <v>14136.99</v>
      </c>
      <c r="I84" s="6">
        <f t="shared" si="114"/>
        <v>3546</v>
      </c>
      <c r="J84" s="6">
        <f t="shared" si="114"/>
        <v>6577.55</v>
      </c>
      <c r="K84" s="6">
        <f t="shared" si="114"/>
        <v>18560.79</v>
      </c>
      <c r="L84" s="6">
        <f t="shared" si="114"/>
        <v>0</v>
      </c>
      <c r="M84" s="6">
        <f t="shared" si="114"/>
        <v>0</v>
      </c>
      <c r="N84" s="30">
        <f>SUM(B84:M84)</f>
        <v>211586.74</v>
      </c>
      <c r="P84" s="30">
        <f t="shared" si="102"/>
        <v>19235.15818181818</v>
      </c>
      <c r="Q84" s="30">
        <f t="shared" si="103"/>
        <v>-19235.15818181818</v>
      </c>
    </row>
    <row r="85" spans="1:17" x14ac:dyDescent="0.25">
      <c r="A85" s="117" t="s">
        <v>64</v>
      </c>
      <c r="B85" s="8">
        <f>SUM(B83:B84)</f>
        <v>44174.48</v>
      </c>
      <c r="C85" s="8">
        <f t="shared" ref="C85:J85" si="117">SUM(C83:C84)</f>
        <v>37026.959999999999</v>
      </c>
      <c r="D85" s="8">
        <f t="shared" si="117"/>
        <v>50952.97</v>
      </c>
      <c r="E85" s="8">
        <f t="shared" si="117"/>
        <v>17383</v>
      </c>
      <c r="F85" s="8">
        <f t="shared" si="117"/>
        <v>6537.5</v>
      </c>
      <c r="G85" s="8">
        <f t="shared" si="117"/>
        <v>12690.5</v>
      </c>
      <c r="H85" s="8">
        <f t="shared" ref="H85" si="118">SUM(H83:H84)</f>
        <v>14136.99</v>
      </c>
      <c r="I85" s="8">
        <f t="shared" si="117"/>
        <v>3546</v>
      </c>
      <c r="J85" s="8">
        <f t="shared" si="117"/>
        <v>6577.55</v>
      </c>
      <c r="K85" s="8">
        <f>SUM(K83:K84)</f>
        <v>18560.79</v>
      </c>
      <c r="L85" s="8">
        <f>SUM(L83:L84)</f>
        <v>0</v>
      </c>
      <c r="M85" s="8">
        <f>SUM(M83:M84)</f>
        <v>0</v>
      </c>
      <c r="N85" s="31">
        <f>SUM(N83:N84)</f>
        <v>211586.74</v>
      </c>
      <c r="P85" s="31">
        <f t="shared" si="102"/>
        <v>19235.15818181818</v>
      </c>
      <c r="Q85" s="31">
        <f t="shared" si="103"/>
        <v>-19235.15818181818</v>
      </c>
    </row>
    <row r="86" spans="1:17" x14ac:dyDescent="0.25">
      <c r="A86" s="11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32"/>
      <c r="P86" s="32">
        <f t="shared" si="102"/>
        <v>0</v>
      </c>
      <c r="Q86" s="32">
        <f t="shared" si="103"/>
        <v>0</v>
      </c>
    </row>
    <row r="87" spans="1:17" x14ac:dyDescent="0.25">
      <c r="A87" s="117" t="s">
        <v>65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32"/>
      <c r="P87" s="32">
        <f t="shared" si="102"/>
        <v>0</v>
      </c>
      <c r="Q87" s="32">
        <f t="shared" si="103"/>
        <v>0</v>
      </c>
    </row>
    <row r="88" spans="1:17" x14ac:dyDescent="0.25">
      <c r="A88" s="117" t="s">
        <v>66</v>
      </c>
      <c r="B88" s="6">
        <f>+B59</f>
        <v>0</v>
      </c>
      <c r="C88" s="6">
        <f>+C59</f>
        <v>0</v>
      </c>
      <c r="D88" s="6">
        <f>+D59</f>
        <v>0</v>
      </c>
      <c r="E88" s="6">
        <f>+E59</f>
        <v>0</v>
      </c>
      <c r="F88" s="6">
        <f>F130</f>
        <v>0</v>
      </c>
      <c r="G88" s="6">
        <f t="shared" ref="G88:M88" si="119">+G59</f>
        <v>0</v>
      </c>
      <c r="H88" s="6">
        <f t="shared" ref="H88" si="120">+H59</f>
        <v>0</v>
      </c>
      <c r="I88" s="6">
        <f t="shared" si="119"/>
        <v>0</v>
      </c>
      <c r="J88" s="6">
        <f t="shared" si="119"/>
        <v>0</v>
      </c>
      <c r="K88" s="6">
        <f t="shared" si="119"/>
        <v>0</v>
      </c>
      <c r="L88" s="6">
        <f t="shared" si="119"/>
        <v>0</v>
      </c>
      <c r="M88" s="6">
        <f t="shared" si="119"/>
        <v>0</v>
      </c>
      <c r="N88" s="30">
        <f>SUM(B88:M88)</f>
        <v>0</v>
      </c>
      <c r="P88" s="30">
        <f t="shared" si="102"/>
        <v>0</v>
      </c>
      <c r="Q88" s="30">
        <f t="shared" si="103"/>
        <v>0</v>
      </c>
    </row>
    <row r="89" spans="1:17" x14ac:dyDescent="0.25">
      <c r="A89" s="117" t="s">
        <v>67</v>
      </c>
      <c r="B89" s="6">
        <f t="shared" ref="B89:G89" si="121">B141</f>
        <v>47744.73</v>
      </c>
      <c r="C89" s="6">
        <f t="shared" si="121"/>
        <v>40318.61</v>
      </c>
      <c r="D89" s="6">
        <f t="shared" si="121"/>
        <v>53566.29</v>
      </c>
      <c r="E89" s="6">
        <f t="shared" si="121"/>
        <v>-3427.84</v>
      </c>
      <c r="F89" s="6">
        <f t="shared" si="121"/>
        <v>5808.03</v>
      </c>
      <c r="G89" s="6">
        <f t="shared" si="121"/>
        <v>11225.63</v>
      </c>
      <c r="H89" s="6">
        <f t="shared" ref="H89:L89" si="122">+H60</f>
        <v>20530.47</v>
      </c>
      <c r="I89" s="6">
        <f t="shared" si="122"/>
        <v>5400.13</v>
      </c>
      <c r="J89" s="6">
        <f t="shared" si="122"/>
        <v>10087.08</v>
      </c>
      <c r="K89" s="6">
        <f t="shared" si="122"/>
        <v>20598.52</v>
      </c>
      <c r="L89" s="6">
        <f t="shared" si="122"/>
        <v>0</v>
      </c>
      <c r="M89" s="6"/>
      <c r="N89" s="30">
        <f t="shared" ref="N89:N92" si="123">SUM(B89:M89)</f>
        <v>211851.65</v>
      </c>
      <c r="P89" s="30">
        <f t="shared" si="102"/>
        <v>19259.24090909091</v>
      </c>
      <c r="Q89" s="30">
        <f t="shared" si="103"/>
        <v>-19259.24090909091</v>
      </c>
    </row>
    <row r="90" spans="1:17" x14ac:dyDescent="0.25">
      <c r="A90" s="117" t="s">
        <v>68</v>
      </c>
      <c r="B90" s="6">
        <f t="shared" ref="B90:L90" si="124">B173</f>
        <v>0</v>
      </c>
      <c r="C90" s="6">
        <f t="shared" si="124"/>
        <v>800</v>
      </c>
      <c r="D90" s="6">
        <f t="shared" si="124"/>
        <v>0</v>
      </c>
      <c r="E90" s="6">
        <f t="shared" si="124"/>
        <v>0</v>
      </c>
      <c r="F90" s="6">
        <f t="shared" si="124"/>
        <v>0</v>
      </c>
      <c r="G90" s="6">
        <f t="shared" si="124"/>
        <v>0</v>
      </c>
      <c r="H90" s="6">
        <f t="shared" ref="H90" si="125">H173</f>
        <v>0</v>
      </c>
      <c r="I90" s="6">
        <f t="shared" si="124"/>
        <v>0</v>
      </c>
      <c r="J90" s="6">
        <f t="shared" si="124"/>
        <v>0</v>
      </c>
      <c r="K90" s="6">
        <f t="shared" si="124"/>
        <v>0</v>
      </c>
      <c r="L90" s="6">
        <f t="shared" si="124"/>
        <v>0</v>
      </c>
      <c r="M90" s="6"/>
      <c r="N90" s="30">
        <f t="shared" si="123"/>
        <v>800</v>
      </c>
      <c r="P90" s="30">
        <f t="shared" si="102"/>
        <v>72.727272727272734</v>
      </c>
      <c r="Q90" s="30">
        <f t="shared" si="103"/>
        <v>-72.727272727272734</v>
      </c>
    </row>
    <row r="91" spans="1:17" x14ac:dyDescent="0.25">
      <c r="A91" s="117" t="s">
        <v>69</v>
      </c>
      <c r="B91" s="6">
        <f>B185</f>
        <v>1.87</v>
      </c>
      <c r="C91" s="6">
        <f t="shared" ref="C91:M91" si="126">C185</f>
        <v>0</v>
      </c>
      <c r="D91" s="6">
        <f t="shared" si="126"/>
        <v>-115.12</v>
      </c>
      <c r="E91" s="6">
        <f t="shared" si="126"/>
        <v>3216.06</v>
      </c>
      <c r="F91" s="6">
        <f t="shared" si="126"/>
        <v>-2308</v>
      </c>
      <c r="G91" s="6">
        <f t="shared" si="126"/>
        <v>0</v>
      </c>
      <c r="H91" s="6">
        <f t="shared" ref="H91" si="127">H185</f>
        <v>0</v>
      </c>
      <c r="I91" s="6">
        <f t="shared" si="126"/>
        <v>0</v>
      </c>
      <c r="J91" s="6">
        <f t="shared" si="126"/>
        <v>0</v>
      </c>
      <c r="K91" s="6">
        <f t="shared" si="126"/>
        <v>0</v>
      </c>
      <c r="L91" s="6">
        <f t="shared" si="126"/>
        <v>0</v>
      </c>
      <c r="M91" s="6">
        <f t="shared" si="126"/>
        <v>0</v>
      </c>
      <c r="N91" s="30">
        <f t="shared" si="123"/>
        <v>794.81</v>
      </c>
      <c r="P91" s="30">
        <f t="shared" si="102"/>
        <v>72.25545454545454</v>
      </c>
      <c r="Q91" s="30">
        <f t="shared" si="103"/>
        <v>-72.25545454545454</v>
      </c>
    </row>
    <row r="92" spans="1:17" x14ac:dyDescent="0.25">
      <c r="A92" s="117" t="s">
        <v>70</v>
      </c>
      <c r="B92" s="6">
        <f>B66</f>
        <v>0</v>
      </c>
      <c r="C92" s="6">
        <f>C66</f>
        <v>878</v>
      </c>
      <c r="D92" s="6">
        <f>D66</f>
        <v>0</v>
      </c>
      <c r="E92" s="6">
        <f>E66</f>
        <v>0</v>
      </c>
      <c r="F92" s="6">
        <f>F180</f>
        <v>620</v>
      </c>
      <c r="G92" s="6">
        <f t="shared" ref="G92:M92" si="128">G66</f>
        <v>0</v>
      </c>
      <c r="H92" s="6">
        <f t="shared" ref="H92" si="129">H66</f>
        <v>12</v>
      </c>
      <c r="I92" s="6">
        <f t="shared" si="128"/>
        <v>0</v>
      </c>
      <c r="J92" s="6">
        <f t="shared" si="128"/>
        <v>0</v>
      </c>
      <c r="K92" s="6">
        <f t="shared" si="128"/>
        <v>0</v>
      </c>
      <c r="L92" s="6">
        <f t="shared" si="128"/>
        <v>0</v>
      </c>
      <c r="M92" s="6">
        <f t="shared" si="128"/>
        <v>0</v>
      </c>
      <c r="N92" s="30">
        <f t="shared" si="123"/>
        <v>1510</v>
      </c>
      <c r="P92" s="30">
        <f t="shared" si="102"/>
        <v>137.27272727272728</v>
      </c>
      <c r="Q92" s="30">
        <f t="shared" si="103"/>
        <v>-137.27272727272728</v>
      </c>
    </row>
    <row r="93" spans="1:17" x14ac:dyDescent="0.25">
      <c r="A93" s="117"/>
      <c r="B93" s="8">
        <f>SUM(B88:B92)</f>
        <v>47746.600000000006</v>
      </c>
      <c r="C93" s="8">
        <f t="shared" ref="C93:L93" si="130">SUM(C88:C92)</f>
        <v>41996.61</v>
      </c>
      <c r="D93" s="8">
        <f t="shared" si="130"/>
        <v>53451.17</v>
      </c>
      <c r="E93" s="8">
        <f t="shared" si="130"/>
        <v>-211.7800000000002</v>
      </c>
      <c r="F93" s="8">
        <f t="shared" si="130"/>
        <v>4120.03</v>
      </c>
      <c r="G93" s="8">
        <f t="shared" si="130"/>
        <v>11225.63</v>
      </c>
      <c r="H93" s="8">
        <f t="shared" ref="H93" si="131">SUM(H88:H92)</f>
        <v>20542.47</v>
      </c>
      <c r="I93" s="8">
        <f t="shared" si="130"/>
        <v>5400.13</v>
      </c>
      <c r="J93" s="8">
        <f t="shared" si="130"/>
        <v>10087.08</v>
      </c>
      <c r="K93" s="8">
        <f t="shared" si="130"/>
        <v>20598.52</v>
      </c>
      <c r="L93" s="8">
        <f t="shared" si="130"/>
        <v>0</v>
      </c>
      <c r="M93" s="8">
        <f>SUM(M88:M92)</f>
        <v>0</v>
      </c>
      <c r="N93" s="31">
        <f>SUM(N88:N92)</f>
        <v>214956.46</v>
      </c>
      <c r="P93" s="31">
        <f t="shared" si="102"/>
        <v>19541.496363636365</v>
      </c>
      <c r="Q93" s="31">
        <f t="shared" si="103"/>
        <v>-19541.496363636365</v>
      </c>
    </row>
    <row r="94" spans="1:17" ht="27" customHeight="1" thickBot="1" x14ac:dyDescent="0.3">
      <c r="A94" s="117"/>
      <c r="B94" s="33">
        <f>+B85-B93</f>
        <v>-3572.1200000000026</v>
      </c>
      <c r="C94" s="33">
        <f t="shared" ref="C94:L94" si="132">+C85-C93</f>
        <v>-4969.6500000000015</v>
      </c>
      <c r="D94" s="33">
        <f t="shared" si="132"/>
        <v>-2498.1999999999971</v>
      </c>
      <c r="E94" s="33">
        <f t="shared" si="132"/>
        <v>17594.78</v>
      </c>
      <c r="F94" s="33">
        <f t="shared" si="132"/>
        <v>2417.4700000000003</v>
      </c>
      <c r="G94" s="33">
        <f t="shared" si="132"/>
        <v>1464.8700000000008</v>
      </c>
      <c r="H94" s="33">
        <f t="shared" ref="H94" si="133">+H85-H93</f>
        <v>-6405.4800000000014</v>
      </c>
      <c r="I94" s="33">
        <f t="shared" si="132"/>
        <v>-1854.13</v>
      </c>
      <c r="J94" s="33">
        <f t="shared" si="132"/>
        <v>-3509.5299999999997</v>
      </c>
      <c r="K94" s="33">
        <f t="shared" si="132"/>
        <v>-2037.7299999999996</v>
      </c>
      <c r="L94" s="33">
        <f t="shared" si="132"/>
        <v>0</v>
      </c>
      <c r="M94" s="33">
        <f>+M85-M93</f>
        <v>0</v>
      </c>
      <c r="N94" s="34">
        <f>+N85-N93</f>
        <v>-3369.7200000000012</v>
      </c>
      <c r="P94" s="34">
        <f t="shared" si="102"/>
        <v>-306.33818181818191</v>
      </c>
      <c r="Q94" s="34">
        <f t="shared" si="103"/>
        <v>306.33818181818191</v>
      </c>
    </row>
    <row r="95" spans="1:17" ht="16.5" thickTop="1" thickBot="1" x14ac:dyDescent="0.3">
      <c r="A95" s="11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6"/>
      <c r="P95" s="36">
        <f t="shared" si="102"/>
        <v>0</v>
      </c>
      <c r="Q95" s="36">
        <f t="shared" si="103"/>
        <v>0</v>
      </c>
    </row>
    <row r="96" spans="1:17" x14ac:dyDescent="0.25">
      <c r="C96" s="1"/>
      <c r="D96" s="1"/>
      <c r="E96" s="1"/>
      <c r="F96" s="1"/>
      <c r="G96" s="1"/>
      <c r="H96" s="58"/>
      <c r="I96" s="1"/>
      <c r="J96" s="1"/>
      <c r="K96" s="1"/>
      <c r="L96" s="1"/>
      <c r="M96" s="1"/>
      <c r="P96" s="2">
        <f t="shared" si="102"/>
        <v>0</v>
      </c>
      <c r="Q96" s="2">
        <f t="shared" si="103"/>
        <v>0</v>
      </c>
    </row>
    <row r="97" spans="1:17" x14ac:dyDescent="0.25">
      <c r="C97" s="1"/>
      <c r="D97" s="1"/>
      <c r="E97" s="1"/>
      <c r="F97" s="1"/>
      <c r="G97" s="1"/>
      <c r="H97" s="58"/>
      <c r="I97" s="1"/>
      <c r="J97" s="1"/>
      <c r="K97" s="1"/>
      <c r="L97" s="1"/>
      <c r="M97" s="1"/>
      <c r="P97" s="2">
        <f t="shared" si="102"/>
        <v>0</v>
      </c>
      <c r="Q97" s="2">
        <f t="shared" si="103"/>
        <v>0</v>
      </c>
    </row>
    <row r="98" spans="1:17" s="17" customFormat="1" ht="30.75" customHeight="1" x14ac:dyDescent="0.25">
      <c r="A98" s="114" t="s">
        <v>71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11">
        <f>SUM(B98:M98)</f>
        <v>0</v>
      </c>
      <c r="P98" s="11">
        <f t="shared" si="102"/>
        <v>0</v>
      </c>
      <c r="Q98" s="11">
        <f t="shared" si="103"/>
        <v>0</v>
      </c>
    </row>
    <row r="99" spans="1:17" x14ac:dyDescent="0.25">
      <c r="C99" s="1"/>
      <c r="D99" s="1"/>
      <c r="E99" s="1"/>
      <c r="F99" s="1"/>
      <c r="G99" s="1"/>
      <c r="H99" s="58"/>
      <c r="I99" s="1"/>
      <c r="J99" s="1"/>
      <c r="K99" s="1"/>
      <c r="L99" s="1"/>
      <c r="M99" s="1"/>
      <c r="P99" s="2">
        <f t="shared" si="102"/>
        <v>0</v>
      </c>
      <c r="Q99" s="2">
        <f t="shared" si="103"/>
        <v>0</v>
      </c>
    </row>
    <row r="100" spans="1:17" x14ac:dyDescent="0.25">
      <c r="C100" s="1"/>
      <c r="D100" s="1"/>
      <c r="E100" s="1"/>
      <c r="F100" s="1"/>
      <c r="G100" s="1"/>
      <c r="H100" s="58"/>
      <c r="I100" s="1"/>
      <c r="J100" s="1"/>
      <c r="K100" s="1"/>
      <c r="L100" s="1"/>
      <c r="M100" s="1"/>
      <c r="P100" s="2">
        <f t="shared" si="102"/>
        <v>0</v>
      </c>
      <c r="Q100" s="2">
        <f t="shared" si="103"/>
        <v>0</v>
      </c>
    </row>
    <row r="101" spans="1:17" x14ac:dyDescent="0.25">
      <c r="C101" s="1"/>
      <c r="D101" s="1"/>
      <c r="E101" s="1"/>
      <c r="F101" s="1"/>
      <c r="G101" s="1"/>
      <c r="H101" s="58"/>
      <c r="I101" s="1"/>
      <c r="J101" s="1"/>
      <c r="K101" s="1"/>
      <c r="L101" s="1"/>
      <c r="M101" s="1"/>
      <c r="P101" s="2">
        <f t="shared" si="102"/>
        <v>0</v>
      </c>
      <c r="Q101" s="2">
        <f t="shared" si="103"/>
        <v>0</v>
      </c>
    </row>
    <row r="102" spans="1:17" s="37" customFormat="1" ht="15.75" thickBot="1" x14ac:dyDescent="0.3">
      <c r="A102" s="119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P102" s="37">
        <f t="shared" si="102"/>
        <v>0</v>
      </c>
      <c r="Q102" s="37">
        <f t="shared" si="103"/>
        <v>0</v>
      </c>
    </row>
    <row r="103" spans="1:17" x14ac:dyDescent="0.25">
      <c r="A103" s="171"/>
      <c r="C103" s="1"/>
      <c r="D103" s="1"/>
      <c r="E103" s="1"/>
      <c r="F103" s="1"/>
      <c r="G103" s="1"/>
      <c r="H103" s="58"/>
      <c r="I103" s="1"/>
      <c r="J103" s="1"/>
      <c r="K103" s="1"/>
      <c r="L103" s="1"/>
      <c r="M103" s="1"/>
      <c r="P103" s="2">
        <f t="shared" si="102"/>
        <v>0</v>
      </c>
      <c r="Q103" s="2">
        <f t="shared" si="103"/>
        <v>0</v>
      </c>
    </row>
    <row r="104" spans="1:17" x14ac:dyDescent="0.25">
      <c r="A104" s="112" t="s">
        <v>72</v>
      </c>
      <c r="B104" s="1">
        <v>0</v>
      </c>
      <c r="C104" s="1">
        <v>0</v>
      </c>
      <c r="D104" s="1">
        <v>0</v>
      </c>
      <c r="E104" s="1"/>
      <c r="F104" s="1"/>
      <c r="G104" s="1">
        <v>0</v>
      </c>
      <c r="H104" s="58">
        <v>0</v>
      </c>
      <c r="I104" s="58">
        <v>0</v>
      </c>
      <c r="J104" s="1">
        <v>0</v>
      </c>
      <c r="K104" s="1"/>
      <c r="L104" s="1"/>
      <c r="M104" s="1"/>
      <c r="N104" s="58">
        <f>SUM(B104:M104)</f>
        <v>0</v>
      </c>
      <c r="P104" s="1">
        <f t="shared" si="102"/>
        <v>0</v>
      </c>
      <c r="Q104" s="1">
        <f t="shared" si="103"/>
        <v>0</v>
      </c>
    </row>
    <row r="105" spans="1:17" x14ac:dyDescent="0.25">
      <c r="A105" s="112" t="s">
        <v>73</v>
      </c>
      <c r="B105" s="1">
        <v>154744703.27000001</v>
      </c>
      <c r="C105" s="1">
        <v>123954975.27</v>
      </c>
      <c r="D105" s="1">
        <v>101935013.19</v>
      </c>
      <c r="E105" s="1">
        <v>92863307.959999993</v>
      </c>
      <c r="F105" s="1">
        <v>94258757.019999996</v>
      </c>
      <c r="G105" s="1">
        <v>97605649.239999995</v>
      </c>
      <c r="H105" s="58">
        <v>123097958.22</v>
      </c>
      <c r="I105" s="58">
        <v>127862684.09999999</v>
      </c>
      <c r="J105" s="1">
        <v>96885769.400000006</v>
      </c>
      <c r="K105" s="1">
        <v>91117545.120000005</v>
      </c>
      <c r="L105" s="1"/>
      <c r="M105" s="1"/>
      <c r="N105" s="58">
        <f t="shared" ref="N105:N126" si="134">SUM(B105:M105)</f>
        <v>1104326362.79</v>
      </c>
      <c r="P105" s="1">
        <f t="shared" si="102"/>
        <v>100393305.70818181</v>
      </c>
      <c r="Q105" s="1">
        <f t="shared" si="103"/>
        <v>-100393305.70818181</v>
      </c>
    </row>
    <row r="106" spans="1:17" x14ac:dyDescent="0.25">
      <c r="A106" s="112" t="s">
        <v>74</v>
      </c>
      <c r="B106" s="1">
        <v>474420383.94999999</v>
      </c>
      <c r="C106" s="1">
        <v>1272769788.22</v>
      </c>
      <c r="D106" s="1">
        <v>305526926.99000001</v>
      </c>
      <c r="E106" s="1">
        <v>46941731.32</v>
      </c>
      <c r="F106" s="1">
        <v>115118797.62</v>
      </c>
      <c r="G106" s="1">
        <v>261188870.69</v>
      </c>
      <c r="H106" s="58">
        <v>167224902.31999999</v>
      </c>
      <c r="I106" s="58">
        <v>334958641.80000001</v>
      </c>
      <c r="J106" s="1">
        <v>240211825.59</v>
      </c>
      <c r="K106" s="1">
        <v>61729895.789999999</v>
      </c>
      <c r="L106" s="1"/>
      <c r="M106" s="1"/>
      <c r="N106" s="58">
        <f t="shared" si="134"/>
        <v>3280091764.2900004</v>
      </c>
      <c r="P106" s="1">
        <f t="shared" si="102"/>
        <v>298190160.39000005</v>
      </c>
      <c r="Q106" s="1">
        <f t="shared" si="103"/>
        <v>-298190160.39000005</v>
      </c>
    </row>
    <row r="107" spans="1:17" x14ac:dyDescent="0.25">
      <c r="A107" s="112" t="s">
        <v>75</v>
      </c>
      <c r="B107" s="1">
        <v>2898099.37</v>
      </c>
      <c r="C107" s="1">
        <v>2610105.7200000002</v>
      </c>
      <c r="D107" s="1">
        <v>622399.88</v>
      </c>
      <c r="E107" s="1">
        <v>1945746.84</v>
      </c>
      <c r="F107" s="1">
        <v>1927944.8</v>
      </c>
      <c r="G107" s="1">
        <v>474866.98</v>
      </c>
      <c r="H107" s="58">
        <v>1059505.05</v>
      </c>
      <c r="I107" s="58">
        <v>1458942.34</v>
      </c>
      <c r="J107" s="1">
        <v>319490.71999999997</v>
      </c>
      <c r="K107" s="1">
        <v>210539.64</v>
      </c>
      <c r="L107" s="1"/>
      <c r="M107" s="1"/>
      <c r="N107" s="58">
        <f t="shared" si="134"/>
        <v>13527641.340000002</v>
      </c>
      <c r="P107" s="1">
        <f t="shared" si="102"/>
        <v>1229785.5763636364</v>
      </c>
      <c r="Q107" s="1">
        <f t="shared" si="103"/>
        <v>-1229785.5763636364</v>
      </c>
    </row>
    <row r="108" spans="1:17" x14ac:dyDescent="0.25">
      <c r="A108" s="112" t="s">
        <v>76</v>
      </c>
      <c r="B108" s="1">
        <v>3238349</v>
      </c>
      <c r="C108" s="1">
        <v>1478660.42</v>
      </c>
      <c r="D108" s="1">
        <v>1427673</v>
      </c>
      <c r="E108" s="1">
        <v>2167697.4500000002</v>
      </c>
      <c r="F108" s="1">
        <v>847867.6</v>
      </c>
      <c r="G108" s="1">
        <v>844240.5</v>
      </c>
      <c r="H108" s="58">
        <v>518684.94</v>
      </c>
      <c r="I108" s="58">
        <v>749745</v>
      </c>
      <c r="J108" s="1">
        <v>593767</v>
      </c>
      <c r="K108" s="1">
        <v>2838661.13</v>
      </c>
      <c r="L108" s="1"/>
      <c r="M108" s="1"/>
      <c r="N108" s="58">
        <f t="shared" si="134"/>
        <v>14705346.039999999</v>
      </c>
      <c r="P108" s="1">
        <f t="shared" si="102"/>
        <v>1336849.6399999999</v>
      </c>
      <c r="Q108" s="1">
        <f t="shared" si="103"/>
        <v>-1336849.6399999999</v>
      </c>
    </row>
    <row r="109" spans="1:17" x14ac:dyDescent="0.25">
      <c r="A109" s="112" t="s">
        <v>77</v>
      </c>
      <c r="B109" s="1">
        <v>0</v>
      </c>
      <c r="C109" s="1">
        <v>0</v>
      </c>
      <c r="D109" s="1">
        <v>0</v>
      </c>
      <c r="E109" s="1">
        <v>0</v>
      </c>
      <c r="F109" s="1">
        <v>100</v>
      </c>
      <c r="G109" s="1">
        <v>0</v>
      </c>
      <c r="H109" s="58">
        <v>100</v>
      </c>
      <c r="I109" s="58">
        <v>275</v>
      </c>
      <c r="J109" s="1">
        <v>780</v>
      </c>
      <c r="K109" s="1">
        <v>145</v>
      </c>
      <c r="L109" s="1"/>
      <c r="M109" s="1"/>
      <c r="N109" s="58">
        <f t="shared" si="134"/>
        <v>1400</v>
      </c>
      <c r="P109" s="1">
        <f t="shared" si="102"/>
        <v>127.27272727272727</v>
      </c>
      <c r="Q109" s="1">
        <f t="shared" si="103"/>
        <v>-127.27272727272727</v>
      </c>
    </row>
    <row r="110" spans="1:17" x14ac:dyDescent="0.25">
      <c r="A110" s="112" t="s">
        <v>78</v>
      </c>
      <c r="B110" s="1">
        <v>44174.48</v>
      </c>
      <c r="C110" s="1">
        <v>37026.959999999999</v>
      </c>
      <c r="D110" s="1">
        <v>50952.97</v>
      </c>
      <c r="E110" s="1">
        <v>17383</v>
      </c>
      <c r="F110" s="1">
        <v>6537.5</v>
      </c>
      <c r="G110" s="1">
        <v>12690.5</v>
      </c>
      <c r="H110" s="58">
        <v>14136.99</v>
      </c>
      <c r="I110" s="58">
        <v>3631</v>
      </c>
      <c r="J110" s="1">
        <v>6577.55</v>
      </c>
      <c r="K110" s="1">
        <v>18560.79</v>
      </c>
      <c r="L110" s="1"/>
      <c r="M110" s="1"/>
      <c r="N110" s="58">
        <f t="shared" si="134"/>
        <v>211671.74</v>
      </c>
      <c r="P110" s="1">
        <f t="shared" si="102"/>
        <v>19242.885454545452</v>
      </c>
      <c r="Q110" s="1">
        <f t="shared" si="103"/>
        <v>-19242.885454545452</v>
      </c>
    </row>
    <row r="111" spans="1:17" x14ac:dyDescent="0.25">
      <c r="A111" s="112" t="s">
        <v>79</v>
      </c>
      <c r="B111" s="1">
        <v>0</v>
      </c>
      <c r="C111" s="1">
        <v>40000</v>
      </c>
      <c r="D111" s="1">
        <v>0</v>
      </c>
      <c r="E111" s="1">
        <v>0</v>
      </c>
      <c r="F111" s="1">
        <v>0</v>
      </c>
      <c r="G111" s="1">
        <v>0</v>
      </c>
      <c r="H111" s="58">
        <v>10000</v>
      </c>
      <c r="I111" s="58">
        <v>0</v>
      </c>
      <c r="J111" s="1">
        <v>0</v>
      </c>
      <c r="K111" s="1">
        <v>10700</v>
      </c>
      <c r="L111" s="1"/>
      <c r="M111" s="1"/>
      <c r="N111" s="58">
        <f t="shared" si="134"/>
        <v>60700</v>
      </c>
      <c r="P111" s="1">
        <f t="shared" si="102"/>
        <v>5518.181818181818</v>
      </c>
      <c r="Q111" s="1">
        <f t="shared" si="103"/>
        <v>-5518.181818181818</v>
      </c>
    </row>
    <row r="112" spans="1:17" x14ac:dyDescent="0.25">
      <c r="A112" s="112" t="s">
        <v>80</v>
      </c>
      <c r="B112" s="1">
        <v>85825</v>
      </c>
      <c r="C112" s="1">
        <v>579872.5</v>
      </c>
      <c r="D112" s="1">
        <v>108078.75</v>
      </c>
      <c r="E112" s="1">
        <v>961999.14</v>
      </c>
      <c r="F112" s="1">
        <v>349854.6</v>
      </c>
      <c r="G112" s="1">
        <v>1360150.98</v>
      </c>
      <c r="H112" s="58">
        <v>454175</v>
      </c>
      <c r="I112" s="58">
        <v>875445</v>
      </c>
      <c r="J112" s="1">
        <v>461025</v>
      </c>
      <c r="K112" s="1">
        <v>664960</v>
      </c>
      <c r="L112" s="1"/>
      <c r="M112" s="1"/>
      <c r="N112" s="58">
        <f t="shared" si="134"/>
        <v>5901385.9700000007</v>
      </c>
      <c r="P112" s="1">
        <f t="shared" si="102"/>
        <v>536489.63363636367</v>
      </c>
      <c r="Q112" s="1">
        <f t="shared" si="103"/>
        <v>-536489.63363636367</v>
      </c>
    </row>
    <row r="113" spans="1:17" x14ac:dyDescent="0.25">
      <c r="A113" s="112" t="s">
        <v>81</v>
      </c>
      <c r="B113" s="1">
        <v>26781.78</v>
      </c>
      <c r="C113" s="1">
        <v>27848.98</v>
      </c>
      <c r="D113" s="1">
        <v>17975.66</v>
      </c>
      <c r="E113" s="1">
        <v>19219.95</v>
      </c>
      <c r="F113" s="1">
        <v>22546.73</v>
      </c>
      <c r="G113" s="1">
        <v>22323.95</v>
      </c>
      <c r="H113" s="58">
        <v>27263.29</v>
      </c>
      <c r="I113" s="58">
        <v>23494.07</v>
      </c>
      <c r="J113" s="1">
        <v>23850.720000000001</v>
      </c>
      <c r="K113" s="1">
        <v>18433.18</v>
      </c>
      <c r="L113" s="1"/>
      <c r="M113" s="1"/>
      <c r="N113" s="58">
        <f t="shared" si="134"/>
        <v>229738.31</v>
      </c>
      <c r="P113" s="1">
        <f t="shared" si="102"/>
        <v>20885.300909090907</v>
      </c>
      <c r="Q113" s="1">
        <f t="shared" si="103"/>
        <v>-20885.300909090907</v>
      </c>
    </row>
    <row r="114" spans="1:17" x14ac:dyDescent="0.25">
      <c r="A114" s="112" t="s">
        <v>82</v>
      </c>
      <c r="B114" s="1">
        <v>5348.08</v>
      </c>
      <c r="C114" s="1">
        <v>3319.45</v>
      </c>
      <c r="D114" s="1">
        <v>4134.66</v>
      </c>
      <c r="E114" s="1">
        <v>2672.3</v>
      </c>
      <c r="F114" s="1">
        <v>3055.3</v>
      </c>
      <c r="G114" s="1">
        <v>3045.54</v>
      </c>
      <c r="H114" s="58">
        <v>4022.15</v>
      </c>
      <c r="I114" s="58">
        <v>6517.32</v>
      </c>
      <c r="J114" s="1">
        <v>4329.42</v>
      </c>
      <c r="K114" s="1">
        <v>5529.92</v>
      </c>
      <c r="L114" s="1"/>
      <c r="M114" s="1"/>
      <c r="N114" s="58">
        <f t="shared" si="134"/>
        <v>41974.14</v>
      </c>
      <c r="P114" s="1">
        <f t="shared" si="102"/>
        <v>3815.8309090909092</v>
      </c>
      <c r="Q114" s="1">
        <f t="shared" si="103"/>
        <v>-3815.8309090909092</v>
      </c>
    </row>
    <row r="115" spans="1:17" x14ac:dyDescent="0.25">
      <c r="A115" s="112" t="s">
        <v>83</v>
      </c>
      <c r="B115" s="1">
        <v>11966.67</v>
      </c>
      <c r="C115" s="1">
        <v>6875.97</v>
      </c>
      <c r="D115" s="1">
        <v>42473.86</v>
      </c>
      <c r="E115" s="1">
        <v>8332.3799999999992</v>
      </c>
      <c r="F115" s="1">
        <v>47717.82</v>
      </c>
      <c r="G115" s="1">
        <v>14103.21</v>
      </c>
      <c r="H115" s="58">
        <v>64030.9</v>
      </c>
      <c r="I115" s="58">
        <v>12097.62</v>
      </c>
      <c r="J115" s="1">
        <v>52150.96</v>
      </c>
      <c r="K115" s="1">
        <v>13372.82</v>
      </c>
      <c r="L115" s="1"/>
      <c r="M115" s="1"/>
      <c r="N115" s="58">
        <f t="shared" si="134"/>
        <v>273122.20999999996</v>
      </c>
      <c r="P115" s="1">
        <f t="shared" si="102"/>
        <v>24829.291818181813</v>
      </c>
      <c r="Q115" s="1">
        <f t="shared" si="103"/>
        <v>-24829.291818181813</v>
      </c>
    </row>
    <row r="116" spans="1:17" x14ac:dyDescent="0.25">
      <c r="A116" s="112" t="s">
        <v>84</v>
      </c>
      <c r="B116" s="1">
        <v>-181274.6</v>
      </c>
      <c r="C116" s="1">
        <v>-14353247.48</v>
      </c>
      <c r="D116" s="1">
        <v>-865145</v>
      </c>
      <c r="E116" s="1">
        <v>-191768.9</v>
      </c>
      <c r="F116" s="1">
        <v>0</v>
      </c>
      <c r="G116" s="1">
        <v>-4824560.62</v>
      </c>
      <c r="H116" s="58">
        <v>-481109.16</v>
      </c>
      <c r="I116" s="58">
        <v>-1464419.23</v>
      </c>
      <c r="J116" s="1">
        <v>-3207158.47</v>
      </c>
      <c r="K116" s="1">
        <v>-7212416.5499999998</v>
      </c>
      <c r="L116" s="1"/>
      <c r="M116" s="1"/>
      <c r="N116" s="58">
        <f t="shared" si="134"/>
        <v>-32781100.010000002</v>
      </c>
      <c r="P116" s="1">
        <f t="shared" si="102"/>
        <v>-2980100.000909091</v>
      </c>
      <c r="Q116" s="1">
        <f t="shared" si="103"/>
        <v>2980100.000909091</v>
      </c>
    </row>
    <row r="117" spans="1:17" x14ac:dyDescent="0.25">
      <c r="A117" s="112" t="s">
        <v>85</v>
      </c>
      <c r="B117" s="1">
        <v>-49890630.729999997</v>
      </c>
      <c r="C117" s="1">
        <v>-60452389.869999997</v>
      </c>
      <c r="D117" s="1">
        <v>-214404.86</v>
      </c>
      <c r="E117" s="1">
        <v>0</v>
      </c>
      <c r="F117" s="1">
        <v>-57992.4</v>
      </c>
      <c r="G117" s="1">
        <v>-225137.37</v>
      </c>
      <c r="H117" s="58">
        <v>-521496.35</v>
      </c>
      <c r="I117" s="58">
        <v>-10192938.970000001</v>
      </c>
      <c r="J117" s="1">
        <v>-826272.24</v>
      </c>
      <c r="K117" s="1">
        <v>-723408.49</v>
      </c>
      <c r="L117" s="1"/>
      <c r="M117" s="1"/>
      <c r="N117" s="58">
        <f t="shared" si="134"/>
        <v>-123104671.27999999</v>
      </c>
      <c r="P117" s="1">
        <f t="shared" si="102"/>
        <v>-11191333.752727272</v>
      </c>
      <c r="Q117" s="1">
        <f t="shared" si="103"/>
        <v>11191333.752727272</v>
      </c>
    </row>
    <row r="118" spans="1:17" x14ac:dyDescent="0.25">
      <c r="A118" s="112" t="s">
        <v>86</v>
      </c>
      <c r="B118" s="1">
        <v>-13395</v>
      </c>
      <c r="C118" s="1">
        <v>-13570</v>
      </c>
      <c r="D118" s="1">
        <v>0</v>
      </c>
      <c r="E118" s="1">
        <v>0</v>
      </c>
      <c r="F118" s="1">
        <v>0</v>
      </c>
      <c r="G118" s="1">
        <v>0</v>
      </c>
      <c r="H118" s="58">
        <v>0</v>
      </c>
      <c r="I118" s="58">
        <v>-8300</v>
      </c>
      <c r="J118" s="1">
        <v>0</v>
      </c>
      <c r="K118" s="1"/>
      <c r="L118" s="1"/>
      <c r="M118" s="1"/>
      <c r="N118" s="58">
        <f t="shared" si="134"/>
        <v>-35265</v>
      </c>
      <c r="P118" s="1">
        <f t="shared" si="102"/>
        <v>-3205.909090909091</v>
      </c>
      <c r="Q118" s="1">
        <f t="shared" si="103"/>
        <v>3205.909090909091</v>
      </c>
    </row>
    <row r="119" spans="1:17" x14ac:dyDescent="0.25">
      <c r="A119" s="112" t="s">
        <v>87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-59280</v>
      </c>
      <c r="H119" s="58">
        <v>0</v>
      </c>
      <c r="I119" s="58">
        <v>0</v>
      </c>
      <c r="J119" s="1">
        <v>0</v>
      </c>
      <c r="K119" s="1"/>
      <c r="L119" s="1"/>
      <c r="M119" s="1"/>
      <c r="N119" s="58">
        <f t="shared" si="134"/>
        <v>-59280</v>
      </c>
      <c r="P119" s="1">
        <f t="shared" si="102"/>
        <v>-5389.090909090909</v>
      </c>
      <c r="Q119" s="1">
        <f t="shared" si="103"/>
        <v>5389.090909090909</v>
      </c>
    </row>
    <row r="120" spans="1:17" x14ac:dyDescent="0.25">
      <c r="A120" s="112" t="s">
        <v>88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58">
        <v>0</v>
      </c>
      <c r="I120" s="58">
        <v>0</v>
      </c>
      <c r="J120" s="1">
        <v>0</v>
      </c>
      <c r="K120" s="1"/>
      <c r="L120" s="1"/>
      <c r="M120" s="1"/>
      <c r="N120" s="58">
        <f t="shared" si="134"/>
        <v>0</v>
      </c>
      <c r="P120" s="1">
        <f t="shared" si="102"/>
        <v>0</v>
      </c>
      <c r="Q120" s="1">
        <f t="shared" si="103"/>
        <v>0</v>
      </c>
    </row>
    <row r="121" spans="1:17" x14ac:dyDescent="0.25">
      <c r="A121" s="112" t="s">
        <v>89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58">
        <v>0</v>
      </c>
      <c r="I121" s="58">
        <v>-85</v>
      </c>
      <c r="J121" s="1">
        <v>0</v>
      </c>
      <c r="K121" s="1"/>
      <c r="L121" s="1"/>
      <c r="M121" s="1"/>
      <c r="N121" s="58">
        <f t="shared" si="134"/>
        <v>-85</v>
      </c>
      <c r="P121" s="1">
        <f t="shared" si="102"/>
        <v>-7.7272727272727275</v>
      </c>
      <c r="Q121" s="1">
        <f t="shared" si="103"/>
        <v>7.7272727272727275</v>
      </c>
    </row>
    <row r="122" spans="1:17" x14ac:dyDescent="0.25">
      <c r="A122" s="112" t="s">
        <v>90</v>
      </c>
      <c r="B122" s="1">
        <v>0</v>
      </c>
      <c r="C122" s="1">
        <v>0</v>
      </c>
      <c r="D122" s="1">
        <v>0</v>
      </c>
      <c r="E122" s="1">
        <v>-58450</v>
      </c>
      <c r="F122" s="1">
        <v>-38855</v>
      </c>
      <c r="G122" s="1">
        <v>-113930</v>
      </c>
      <c r="H122" s="58">
        <v>0</v>
      </c>
      <c r="I122" s="58">
        <v>0</v>
      </c>
      <c r="J122" s="1">
        <v>-2460</v>
      </c>
      <c r="K122" s="1"/>
      <c r="L122" s="1"/>
      <c r="M122" s="1"/>
      <c r="N122" s="58">
        <f t="shared" si="134"/>
        <v>-213695</v>
      </c>
      <c r="P122" s="1">
        <f t="shared" si="102"/>
        <v>-19426.81818181818</v>
      </c>
      <c r="Q122" s="1">
        <f t="shared" si="103"/>
        <v>19426.81818181818</v>
      </c>
    </row>
    <row r="123" spans="1:17" x14ac:dyDescent="0.25">
      <c r="A123" s="112" t="s">
        <v>91</v>
      </c>
      <c r="B123" s="1">
        <v>0</v>
      </c>
      <c r="C123" s="1">
        <v>0</v>
      </c>
      <c r="D123" s="1">
        <v>0</v>
      </c>
      <c r="E123" s="1">
        <v>279000</v>
      </c>
      <c r="F123" s="1">
        <v>0</v>
      </c>
      <c r="G123" s="1">
        <v>1845</v>
      </c>
      <c r="H123" s="58">
        <v>1346.78</v>
      </c>
      <c r="I123" s="58">
        <v>132.93</v>
      </c>
      <c r="J123" s="1">
        <v>3076.12</v>
      </c>
      <c r="K123" s="1">
        <v>336</v>
      </c>
      <c r="L123" s="1"/>
      <c r="M123" s="1"/>
      <c r="N123" s="58">
        <f t="shared" si="134"/>
        <v>285736.83</v>
      </c>
      <c r="P123" s="1"/>
      <c r="Q123" s="1"/>
    </row>
    <row r="124" spans="1:17" s="155" customFormat="1" x14ac:dyDescent="0.25">
      <c r="A124" s="7" t="s">
        <v>454</v>
      </c>
      <c r="B124" s="58">
        <v>0</v>
      </c>
      <c r="C124" s="58">
        <v>0</v>
      </c>
      <c r="D124" s="58">
        <v>0</v>
      </c>
      <c r="E124" s="154">
        <v>0</v>
      </c>
      <c r="F124" s="58">
        <v>0</v>
      </c>
      <c r="G124" s="58">
        <v>0</v>
      </c>
      <c r="H124" s="58">
        <v>0</v>
      </c>
      <c r="I124" s="58">
        <v>3720</v>
      </c>
      <c r="J124" s="58">
        <v>3720</v>
      </c>
      <c r="K124" s="58"/>
      <c r="L124" s="58"/>
      <c r="M124" s="58"/>
      <c r="N124" s="58">
        <f t="shared" si="134"/>
        <v>7440</v>
      </c>
      <c r="O124" s="58"/>
      <c r="P124" s="58"/>
    </row>
    <row r="125" spans="1:17" x14ac:dyDescent="0.25">
      <c r="A125" s="112" t="s">
        <v>92</v>
      </c>
      <c r="B125" s="1">
        <v>0</v>
      </c>
      <c r="C125" s="1">
        <v>0</v>
      </c>
      <c r="D125" s="1">
        <v>0</v>
      </c>
      <c r="E125" s="1">
        <v>13312.5</v>
      </c>
      <c r="F125" s="1">
        <v>0</v>
      </c>
      <c r="G125" s="1">
        <v>0</v>
      </c>
      <c r="H125" s="58">
        <v>160130</v>
      </c>
      <c r="I125" s="58">
        <v>231818.9</v>
      </c>
      <c r="J125" s="1">
        <v>2021243.69</v>
      </c>
      <c r="K125" s="1">
        <v>1627165.6</v>
      </c>
      <c r="L125" s="1"/>
      <c r="M125" s="1"/>
      <c r="N125" s="58">
        <f t="shared" si="134"/>
        <v>4053670.69</v>
      </c>
      <c r="P125" s="1"/>
      <c r="Q125" s="1"/>
    </row>
    <row r="126" spans="1:17" s="155" customFormat="1" x14ac:dyDescent="0.25">
      <c r="A126" s="7" t="s">
        <v>455</v>
      </c>
      <c r="B126" s="58">
        <v>0</v>
      </c>
      <c r="C126" s="58">
        <v>0</v>
      </c>
      <c r="D126" s="58">
        <v>0</v>
      </c>
      <c r="E126" s="154">
        <v>0</v>
      </c>
      <c r="F126" s="58">
        <v>0</v>
      </c>
      <c r="G126" s="58">
        <v>0</v>
      </c>
      <c r="H126" s="58">
        <v>0</v>
      </c>
      <c r="I126" s="58">
        <v>-96720</v>
      </c>
      <c r="J126" s="58">
        <v>0</v>
      </c>
      <c r="K126" s="58">
        <v>-17990</v>
      </c>
      <c r="L126" s="58"/>
      <c r="M126" s="58"/>
      <c r="N126" s="58">
        <f t="shared" si="134"/>
        <v>-114710</v>
      </c>
      <c r="O126" s="58"/>
      <c r="P126" s="58"/>
    </row>
    <row r="127" spans="1:17" s="38" customFormat="1" ht="15.75" thickBot="1" x14ac:dyDescent="0.3">
      <c r="A127" s="120" t="s">
        <v>93</v>
      </c>
      <c r="B127" s="39">
        <f>SUM(B104:B125)</f>
        <v>585390331.26999998</v>
      </c>
      <c r="C127" s="39">
        <f t="shared" ref="C127:M127" si="135">SUM(C104:C125)</f>
        <v>1326689266.1400003</v>
      </c>
      <c r="D127" s="39">
        <f t="shared" si="135"/>
        <v>408656079.10000008</v>
      </c>
      <c r="E127" s="39">
        <f t="shared" si="135"/>
        <v>144970183.93999997</v>
      </c>
      <c r="F127" s="39">
        <f t="shared" si="135"/>
        <v>212486331.58999997</v>
      </c>
      <c r="G127" s="39">
        <f>SUM(G104:G125)</f>
        <v>356304878.60000002</v>
      </c>
      <c r="H127" s="39">
        <f t="shared" ref="H127" si="136">SUM(H104:H125)</f>
        <v>291633650.12999988</v>
      </c>
      <c r="I127" s="39">
        <f>SUM(I104:I126)</f>
        <v>454424681.87999988</v>
      </c>
      <c r="J127" s="39">
        <f>SUM(J104:J126)</f>
        <v>336551715.46000004</v>
      </c>
      <c r="K127" s="39">
        <f>SUM(K104:M126)</f>
        <v>150302029.94999993</v>
      </c>
      <c r="L127" s="39">
        <f t="shared" si="135"/>
        <v>0</v>
      </c>
      <c r="M127" s="39">
        <f t="shared" si="135"/>
        <v>0</v>
      </c>
      <c r="N127" s="39">
        <f>SUM(N104:N126)</f>
        <v>4267409148.0600004</v>
      </c>
      <c r="P127" s="39">
        <f t="shared" si="102"/>
        <v>387946286.18727279</v>
      </c>
      <c r="Q127" s="39">
        <f t="shared" si="103"/>
        <v>-387946286.18727279</v>
      </c>
    </row>
    <row r="128" spans="1:17" ht="15.75" thickTop="1" x14ac:dyDescent="0.25">
      <c r="C128" s="1"/>
      <c r="D128" s="1"/>
      <c r="E128" s="1"/>
      <c r="F128" s="1"/>
      <c r="G128" s="1"/>
      <c r="H128" s="58"/>
      <c r="I128" s="1"/>
      <c r="J128" s="1"/>
      <c r="K128" s="1"/>
      <c r="L128" s="1"/>
      <c r="M128" s="1"/>
      <c r="N128" s="58"/>
      <c r="P128" s="1">
        <f t="shared" si="102"/>
        <v>0</v>
      </c>
      <c r="Q128" s="1">
        <f t="shared" si="103"/>
        <v>0</v>
      </c>
    </row>
    <row r="129" spans="1:17" x14ac:dyDescent="0.25">
      <c r="A129" s="112" t="s">
        <v>94</v>
      </c>
      <c r="B129" s="1">
        <v>-3595.4</v>
      </c>
      <c r="C129" s="1">
        <v>-2471.31</v>
      </c>
      <c r="D129" s="5">
        <v>-4621.22</v>
      </c>
      <c r="E129" s="1">
        <v>-5799.91</v>
      </c>
      <c r="F129" s="1">
        <v>-1360.64</v>
      </c>
      <c r="G129" s="1">
        <v>-1536.21</v>
      </c>
      <c r="H129" s="58">
        <v>-2242.15</v>
      </c>
      <c r="I129" s="58">
        <v>-4335.7700000000004</v>
      </c>
      <c r="J129" s="1">
        <v>-2948.83</v>
      </c>
      <c r="K129" s="1">
        <v>-5190.07</v>
      </c>
      <c r="L129" s="1"/>
      <c r="M129" s="1"/>
      <c r="N129" s="58">
        <f t="shared" ref="N129:N177" si="137">SUM(B129:M129)</f>
        <v>-34101.51</v>
      </c>
      <c r="P129" s="1">
        <f t="shared" si="102"/>
        <v>-3100.1372727272728</v>
      </c>
      <c r="Q129" s="1">
        <f t="shared" si="103"/>
        <v>3100.1372727272728</v>
      </c>
    </row>
    <row r="130" spans="1:17" x14ac:dyDescent="0.25">
      <c r="A130" s="112" t="s">
        <v>95</v>
      </c>
      <c r="B130" s="1">
        <v>0</v>
      </c>
      <c r="C130" s="1">
        <v>0</v>
      </c>
      <c r="D130" s="5">
        <v>0</v>
      </c>
      <c r="E130" s="1"/>
      <c r="F130" s="1">
        <v>0</v>
      </c>
      <c r="G130" s="1">
        <v>0</v>
      </c>
      <c r="H130" s="58">
        <v>0</v>
      </c>
      <c r="I130" s="58">
        <v>0</v>
      </c>
      <c r="J130" s="1">
        <v>0</v>
      </c>
      <c r="K130" s="1"/>
      <c r="L130" s="1"/>
      <c r="M130" s="1"/>
      <c r="N130" s="58">
        <f t="shared" si="137"/>
        <v>0</v>
      </c>
      <c r="P130" s="1">
        <f t="shared" si="102"/>
        <v>0</v>
      </c>
      <c r="Q130" s="1">
        <f t="shared" si="103"/>
        <v>0</v>
      </c>
    </row>
    <row r="131" spans="1:17" s="7" customFormat="1" x14ac:dyDescent="0.25">
      <c r="A131" s="112" t="s">
        <v>469</v>
      </c>
      <c r="B131" s="58"/>
      <c r="C131" s="58"/>
      <c r="D131" s="5"/>
      <c r="E131" s="58"/>
      <c r="F131" s="58"/>
      <c r="G131" s="58"/>
      <c r="H131" s="58"/>
      <c r="I131" s="58"/>
      <c r="J131" s="58">
        <v>15588272.5</v>
      </c>
      <c r="K131" s="58">
        <v>1472539.23</v>
      </c>
      <c r="L131" s="58"/>
      <c r="M131" s="58"/>
      <c r="N131" s="58">
        <f t="shared" si="137"/>
        <v>17060811.73</v>
      </c>
      <c r="P131" s="58"/>
      <c r="Q131" s="58"/>
    </row>
    <row r="132" spans="1:17" s="7" customFormat="1" x14ac:dyDescent="0.25">
      <c r="A132" s="112" t="s">
        <v>470</v>
      </c>
      <c r="B132" s="58"/>
      <c r="C132" s="58"/>
      <c r="D132" s="5"/>
      <c r="E132" s="58"/>
      <c r="F132" s="58"/>
      <c r="G132" s="58"/>
      <c r="H132" s="58"/>
      <c r="I132" s="58"/>
      <c r="J132" s="58">
        <v>-6396769.0099999998</v>
      </c>
      <c r="K132" s="58">
        <v>4760717.22</v>
      </c>
      <c r="L132" s="58"/>
      <c r="M132" s="58"/>
      <c r="N132" s="58">
        <f t="shared" si="137"/>
        <v>-1636051.79</v>
      </c>
      <c r="P132" s="58"/>
      <c r="Q132" s="58"/>
    </row>
    <row r="133" spans="1:17" s="7" customFormat="1" x14ac:dyDescent="0.25">
      <c r="A133" s="112" t="s">
        <v>471</v>
      </c>
      <c r="B133" s="58"/>
      <c r="C133" s="58"/>
      <c r="D133" s="5"/>
      <c r="E133" s="58"/>
      <c r="F133" s="58"/>
      <c r="G133" s="58"/>
      <c r="H133" s="58"/>
      <c r="I133" s="58"/>
      <c r="J133" s="58">
        <v>-689871.66</v>
      </c>
      <c r="K133" s="58">
        <v>12519.79</v>
      </c>
      <c r="L133" s="58"/>
      <c r="M133" s="58"/>
      <c r="N133" s="58">
        <f t="shared" si="137"/>
        <v>-677351.87</v>
      </c>
      <c r="P133" s="58"/>
      <c r="Q133" s="58"/>
    </row>
    <row r="134" spans="1:17" s="7" customFormat="1" x14ac:dyDescent="0.25">
      <c r="A134" s="112" t="s">
        <v>472</v>
      </c>
      <c r="B134" s="58"/>
      <c r="C134" s="58"/>
      <c r="D134" s="5"/>
      <c r="E134" s="58"/>
      <c r="F134" s="58"/>
      <c r="G134" s="58"/>
      <c r="H134" s="58"/>
      <c r="I134" s="58"/>
      <c r="J134" s="58">
        <v>-374194.7</v>
      </c>
      <c r="K134" s="58">
        <v>54321.4</v>
      </c>
      <c r="L134" s="58"/>
      <c r="M134" s="58"/>
      <c r="N134" s="58">
        <f t="shared" si="137"/>
        <v>-319873.3</v>
      </c>
      <c r="P134" s="58"/>
      <c r="Q134" s="58"/>
    </row>
    <row r="135" spans="1:17" s="7" customFormat="1" x14ac:dyDescent="0.25">
      <c r="A135" s="112" t="s">
        <v>473</v>
      </c>
      <c r="B135" s="58"/>
      <c r="C135" s="58"/>
      <c r="D135" s="5"/>
      <c r="E135" s="58"/>
      <c r="F135" s="58"/>
      <c r="G135" s="58"/>
      <c r="H135" s="58"/>
      <c r="I135" s="58"/>
      <c r="J135" s="58">
        <v>-38467.15</v>
      </c>
      <c r="K135" s="58">
        <v>-6789.17</v>
      </c>
      <c r="L135" s="58"/>
      <c r="M135" s="58"/>
      <c r="N135" s="58">
        <f t="shared" si="137"/>
        <v>-45256.32</v>
      </c>
      <c r="P135" s="58"/>
      <c r="Q135" s="58"/>
    </row>
    <row r="136" spans="1:17" x14ac:dyDescent="0.25">
      <c r="A136" s="112" t="s">
        <v>96</v>
      </c>
      <c r="B136" s="1">
        <v>155441266.31</v>
      </c>
      <c r="C136" s="1">
        <v>109044152.26000001</v>
      </c>
      <c r="D136" s="5">
        <v>100539266.20999999</v>
      </c>
      <c r="E136" s="1">
        <v>91915243.909999996</v>
      </c>
      <c r="F136" s="1">
        <v>94245288.590000004</v>
      </c>
      <c r="G136" s="1">
        <v>92942665.650000006</v>
      </c>
      <c r="H136" s="58">
        <v>124203449.56999999</v>
      </c>
      <c r="I136" s="58">
        <v>128282249.83</v>
      </c>
      <c r="J136" s="1">
        <v>93706532.980000004</v>
      </c>
      <c r="K136" s="1">
        <v>82976594.870000005</v>
      </c>
      <c r="L136" s="1"/>
      <c r="M136" s="1"/>
      <c r="N136" s="58">
        <f t="shared" si="137"/>
        <v>1073296710.1800001</v>
      </c>
      <c r="P136" s="1">
        <f t="shared" si="102"/>
        <v>97572428.198181823</v>
      </c>
      <c r="Q136" s="1">
        <f t="shared" si="103"/>
        <v>-97572428.198181823</v>
      </c>
    </row>
    <row r="137" spans="1:17" x14ac:dyDescent="0.25">
      <c r="A137" s="112" t="s">
        <v>97</v>
      </c>
      <c r="B137" s="1">
        <v>422458884.52999997</v>
      </c>
      <c r="C137" s="1">
        <v>1215702481.6500001</v>
      </c>
      <c r="D137" s="5">
        <v>305866481.80000001</v>
      </c>
      <c r="E137" s="1">
        <v>46984540.060000002</v>
      </c>
      <c r="F137" s="1">
        <v>116527400.42</v>
      </c>
      <c r="G137" s="1">
        <v>262829543.78999999</v>
      </c>
      <c r="H137" s="58">
        <v>170093292.22</v>
      </c>
      <c r="I137" s="58">
        <v>328155648.12</v>
      </c>
      <c r="J137" s="1">
        <v>244306582.47999999</v>
      </c>
      <c r="K137" s="1">
        <v>118310445.38</v>
      </c>
      <c r="L137" s="1"/>
      <c r="M137" s="1"/>
      <c r="N137" s="58">
        <f t="shared" si="137"/>
        <v>3231235300.4499998</v>
      </c>
      <c r="P137" s="1">
        <f t="shared" si="102"/>
        <v>293748663.67727274</v>
      </c>
      <c r="Q137" s="1">
        <f t="shared" si="103"/>
        <v>-293748663.67727274</v>
      </c>
    </row>
    <row r="138" spans="1:17" x14ac:dyDescent="0.25">
      <c r="A138" s="112" t="s">
        <v>98</v>
      </c>
      <c r="B138" s="1">
        <v>2776246.68</v>
      </c>
      <c r="C138" s="1">
        <v>2484320.38</v>
      </c>
      <c r="D138" s="5">
        <v>617771.9</v>
      </c>
      <c r="E138" s="1">
        <v>1936970.97</v>
      </c>
      <c r="F138" s="1">
        <v>2008716.84</v>
      </c>
      <c r="G138" s="1">
        <v>489895.91</v>
      </c>
      <c r="H138" s="58">
        <v>1072423.6100000001</v>
      </c>
      <c r="I138" s="58">
        <v>1487745.77</v>
      </c>
      <c r="J138" s="1">
        <v>330283.58</v>
      </c>
      <c r="K138" s="1">
        <v>212260.13</v>
      </c>
      <c r="L138" s="1"/>
      <c r="M138" s="1"/>
      <c r="N138" s="58">
        <f t="shared" si="137"/>
        <v>13416635.770000001</v>
      </c>
      <c r="P138" s="1">
        <f t="shared" si="102"/>
        <v>1219694.1609090911</v>
      </c>
      <c r="Q138" s="1">
        <f t="shared" si="103"/>
        <v>-1219694.1609090911</v>
      </c>
    </row>
    <row r="139" spans="1:17" x14ac:dyDescent="0.25">
      <c r="A139" s="112" t="s">
        <v>99</v>
      </c>
      <c r="B139" s="1">
        <v>3078499.21</v>
      </c>
      <c r="C139" s="1">
        <v>1513901.47</v>
      </c>
      <c r="D139" s="5">
        <v>1441767.82</v>
      </c>
      <c r="E139" s="1">
        <v>2113636.39</v>
      </c>
      <c r="F139" s="1">
        <v>844764.25</v>
      </c>
      <c r="G139" s="1">
        <v>760350.9</v>
      </c>
      <c r="H139" s="58">
        <v>520958.08</v>
      </c>
      <c r="I139" s="58">
        <v>746076.51</v>
      </c>
      <c r="J139" s="1">
        <v>593567</v>
      </c>
      <c r="K139" s="1">
        <v>2796158.3</v>
      </c>
      <c r="L139" s="1"/>
      <c r="M139" s="1"/>
      <c r="N139" s="58">
        <f t="shared" si="137"/>
        <v>14409679.93</v>
      </c>
      <c r="P139" s="1">
        <f t="shared" si="102"/>
        <v>1309970.9027272726</v>
      </c>
      <c r="Q139" s="1">
        <f t="shared" si="103"/>
        <v>-1309970.9027272726</v>
      </c>
    </row>
    <row r="140" spans="1:17" x14ac:dyDescent="0.25">
      <c r="A140" s="112" t="s">
        <v>100</v>
      </c>
      <c r="B140" s="1">
        <v>0</v>
      </c>
      <c r="C140" s="1">
        <v>0</v>
      </c>
      <c r="D140" s="5">
        <v>0</v>
      </c>
      <c r="E140" s="1">
        <v>0</v>
      </c>
      <c r="F140" s="1">
        <v>72</v>
      </c>
      <c r="G140" s="1">
        <v>0</v>
      </c>
      <c r="H140" s="58">
        <v>72</v>
      </c>
      <c r="I140" s="58">
        <v>198</v>
      </c>
      <c r="J140" s="1">
        <v>396</v>
      </c>
      <c r="K140" s="1">
        <v>107.2</v>
      </c>
      <c r="L140" s="1"/>
      <c r="M140" s="1"/>
      <c r="N140" s="58">
        <f t="shared" si="137"/>
        <v>845.2</v>
      </c>
      <c r="P140" s="1">
        <f t="shared" si="102"/>
        <v>76.836363636363643</v>
      </c>
      <c r="Q140" s="1">
        <f t="shared" si="103"/>
        <v>-76.836363636363643</v>
      </c>
    </row>
    <row r="141" spans="1:17" x14ac:dyDescent="0.25">
      <c r="A141" s="112" t="s">
        <v>101</v>
      </c>
      <c r="B141" s="1">
        <v>47744.73</v>
      </c>
      <c r="C141" s="1">
        <v>40318.61</v>
      </c>
      <c r="D141" s="5">
        <v>53566.29</v>
      </c>
      <c r="E141" s="1">
        <v>-3427.84</v>
      </c>
      <c r="F141" s="1">
        <v>5808.03</v>
      </c>
      <c r="G141" s="1">
        <v>11225.63</v>
      </c>
      <c r="H141" s="58">
        <v>11757.35</v>
      </c>
      <c r="I141" s="58">
        <v>2887.52</v>
      </c>
      <c r="J141" s="1">
        <v>5270.91</v>
      </c>
      <c r="K141" s="1">
        <v>20141.43</v>
      </c>
      <c r="L141" s="1"/>
      <c r="M141" s="1"/>
      <c r="N141" s="58">
        <f t="shared" si="137"/>
        <v>195292.66</v>
      </c>
      <c r="P141" s="1">
        <f t="shared" si="102"/>
        <v>17753.878181818181</v>
      </c>
      <c r="Q141" s="1">
        <f t="shared" si="103"/>
        <v>-17753.878181818181</v>
      </c>
    </row>
    <row r="142" spans="1:17" x14ac:dyDescent="0.25">
      <c r="A142" s="112" t="s">
        <v>102</v>
      </c>
      <c r="B142" s="1">
        <v>82580.429999999993</v>
      </c>
      <c r="C142" s="1">
        <v>556415.63</v>
      </c>
      <c r="D142" s="5">
        <v>104546.19</v>
      </c>
      <c r="E142" s="1">
        <v>891459.31</v>
      </c>
      <c r="F142" s="1">
        <v>309417.95</v>
      </c>
      <c r="G142" s="1">
        <v>1066421.99</v>
      </c>
      <c r="H142" s="58">
        <v>438557.16</v>
      </c>
      <c r="I142" s="58">
        <v>839710.44</v>
      </c>
      <c r="J142" s="1">
        <v>439830.71</v>
      </c>
      <c r="K142" s="1">
        <v>651036.23</v>
      </c>
      <c r="L142" s="1"/>
      <c r="M142" s="1"/>
      <c r="N142" s="58">
        <f t="shared" si="137"/>
        <v>5379976.0399999991</v>
      </c>
      <c r="P142" s="1">
        <f t="shared" si="102"/>
        <v>489088.73090909084</v>
      </c>
      <c r="Q142" s="1">
        <f t="shared" si="103"/>
        <v>-489088.73090909084</v>
      </c>
    </row>
    <row r="143" spans="1:17" x14ac:dyDescent="0.25">
      <c r="A143" s="112" t="s">
        <v>103</v>
      </c>
      <c r="B143" s="1">
        <v>162526.82</v>
      </c>
      <c r="C143" s="1">
        <v>186551.2</v>
      </c>
      <c r="D143" s="5">
        <f>120971.26+500</f>
        <v>121471.26</v>
      </c>
      <c r="E143" s="1">
        <v>104538.95</v>
      </c>
      <c r="F143" s="1">
        <f>108837.33+3500</f>
        <v>112337.33</v>
      </c>
      <c r="G143" s="1">
        <v>58522.59</v>
      </c>
      <c r="H143" s="58">
        <v>142640.88</v>
      </c>
      <c r="I143" s="58">
        <v>302010.69</v>
      </c>
      <c r="J143" s="1">
        <v>148375.73000000001</v>
      </c>
      <c r="K143" s="1">
        <v>124519.01</v>
      </c>
      <c r="L143" s="1"/>
      <c r="M143" s="1"/>
      <c r="N143" s="58">
        <f t="shared" si="137"/>
        <v>1463494.46</v>
      </c>
      <c r="P143" s="1">
        <f t="shared" ref="P143:P211" si="138">(N143-M143)/11</f>
        <v>133044.9509090909</v>
      </c>
      <c r="Q143" s="1">
        <f t="shared" ref="Q143:Q211" si="139">M143-P143</f>
        <v>-133044.9509090909</v>
      </c>
    </row>
    <row r="144" spans="1:17" x14ac:dyDescent="0.25">
      <c r="A144" s="112" t="s">
        <v>104</v>
      </c>
      <c r="B144" s="1">
        <v>0</v>
      </c>
      <c r="C144" s="1">
        <v>0</v>
      </c>
      <c r="D144" s="5">
        <v>0</v>
      </c>
      <c r="E144" s="1">
        <v>0</v>
      </c>
      <c r="F144" s="1">
        <v>0</v>
      </c>
      <c r="G144" s="1">
        <v>0</v>
      </c>
      <c r="H144" s="58">
        <v>0</v>
      </c>
      <c r="I144" s="58">
        <v>0</v>
      </c>
      <c r="J144" s="1">
        <v>0</v>
      </c>
      <c r="K144" s="1"/>
      <c r="L144" s="1"/>
      <c r="M144" s="1"/>
      <c r="N144" s="58">
        <f t="shared" si="137"/>
        <v>0</v>
      </c>
      <c r="P144" s="1">
        <f t="shared" si="138"/>
        <v>0</v>
      </c>
      <c r="Q144" s="1">
        <f t="shared" si="139"/>
        <v>0</v>
      </c>
    </row>
    <row r="145" spans="1:17" x14ac:dyDescent="0.25">
      <c r="A145" s="112" t="s">
        <v>105</v>
      </c>
      <c r="B145" s="1">
        <v>0</v>
      </c>
      <c r="C145" s="1">
        <v>0</v>
      </c>
      <c r="D145" s="5">
        <v>0</v>
      </c>
      <c r="E145" s="1">
        <v>0</v>
      </c>
      <c r="F145" s="1">
        <v>0</v>
      </c>
      <c r="G145" s="1">
        <v>0</v>
      </c>
      <c r="H145" s="58">
        <v>0</v>
      </c>
      <c r="I145" s="58">
        <v>0</v>
      </c>
      <c r="J145" s="1">
        <v>0</v>
      </c>
      <c r="K145" s="1"/>
      <c r="L145" s="1"/>
      <c r="M145" s="1"/>
      <c r="N145" s="58">
        <f t="shared" si="137"/>
        <v>0</v>
      </c>
      <c r="P145" s="1">
        <f t="shared" si="138"/>
        <v>0</v>
      </c>
      <c r="Q145" s="1">
        <f t="shared" si="139"/>
        <v>0</v>
      </c>
    </row>
    <row r="146" spans="1:17" x14ac:dyDescent="0.25">
      <c r="A146" s="112" t="s">
        <v>106</v>
      </c>
      <c r="B146" s="1">
        <v>9335.48</v>
      </c>
      <c r="C146" s="1">
        <v>703.97</v>
      </c>
      <c r="D146" s="5">
        <v>6224.3</v>
      </c>
      <c r="E146" s="1">
        <v>4346.05</v>
      </c>
      <c r="F146" s="1">
        <v>1861.52</v>
      </c>
      <c r="G146" s="1">
        <v>2668.53</v>
      </c>
      <c r="H146" s="58">
        <v>8773.1200000000008</v>
      </c>
      <c r="I146" s="58">
        <v>2512.61</v>
      </c>
      <c r="J146" s="1">
        <v>4656.17</v>
      </c>
      <c r="K146" s="1">
        <v>457.09</v>
      </c>
      <c r="L146" s="1"/>
      <c r="M146" s="1"/>
      <c r="N146" s="58">
        <f t="shared" si="137"/>
        <v>41538.839999999997</v>
      </c>
      <c r="P146" s="1">
        <f t="shared" si="138"/>
        <v>3776.2581818181816</v>
      </c>
      <c r="Q146" s="1">
        <f t="shared" si="139"/>
        <v>-3776.2581818181816</v>
      </c>
    </row>
    <row r="147" spans="1:17" x14ac:dyDescent="0.25">
      <c r="A147" s="112" t="s">
        <v>107</v>
      </c>
      <c r="B147" s="1">
        <v>0</v>
      </c>
      <c r="C147" s="1">
        <v>1250</v>
      </c>
      <c r="D147" s="5">
        <v>0</v>
      </c>
      <c r="E147" s="1">
        <v>0</v>
      </c>
      <c r="F147" s="1">
        <v>0</v>
      </c>
      <c r="G147" s="1">
        <v>0</v>
      </c>
      <c r="H147" s="58">
        <v>0</v>
      </c>
      <c r="I147" s="58">
        <v>0</v>
      </c>
      <c r="J147" s="1">
        <v>0</v>
      </c>
      <c r="K147" s="1"/>
      <c r="L147" s="1"/>
      <c r="M147" s="1"/>
      <c r="N147" s="58">
        <f t="shared" si="137"/>
        <v>1250</v>
      </c>
      <c r="P147" s="1">
        <f t="shared" si="138"/>
        <v>113.63636363636364</v>
      </c>
      <c r="Q147" s="1">
        <f t="shared" si="139"/>
        <v>-113.63636363636364</v>
      </c>
    </row>
    <row r="148" spans="1:17" x14ac:dyDescent="0.25">
      <c r="A148" s="112" t="s">
        <v>108</v>
      </c>
      <c r="B148" s="1">
        <v>93164865.799999997</v>
      </c>
      <c r="C148" s="1">
        <v>43694992.5</v>
      </c>
      <c r="D148" s="5">
        <v>49872500</v>
      </c>
      <c r="E148" s="1">
        <v>37423820</v>
      </c>
      <c r="F148" s="1">
        <v>33390470</v>
      </c>
      <c r="G148" s="1">
        <v>18213000</v>
      </c>
      <c r="H148" s="58">
        <v>40236590</v>
      </c>
      <c r="I148" s="58">
        <v>27854150</v>
      </c>
      <c r="J148" s="1">
        <v>13967680</v>
      </c>
      <c r="K148" s="1">
        <v>26154870</v>
      </c>
      <c r="L148" s="1"/>
      <c r="M148" s="1"/>
      <c r="N148" s="58">
        <f t="shared" si="137"/>
        <v>383972938.30000001</v>
      </c>
      <c r="P148" s="1">
        <f t="shared" si="138"/>
        <v>34906630.754545458</v>
      </c>
      <c r="Q148" s="1">
        <f t="shared" si="139"/>
        <v>-34906630.754545458</v>
      </c>
    </row>
    <row r="149" spans="1:17" x14ac:dyDescent="0.25">
      <c r="A149" s="112" t="s">
        <v>109</v>
      </c>
      <c r="B149" s="1">
        <v>39860269.659999996</v>
      </c>
      <c r="C149" s="1">
        <v>50039912.299999997</v>
      </c>
      <c r="D149" s="5">
        <v>119070965.51000001</v>
      </c>
      <c r="E149" s="1">
        <v>32569174</v>
      </c>
      <c r="F149" s="1">
        <v>104415723.54000001</v>
      </c>
      <c r="G149" s="1">
        <v>53384233</v>
      </c>
      <c r="H149" s="58">
        <v>102371087</v>
      </c>
      <c r="I149" s="58">
        <v>40532974</v>
      </c>
      <c r="J149" s="1">
        <v>73873420</v>
      </c>
      <c r="K149" s="1">
        <v>28642758.5</v>
      </c>
      <c r="L149" s="1"/>
      <c r="M149" s="1"/>
      <c r="N149" s="58">
        <f t="shared" si="137"/>
        <v>644760517.50999999</v>
      </c>
      <c r="P149" s="1">
        <f t="shared" si="138"/>
        <v>58614592.50090909</v>
      </c>
      <c r="Q149" s="1">
        <f t="shared" si="139"/>
        <v>-58614592.50090909</v>
      </c>
    </row>
    <row r="150" spans="1:17" x14ac:dyDescent="0.25">
      <c r="A150" s="112" t="s">
        <v>110</v>
      </c>
      <c r="B150" s="1">
        <v>0</v>
      </c>
      <c r="C150" s="1">
        <v>252635</v>
      </c>
      <c r="D150" s="5">
        <v>333245</v>
      </c>
      <c r="E150" s="1">
        <v>95125</v>
      </c>
      <c r="F150" s="1">
        <v>0</v>
      </c>
      <c r="G150" s="1">
        <v>45375</v>
      </c>
      <c r="H150" s="58">
        <v>0</v>
      </c>
      <c r="I150" s="58">
        <v>0</v>
      </c>
      <c r="J150" s="1">
        <v>0</v>
      </c>
      <c r="K150" s="1">
        <v>-450</v>
      </c>
      <c r="L150" s="1"/>
      <c r="M150" s="1"/>
      <c r="N150" s="58">
        <f t="shared" si="137"/>
        <v>725930</v>
      </c>
      <c r="P150" s="1">
        <f t="shared" si="138"/>
        <v>65993.636363636368</v>
      </c>
      <c r="Q150" s="1">
        <f t="shared" si="139"/>
        <v>-65993.636363636368</v>
      </c>
    </row>
    <row r="151" spans="1:17" x14ac:dyDescent="0.25">
      <c r="A151" s="171" t="s">
        <v>111</v>
      </c>
      <c r="B151" s="1">
        <v>0</v>
      </c>
      <c r="C151" s="1">
        <v>0</v>
      </c>
      <c r="D151" s="5">
        <v>0</v>
      </c>
      <c r="E151" s="1">
        <v>0</v>
      </c>
      <c r="F151" s="1">
        <v>0</v>
      </c>
      <c r="G151" s="1">
        <v>0</v>
      </c>
      <c r="H151" s="58">
        <v>187220</v>
      </c>
      <c r="I151" s="58">
        <v>0</v>
      </c>
      <c r="J151" s="1">
        <v>0</v>
      </c>
      <c r="K151" s="1">
        <v>0</v>
      </c>
      <c r="L151" s="1"/>
      <c r="M151" s="1"/>
      <c r="N151" s="58">
        <f t="shared" si="137"/>
        <v>187220</v>
      </c>
      <c r="P151" s="1">
        <f t="shared" si="138"/>
        <v>17020</v>
      </c>
      <c r="Q151" s="1">
        <f t="shared" si="139"/>
        <v>-17020</v>
      </c>
    </row>
    <row r="152" spans="1:17" x14ac:dyDescent="0.25">
      <c r="A152" s="112" t="s">
        <v>112</v>
      </c>
      <c r="B152" s="1">
        <v>-250773118.75999999</v>
      </c>
      <c r="C152" s="1">
        <v>-106292010.51000001</v>
      </c>
      <c r="D152" s="5">
        <v>-199926459.47999999</v>
      </c>
      <c r="E152" s="1">
        <v>-102886856.97</v>
      </c>
      <c r="F152" s="1">
        <v>-60969608.149999999</v>
      </c>
      <c r="G152" s="1">
        <v>-168909239.22</v>
      </c>
      <c r="H152" s="58">
        <v>-211950197.00999999</v>
      </c>
      <c r="I152" s="58">
        <v>-284906461.36000001</v>
      </c>
      <c r="J152" s="1">
        <v>-412764522.29000002</v>
      </c>
      <c r="K152" s="1">
        <v>-121881132.84</v>
      </c>
      <c r="L152" s="1"/>
      <c r="M152" s="1"/>
      <c r="N152" s="58">
        <f t="shared" si="137"/>
        <v>-1921259606.5899999</v>
      </c>
      <c r="P152" s="1">
        <f t="shared" si="138"/>
        <v>-174659964.23545453</v>
      </c>
      <c r="Q152" s="1">
        <f t="shared" si="139"/>
        <v>174659964.23545453</v>
      </c>
    </row>
    <row r="153" spans="1:17" x14ac:dyDescent="0.25">
      <c r="A153" s="112" t="s">
        <v>113</v>
      </c>
      <c r="B153" s="1">
        <v>-94616255.870000005</v>
      </c>
      <c r="C153" s="1">
        <v>-43709010</v>
      </c>
      <c r="D153" s="5">
        <v>-50522100</v>
      </c>
      <c r="E153" s="1">
        <v>-37084810</v>
      </c>
      <c r="F153" s="1">
        <v>-33297790</v>
      </c>
      <c r="G153" s="1">
        <v>-17687220</v>
      </c>
      <c r="H153" s="58">
        <v>-39772170</v>
      </c>
      <c r="I153" s="58">
        <v>-27463660</v>
      </c>
      <c r="J153" s="1">
        <v>-13825040</v>
      </c>
      <c r="K153" s="1">
        <v>-26658310</v>
      </c>
      <c r="L153" s="1"/>
      <c r="M153" s="1"/>
      <c r="N153" s="58">
        <f t="shared" si="137"/>
        <v>-384636365.87</v>
      </c>
      <c r="P153" s="1">
        <f t="shared" si="138"/>
        <v>-34966942.351818182</v>
      </c>
      <c r="Q153" s="1">
        <f t="shared" si="139"/>
        <v>34966942.351818182</v>
      </c>
    </row>
    <row r="154" spans="1:17" x14ac:dyDescent="0.25">
      <c r="A154" s="112" t="s">
        <v>114</v>
      </c>
      <c r="B154" s="1">
        <v>-39572318.009999998</v>
      </c>
      <c r="C154" s="1">
        <v>-54501789.609999999</v>
      </c>
      <c r="D154" s="5">
        <v>-119003409.98</v>
      </c>
      <c r="E154" s="1">
        <v>-35983600</v>
      </c>
      <c r="F154" s="1">
        <v>-104443889</v>
      </c>
      <c r="G154" s="1">
        <v>-60159775</v>
      </c>
      <c r="H154" s="58">
        <v>-104982039</v>
      </c>
      <c r="I154" s="58">
        <v>-44639850</v>
      </c>
      <c r="J154" s="1">
        <v>-74748600</v>
      </c>
      <c r="K154" s="1">
        <v>-34621450</v>
      </c>
      <c r="L154" s="1"/>
      <c r="M154" s="1"/>
      <c r="N154" s="58">
        <f t="shared" si="137"/>
        <v>-672656720.60000002</v>
      </c>
      <c r="P154" s="1">
        <f t="shared" si="138"/>
        <v>-61150610.963636369</v>
      </c>
      <c r="Q154" s="1">
        <f t="shared" si="139"/>
        <v>61150610.963636369</v>
      </c>
    </row>
    <row r="155" spans="1:17" x14ac:dyDescent="0.25">
      <c r="A155" s="112" t="s">
        <v>115</v>
      </c>
      <c r="B155" s="1">
        <v>0</v>
      </c>
      <c r="C155" s="1">
        <v>-248100</v>
      </c>
      <c r="D155" s="5">
        <v>-337135</v>
      </c>
      <c r="E155" s="1">
        <v>-95680</v>
      </c>
      <c r="F155" s="1">
        <v>0</v>
      </c>
      <c r="G155" s="1">
        <v>-43600</v>
      </c>
      <c r="H155" s="58">
        <v>0</v>
      </c>
      <c r="I155" s="58">
        <v>0</v>
      </c>
      <c r="J155" s="1">
        <v>0</v>
      </c>
      <c r="K155" s="1"/>
      <c r="L155" s="1"/>
      <c r="M155" s="1"/>
      <c r="N155" s="58">
        <f t="shared" si="137"/>
        <v>-724515</v>
      </c>
      <c r="P155" s="1">
        <f t="shared" si="138"/>
        <v>-65865</v>
      </c>
      <c r="Q155" s="1">
        <f t="shared" si="139"/>
        <v>65865</v>
      </c>
    </row>
    <row r="156" spans="1:17" x14ac:dyDescent="0.25">
      <c r="A156" s="171" t="s">
        <v>116</v>
      </c>
      <c r="B156" s="1">
        <v>0</v>
      </c>
      <c r="C156" s="1">
        <v>0</v>
      </c>
      <c r="D156" s="5">
        <v>0</v>
      </c>
      <c r="E156" s="1">
        <v>0</v>
      </c>
      <c r="F156" s="1">
        <v>0</v>
      </c>
      <c r="G156" s="1">
        <v>0</v>
      </c>
      <c r="H156" s="58">
        <v>-188100</v>
      </c>
      <c r="I156" s="58">
        <v>0</v>
      </c>
      <c r="J156" s="1">
        <v>0</v>
      </c>
      <c r="K156" s="1"/>
      <c r="L156" s="1"/>
      <c r="M156" s="1"/>
      <c r="N156" s="58">
        <f t="shared" si="137"/>
        <v>-188100</v>
      </c>
      <c r="P156" s="1">
        <f t="shared" si="138"/>
        <v>-17100</v>
      </c>
      <c r="Q156" s="1">
        <f t="shared" si="139"/>
        <v>17100</v>
      </c>
    </row>
    <row r="157" spans="1:17" x14ac:dyDescent="0.25">
      <c r="A157" s="112" t="s">
        <v>117</v>
      </c>
      <c r="B157" s="1">
        <v>246469534.72</v>
      </c>
      <c r="C157" s="1">
        <v>106061841.73</v>
      </c>
      <c r="D157" s="5">
        <v>199824413.44</v>
      </c>
      <c r="E157" s="1">
        <v>102901638.84999999</v>
      </c>
      <c r="F157" s="1">
        <v>61067887.670000002</v>
      </c>
      <c r="G157" s="1">
        <v>169335911.84</v>
      </c>
      <c r="H157" s="58">
        <v>212243315.12</v>
      </c>
      <c r="I157" s="58">
        <v>285234425.79000002</v>
      </c>
      <c r="J157" s="1">
        <v>413041926.32999998</v>
      </c>
      <c r="K157" s="1">
        <v>121510314.61</v>
      </c>
      <c r="L157" s="1"/>
      <c r="M157" s="1"/>
      <c r="N157" s="58">
        <f t="shared" si="137"/>
        <v>1917691210.0999997</v>
      </c>
      <c r="P157" s="1">
        <f t="shared" si="138"/>
        <v>174335564.55454543</v>
      </c>
      <c r="Q157" s="1">
        <f t="shared" si="139"/>
        <v>-174335564.55454543</v>
      </c>
    </row>
    <row r="158" spans="1:17" x14ac:dyDescent="0.25">
      <c r="A158" s="112" t="s">
        <v>118</v>
      </c>
      <c r="B158" s="1">
        <v>57035597.560000002</v>
      </c>
      <c r="C158" s="1">
        <v>15207183.189999999</v>
      </c>
      <c r="D158" s="5">
        <v>56539241.420000002</v>
      </c>
      <c r="E158" s="1">
        <v>530220449.82999998</v>
      </c>
      <c r="F158" s="1">
        <v>504763748.92000002</v>
      </c>
      <c r="G158" s="1">
        <v>868361816.95000005</v>
      </c>
      <c r="H158" s="58">
        <v>303826130.91000003</v>
      </c>
      <c r="I158" s="58">
        <v>310975719.51999998</v>
      </c>
      <c r="J158" s="1">
        <v>122798210.73</v>
      </c>
      <c r="K158" s="1">
        <v>1251003800.6199999</v>
      </c>
      <c r="L158" s="1"/>
      <c r="M158" s="1"/>
      <c r="N158" s="58">
        <f t="shared" si="137"/>
        <v>4020731899.6500001</v>
      </c>
      <c r="P158" s="1">
        <f t="shared" si="138"/>
        <v>365521081.78636366</v>
      </c>
      <c r="Q158" s="1">
        <f t="shared" si="139"/>
        <v>-365521081.78636366</v>
      </c>
    </row>
    <row r="159" spans="1:17" x14ac:dyDescent="0.25">
      <c r="A159" s="112" t="s">
        <v>119</v>
      </c>
      <c r="B159" s="1">
        <v>598572.09</v>
      </c>
      <c r="C159" s="1">
        <v>1754577.38</v>
      </c>
      <c r="D159" s="5">
        <v>588811.42000000004</v>
      </c>
      <c r="E159" s="1">
        <v>283948.55</v>
      </c>
      <c r="F159" s="1">
        <v>707796.87</v>
      </c>
      <c r="G159" s="1">
        <v>1284752.46</v>
      </c>
      <c r="H159" s="58">
        <v>497824.77</v>
      </c>
      <c r="I159" s="58">
        <v>795083.58</v>
      </c>
      <c r="J159" s="1">
        <v>408056.53</v>
      </c>
      <c r="K159" s="1">
        <v>560986.71</v>
      </c>
      <c r="L159" s="1"/>
      <c r="M159" s="1"/>
      <c r="N159" s="58">
        <f t="shared" si="137"/>
        <v>7480410.3599999994</v>
      </c>
      <c r="P159" s="1">
        <f t="shared" si="138"/>
        <v>680037.30545454542</v>
      </c>
      <c r="Q159" s="1">
        <f t="shared" si="139"/>
        <v>-680037.30545454542</v>
      </c>
    </row>
    <row r="160" spans="1:17" x14ac:dyDescent="0.25">
      <c r="A160" s="112" t="s">
        <v>120</v>
      </c>
      <c r="B160" s="1">
        <v>223864.49</v>
      </c>
      <c r="C160" s="1">
        <v>0</v>
      </c>
      <c r="D160" s="5">
        <v>6537.06</v>
      </c>
      <c r="E160" s="1">
        <v>918411.8</v>
      </c>
      <c r="F160" s="1">
        <v>48550</v>
      </c>
      <c r="G160" s="1">
        <v>0</v>
      </c>
      <c r="H160" s="58">
        <v>28932.61</v>
      </c>
      <c r="I160" s="58">
        <v>247481.95</v>
      </c>
      <c r="J160" s="1">
        <v>1006564.16</v>
      </c>
      <c r="K160" s="1">
        <v>1706376.64</v>
      </c>
      <c r="L160" s="1"/>
      <c r="M160" s="1"/>
      <c r="N160" s="58">
        <f t="shared" si="137"/>
        <v>4186718.71</v>
      </c>
      <c r="P160" s="1">
        <f t="shared" si="138"/>
        <v>380610.79181818181</v>
      </c>
      <c r="Q160" s="1">
        <f t="shared" si="139"/>
        <v>-380610.79181818181</v>
      </c>
    </row>
    <row r="161" spans="1:17" x14ac:dyDescent="0.25">
      <c r="A161" s="112" t="s">
        <v>121</v>
      </c>
      <c r="B161" s="1">
        <v>170622.29</v>
      </c>
      <c r="C161" s="1">
        <v>-355074.95</v>
      </c>
      <c r="D161" s="5">
        <v>93202.33</v>
      </c>
      <c r="E161" s="1">
        <v>151429.5</v>
      </c>
      <c r="F161" s="1">
        <v>472954.71</v>
      </c>
      <c r="G161" s="1">
        <v>-437756.06</v>
      </c>
      <c r="H161" s="58">
        <v>118154.22</v>
      </c>
      <c r="I161" s="58">
        <v>-187544.92</v>
      </c>
      <c r="J161" s="1">
        <v>302364.55</v>
      </c>
      <c r="K161" s="1">
        <v>-12638.04</v>
      </c>
      <c r="L161" s="1"/>
      <c r="M161" s="1"/>
      <c r="N161" s="58">
        <f t="shared" si="137"/>
        <v>315713.63</v>
      </c>
      <c r="P161" s="1">
        <f t="shared" si="138"/>
        <v>28701.23909090909</v>
      </c>
      <c r="Q161" s="1">
        <f t="shared" si="139"/>
        <v>-28701.23909090909</v>
      </c>
    </row>
    <row r="162" spans="1:17" x14ac:dyDescent="0.25">
      <c r="A162" s="112" t="s">
        <v>122</v>
      </c>
      <c r="B162" s="1">
        <v>-126361.61</v>
      </c>
      <c r="C162" s="1">
        <v>-158081.74</v>
      </c>
      <c r="D162" s="5">
        <v>-293026.18</v>
      </c>
      <c r="E162" s="1">
        <v>10452.620000000001</v>
      </c>
      <c r="F162" s="1">
        <v>175404.24</v>
      </c>
      <c r="G162" s="1">
        <v>14443.59</v>
      </c>
      <c r="H162" s="58">
        <v>-416683.86</v>
      </c>
      <c r="I162" s="58">
        <v>-13303.72</v>
      </c>
      <c r="J162" s="1">
        <v>102066.31</v>
      </c>
      <c r="K162" s="1">
        <v>-57904306.450000003</v>
      </c>
      <c r="L162" s="1"/>
      <c r="M162" s="1"/>
      <c r="N162" s="58">
        <f t="shared" si="137"/>
        <v>-58609396.800000004</v>
      </c>
      <c r="P162" s="1">
        <f t="shared" si="138"/>
        <v>-5328126.9818181824</v>
      </c>
      <c r="Q162" s="1">
        <f t="shared" si="139"/>
        <v>5328126.9818181824</v>
      </c>
    </row>
    <row r="163" spans="1:17" x14ac:dyDescent="0.25">
      <c r="A163" s="112" t="s">
        <v>123</v>
      </c>
      <c r="B163" s="1">
        <v>18221.580000000002</v>
      </c>
      <c r="C163" s="1">
        <v>-143.22</v>
      </c>
      <c r="D163" s="5">
        <v>554.66999999999996</v>
      </c>
      <c r="E163" s="1">
        <v>-4571.0200000000004</v>
      </c>
      <c r="F163" s="1">
        <v>42.88</v>
      </c>
      <c r="G163" s="1">
        <v>-5187.8100000000004</v>
      </c>
      <c r="H163" s="58">
        <v>-12485.88</v>
      </c>
      <c r="I163" s="58">
        <v>-3196.33</v>
      </c>
      <c r="J163" s="1">
        <v>50315.040000000001</v>
      </c>
      <c r="K163" s="1">
        <v>-2189.91</v>
      </c>
      <c r="L163" s="1"/>
      <c r="M163" s="1"/>
      <c r="N163" s="58">
        <f t="shared" si="137"/>
        <v>41360</v>
      </c>
      <c r="P163" s="1">
        <f t="shared" si="138"/>
        <v>3760</v>
      </c>
      <c r="Q163" s="1">
        <f t="shared" si="139"/>
        <v>-3760</v>
      </c>
    </row>
    <row r="164" spans="1:17" x14ac:dyDescent="0.25">
      <c r="A164" s="112" t="s">
        <v>124</v>
      </c>
      <c r="B164" s="1">
        <v>5399.7</v>
      </c>
      <c r="C164" s="1">
        <v>-3149.21</v>
      </c>
      <c r="D164" s="5">
        <v>6568.13</v>
      </c>
      <c r="E164" s="1">
        <v>405.19</v>
      </c>
      <c r="F164" s="1">
        <v>-182869.11</v>
      </c>
      <c r="G164" s="1">
        <v>-387.53</v>
      </c>
      <c r="H164" s="58">
        <v>-158271.75</v>
      </c>
      <c r="I164" s="58">
        <v>0</v>
      </c>
      <c r="J164" s="1">
        <v>-1562</v>
      </c>
      <c r="K164" s="1">
        <v>0</v>
      </c>
      <c r="L164" s="1"/>
      <c r="M164" s="1"/>
      <c r="N164" s="58">
        <f t="shared" si="137"/>
        <v>-333866.57999999996</v>
      </c>
      <c r="P164" s="1">
        <f t="shared" si="138"/>
        <v>-30351.507272727267</v>
      </c>
      <c r="Q164" s="1">
        <f t="shared" si="139"/>
        <v>30351.507272727267</v>
      </c>
    </row>
    <row r="165" spans="1:17" x14ac:dyDescent="0.25">
      <c r="A165" s="112" t="s">
        <v>125</v>
      </c>
      <c r="B165" s="1">
        <v>-57233909.109999999</v>
      </c>
      <c r="C165" s="1">
        <v>-15348255</v>
      </c>
      <c r="D165" s="5">
        <v>-56465326.530000001</v>
      </c>
      <c r="E165" s="1">
        <v>-529777770.38</v>
      </c>
      <c r="F165" s="1">
        <v>-504081581.20999998</v>
      </c>
      <c r="G165" s="1">
        <v>-867014981.53999996</v>
      </c>
      <c r="H165" s="58">
        <v>-299329589.75</v>
      </c>
      <c r="I165" s="58">
        <v>-310814046.86000001</v>
      </c>
      <c r="J165" s="1">
        <v>-122133504.51000001</v>
      </c>
      <c r="K165" s="1">
        <v>-1249266848.22</v>
      </c>
      <c r="L165" s="1"/>
      <c r="M165" s="1"/>
      <c r="N165" s="58">
        <f t="shared" si="137"/>
        <v>-4011465813.1100006</v>
      </c>
      <c r="P165" s="1">
        <f t="shared" si="138"/>
        <v>-364678710.2827273</v>
      </c>
      <c r="Q165" s="1">
        <f t="shared" si="139"/>
        <v>364678710.2827273</v>
      </c>
    </row>
    <row r="166" spans="1:17" x14ac:dyDescent="0.25">
      <c r="A166" s="112" t="s">
        <v>432</v>
      </c>
      <c r="B166" s="1">
        <v>0</v>
      </c>
      <c r="C166" s="1">
        <v>0</v>
      </c>
      <c r="D166" s="5">
        <v>0</v>
      </c>
      <c r="E166" s="1">
        <v>0</v>
      </c>
      <c r="F166" s="1">
        <v>0</v>
      </c>
      <c r="G166" s="1">
        <v>-3537.84</v>
      </c>
      <c r="H166" s="58">
        <v>-1594.95</v>
      </c>
      <c r="I166" s="58">
        <v>1143.75</v>
      </c>
      <c r="J166" s="1">
        <v>182.18</v>
      </c>
      <c r="K166" s="1">
        <v>3603.34</v>
      </c>
      <c r="L166" s="1"/>
      <c r="M166" s="1"/>
      <c r="N166" s="58">
        <f t="shared" si="137"/>
        <v>-203.51999999999998</v>
      </c>
      <c r="P166" s="1"/>
      <c r="Q166" s="1"/>
    </row>
    <row r="167" spans="1:17" x14ac:dyDescent="0.25">
      <c r="A167" s="112" t="s">
        <v>126</v>
      </c>
      <c r="B167" s="1">
        <v>-626650</v>
      </c>
      <c r="C167" s="1">
        <v>-1795920</v>
      </c>
      <c r="D167" s="5">
        <v>-616939.36</v>
      </c>
      <c r="E167" s="1">
        <v>-282900</v>
      </c>
      <c r="F167" s="1">
        <v>-694270</v>
      </c>
      <c r="G167" s="1">
        <v>-1256000</v>
      </c>
      <c r="H167" s="58">
        <v>-513970.45</v>
      </c>
      <c r="I167" s="58">
        <v>-801420</v>
      </c>
      <c r="J167" s="1">
        <v>-444817</v>
      </c>
      <c r="K167" s="1">
        <v>-573800</v>
      </c>
      <c r="L167" s="1"/>
      <c r="M167" s="1"/>
      <c r="N167" s="58">
        <f t="shared" si="137"/>
        <v>-7606686.8099999996</v>
      </c>
      <c r="P167" s="1">
        <f t="shared" si="138"/>
        <v>-691516.98272727267</v>
      </c>
      <c r="Q167" s="1">
        <f t="shared" si="139"/>
        <v>691516.98272727267</v>
      </c>
    </row>
    <row r="168" spans="1:17" x14ac:dyDescent="0.25">
      <c r="A168" s="112" t="s">
        <v>127</v>
      </c>
      <c r="B168" s="1">
        <v>2230495.09</v>
      </c>
      <c r="C168" s="1">
        <v>157077.15</v>
      </c>
      <c r="D168" s="5">
        <v>273729.07</v>
      </c>
      <c r="E168" s="1">
        <v>307005.37</v>
      </c>
      <c r="F168" s="1">
        <v>-462524.73</v>
      </c>
      <c r="G168" s="1">
        <v>-239021.09</v>
      </c>
      <c r="H168" s="58">
        <v>-273397.37</v>
      </c>
      <c r="I168" s="58">
        <v>-459773.78</v>
      </c>
      <c r="J168" s="1">
        <v>-12461.47</v>
      </c>
      <c r="K168" s="1">
        <v>44458.32</v>
      </c>
      <c r="L168" s="1"/>
      <c r="M168" s="1"/>
      <c r="N168" s="58">
        <f t="shared" si="137"/>
        <v>1565586.5599999998</v>
      </c>
      <c r="P168" s="1">
        <f t="shared" si="138"/>
        <v>142326.0509090909</v>
      </c>
      <c r="Q168" s="1">
        <f t="shared" si="139"/>
        <v>-142326.0509090909</v>
      </c>
    </row>
    <row r="169" spans="1:17" x14ac:dyDescent="0.25">
      <c r="A169" s="112" t="s">
        <v>128</v>
      </c>
      <c r="B169" s="1">
        <v>132999.03</v>
      </c>
      <c r="C169" s="1">
        <v>1861.72</v>
      </c>
      <c r="D169" s="5">
        <v>104613.37</v>
      </c>
      <c r="E169" s="1">
        <v>1487036.54</v>
      </c>
      <c r="F169" s="1">
        <v>-195552.97</v>
      </c>
      <c r="G169" s="1">
        <v>-463703.41</v>
      </c>
      <c r="H169" s="58">
        <v>-388902.1</v>
      </c>
      <c r="I169" s="58">
        <v>-516832.24</v>
      </c>
      <c r="J169" s="1">
        <v>-517332.49</v>
      </c>
      <c r="K169" s="1">
        <v>-228957.51</v>
      </c>
      <c r="L169" s="1"/>
      <c r="M169" s="1"/>
      <c r="N169" s="58">
        <f t="shared" si="137"/>
        <v>-584770.05999999971</v>
      </c>
      <c r="P169" s="1">
        <f t="shared" si="138"/>
        <v>-53160.914545454521</v>
      </c>
      <c r="Q169" s="1">
        <f t="shared" si="139"/>
        <v>53160.914545454521</v>
      </c>
    </row>
    <row r="170" spans="1:17" x14ac:dyDescent="0.25">
      <c r="A170" s="112" t="s">
        <v>129</v>
      </c>
      <c r="B170" s="1">
        <v>48155.93</v>
      </c>
      <c r="C170" s="1">
        <v>51045.58</v>
      </c>
      <c r="D170" s="5">
        <v>0</v>
      </c>
      <c r="E170" s="1">
        <v>12980.84</v>
      </c>
      <c r="F170" s="1">
        <v>75.5</v>
      </c>
      <c r="G170" s="1">
        <v>0</v>
      </c>
      <c r="H170" s="58">
        <v>-13005.34</v>
      </c>
      <c r="I170" s="58">
        <v>20986.639999999999</v>
      </c>
      <c r="J170" s="1">
        <v>20965.86</v>
      </c>
      <c r="K170" s="1">
        <v>25.8</v>
      </c>
      <c r="L170" s="1"/>
      <c r="M170" s="1"/>
      <c r="N170" s="58">
        <f t="shared" si="137"/>
        <v>141230.81</v>
      </c>
      <c r="P170" s="1">
        <f t="shared" si="138"/>
        <v>12839.164545454545</v>
      </c>
      <c r="Q170" s="1">
        <f t="shared" si="139"/>
        <v>-12839.164545454545</v>
      </c>
    </row>
    <row r="171" spans="1:17" x14ac:dyDescent="0.25">
      <c r="A171" s="112" t="s">
        <v>130</v>
      </c>
      <c r="B171" s="1">
        <v>888979.59</v>
      </c>
      <c r="C171" s="1">
        <v>5499.6</v>
      </c>
      <c r="D171" s="5">
        <v>-2025.65</v>
      </c>
      <c r="E171" s="1">
        <v>-2516.61</v>
      </c>
      <c r="F171" s="1">
        <v>174609.93</v>
      </c>
      <c r="G171" s="1">
        <v>-356.02</v>
      </c>
      <c r="H171" s="58">
        <v>108192.24</v>
      </c>
      <c r="I171" s="58">
        <v>23422.84</v>
      </c>
      <c r="J171" s="1">
        <v>40194.65</v>
      </c>
      <c r="K171" s="1">
        <v>21708.07</v>
      </c>
      <c r="L171" s="1"/>
      <c r="M171" s="1"/>
      <c r="N171" s="58">
        <f t="shared" si="137"/>
        <v>1257708.6399999999</v>
      </c>
      <c r="P171" s="1">
        <f t="shared" si="138"/>
        <v>114337.14909090908</v>
      </c>
      <c r="Q171" s="1">
        <f t="shared" si="139"/>
        <v>-114337.14909090908</v>
      </c>
    </row>
    <row r="172" spans="1:17" x14ac:dyDescent="0.25">
      <c r="A172" s="112" t="s">
        <v>131</v>
      </c>
      <c r="B172" s="1">
        <v>-241780</v>
      </c>
      <c r="C172" s="1">
        <v>0</v>
      </c>
      <c r="D172" s="5">
        <v>-42034.45</v>
      </c>
      <c r="E172" s="1">
        <f>-916350</f>
        <v>-916350</v>
      </c>
      <c r="F172" s="1">
        <v>-48550</v>
      </c>
      <c r="G172" s="1">
        <v>0</v>
      </c>
      <c r="H172" s="58">
        <v>-48901.66</v>
      </c>
      <c r="I172" s="58">
        <v>-228900</v>
      </c>
      <c r="J172" s="1">
        <v>-1036340</v>
      </c>
      <c r="K172" s="1">
        <v>-1764374.14</v>
      </c>
      <c r="L172" s="1"/>
      <c r="M172" s="1"/>
      <c r="N172" s="58">
        <f t="shared" si="137"/>
        <v>-4327230.25</v>
      </c>
      <c r="P172" s="1">
        <f t="shared" si="138"/>
        <v>-393384.56818181818</v>
      </c>
      <c r="Q172" s="1">
        <f t="shared" si="139"/>
        <v>393384.56818181818</v>
      </c>
    </row>
    <row r="173" spans="1:17" x14ac:dyDescent="0.25">
      <c r="A173" s="112" t="s">
        <v>132</v>
      </c>
      <c r="B173" s="1">
        <v>0</v>
      </c>
      <c r="C173" s="1">
        <v>800</v>
      </c>
      <c r="D173" s="5">
        <v>0</v>
      </c>
      <c r="E173" s="1">
        <v>0</v>
      </c>
      <c r="F173" s="1">
        <v>0</v>
      </c>
      <c r="G173" s="1">
        <v>0</v>
      </c>
      <c r="H173" s="58">
        <v>0</v>
      </c>
      <c r="I173" s="58">
        <v>0</v>
      </c>
      <c r="J173" s="1">
        <v>0</v>
      </c>
      <c r="K173" s="1">
        <v>0</v>
      </c>
      <c r="L173" s="1"/>
      <c r="M173" s="1"/>
      <c r="N173" s="58">
        <f t="shared" si="137"/>
        <v>800</v>
      </c>
      <c r="P173" s="1">
        <f t="shared" si="138"/>
        <v>72.727272727272734</v>
      </c>
      <c r="Q173" s="1">
        <f t="shared" si="139"/>
        <v>-72.727272727272734</v>
      </c>
    </row>
    <row r="174" spans="1:17" x14ac:dyDescent="0.25">
      <c r="A174" s="112" t="s">
        <v>133</v>
      </c>
      <c r="B174" s="1">
        <v>2682.05</v>
      </c>
      <c r="C174" s="1">
        <v>-1617.38</v>
      </c>
      <c r="D174" s="5">
        <v>5756.07</v>
      </c>
      <c r="E174" s="1">
        <v>9048.32</v>
      </c>
      <c r="F174" s="1">
        <v>11168.19</v>
      </c>
      <c r="G174" s="1">
        <v>3721.59</v>
      </c>
      <c r="H174" s="58">
        <v>6172.25</v>
      </c>
      <c r="I174" s="58">
        <v>7102.98</v>
      </c>
      <c r="J174" s="1">
        <v>7169.65</v>
      </c>
      <c r="K174" s="1">
        <v>9614.02</v>
      </c>
      <c r="L174" s="1"/>
      <c r="M174" s="1"/>
      <c r="N174" s="58">
        <f t="shared" si="137"/>
        <v>60817.739999999991</v>
      </c>
      <c r="P174" s="1">
        <f t="shared" si="138"/>
        <v>5528.8854545454533</v>
      </c>
      <c r="Q174" s="1">
        <f t="shared" si="139"/>
        <v>-5528.8854545454533</v>
      </c>
    </row>
    <row r="175" spans="1:17" x14ac:dyDescent="0.25">
      <c r="A175" s="112" t="s">
        <v>134</v>
      </c>
      <c r="B175" s="1">
        <v>5000</v>
      </c>
      <c r="C175" s="1">
        <v>16772.5</v>
      </c>
      <c r="D175" s="5">
        <v>-6772.5</v>
      </c>
      <c r="E175" s="1">
        <v>5000</v>
      </c>
      <c r="F175" s="1">
        <v>5000</v>
      </c>
      <c r="G175" s="1">
        <v>5000</v>
      </c>
      <c r="H175" s="58">
        <v>5000</v>
      </c>
      <c r="I175" s="58">
        <v>5000</v>
      </c>
      <c r="J175" s="1">
        <v>5000</v>
      </c>
      <c r="K175" s="1">
        <v>5000</v>
      </c>
      <c r="L175" s="1"/>
      <c r="M175" s="1"/>
      <c r="N175" s="58">
        <f t="shared" si="137"/>
        <v>50000</v>
      </c>
      <c r="P175" s="1">
        <f t="shared" si="138"/>
        <v>4545.454545454545</v>
      </c>
      <c r="Q175" s="1">
        <f t="shared" si="139"/>
        <v>-4545.454545454545</v>
      </c>
    </row>
    <row r="176" spans="1:17" x14ac:dyDescent="0.25">
      <c r="A176" s="112" t="s">
        <v>135</v>
      </c>
      <c r="B176" s="1">
        <v>0</v>
      </c>
      <c r="C176" s="1">
        <v>0</v>
      </c>
      <c r="D176" s="5">
        <v>0</v>
      </c>
      <c r="E176" s="1">
        <v>0</v>
      </c>
      <c r="F176" s="1">
        <v>0</v>
      </c>
      <c r="G176" s="1">
        <v>0</v>
      </c>
      <c r="H176" s="58">
        <v>0</v>
      </c>
      <c r="I176" s="58">
        <v>0</v>
      </c>
      <c r="J176" s="1">
        <v>160</v>
      </c>
      <c r="K176" s="1"/>
      <c r="L176" s="1"/>
      <c r="M176" s="1"/>
      <c r="N176" s="58">
        <f t="shared" si="137"/>
        <v>160</v>
      </c>
      <c r="P176" s="1">
        <f t="shared" si="138"/>
        <v>14.545454545454545</v>
      </c>
      <c r="Q176" s="1">
        <f t="shared" si="139"/>
        <v>-14.545454545454545</v>
      </c>
    </row>
    <row r="177" spans="1:17" x14ac:dyDescent="0.25">
      <c r="A177" s="112" t="s">
        <v>136</v>
      </c>
      <c r="B177" s="1">
        <v>20620</v>
      </c>
      <c r="C177" s="1">
        <v>1150</v>
      </c>
      <c r="D177" s="5">
        <v>0</v>
      </c>
      <c r="E177" s="1">
        <v>0</v>
      </c>
      <c r="F177" s="1">
        <v>158944.68</v>
      </c>
      <c r="G177" s="1">
        <v>1357.06</v>
      </c>
      <c r="H177" s="58">
        <v>-3040</v>
      </c>
      <c r="I177" s="58">
        <v>10319.799999999999</v>
      </c>
      <c r="J177" s="1">
        <v>1091.1099999999999</v>
      </c>
      <c r="K177" s="1">
        <v>294.55</v>
      </c>
      <c r="L177" s="1"/>
      <c r="M177" s="1"/>
      <c r="N177" s="58">
        <f t="shared" si="137"/>
        <v>190737.19999999995</v>
      </c>
      <c r="P177" s="1">
        <f t="shared" si="138"/>
        <v>17339.745454545449</v>
      </c>
      <c r="Q177" s="1">
        <f t="shared" si="139"/>
        <v>-17339.745454545449</v>
      </c>
    </row>
    <row r="178" spans="1:17" x14ac:dyDescent="0.25">
      <c r="A178" s="112" t="s">
        <v>137</v>
      </c>
      <c r="B178" s="40">
        <v>2910296.13</v>
      </c>
      <c r="C178" s="40">
        <v>1651163.39</v>
      </c>
      <c r="D178" s="41">
        <v>-414097.59</v>
      </c>
      <c r="E178" s="42">
        <v>959937.83</v>
      </c>
      <c r="F178" s="42">
        <v>-3014399.59</v>
      </c>
      <c r="G178" s="40">
        <v>3160990.11</v>
      </c>
      <c r="H178" s="40">
        <v>-6973390.4900000002</v>
      </c>
      <c r="I178" s="40">
        <v>-1655327.37</v>
      </c>
      <c r="J178" s="40">
        <v>-13587496.02</v>
      </c>
      <c r="K178" s="40">
        <v>0</v>
      </c>
      <c r="L178" s="40"/>
      <c r="M178" s="40"/>
      <c r="N178" s="58">
        <f t="shared" ref="N178:N195" si="140">SUM(B178:M178)</f>
        <v>-16962323.600000001</v>
      </c>
      <c r="P178" s="43">
        <f t="shared" si="138"/>
        <v>-1542029.4181818182</v>
      </c>
      <c r="Q178" s="43">
        <f t="shared" si="139"/>
        <v>1542029.4181818182</v>
      </c>
    </row>
    <row r="179" spans="1:17" x14ac:dyDescent="0.25">
      <c r="A179" s="112" t="s">
        <v>138</v>
      </c>
      <c r="B179" s="1">
        <v>28233.33</v>
      </c>
      <c r="C179" s="1">
        <v>28233.33</v>
      </c>
      <c r="D179" s="5">
        <v>28595.83</v>
      </c>
      <c r="E179" s="1">
        <v>28233.33</v>
      </c>
      <c r="F179" s="1">
        <v>28233.33</v>
      </c>
      <c r="G179" s="1">
        <v>7627.91</v>
      </c>
      <c r="H179" s="58">
        <v>28233.33</v>
      </c>
      <c r="I179" s="58">
        <v>28233.33</v>
      </c>
      <c r="J179" s="1">
        <v>28233.33</v>
      </c>
      <c r="K179" s="1">
        <v>28233.33</v>
      </c>
      <c r="L179" s="1"/>
      <c r="M179" s="1"/>
      <c r="N179" s="58">
        <f t="shared" si="140"/>
        <v>262090.38000000006</v>
      </c>
      <c r="P179" s="1">
        <f t="shared" si="138"/>
        <v>23826.398181818189</v>
      </c>
      <c r="Q179" s="1">
        <f t="shared" si="139"/>
        <v>-23826.398181818189</v>
      </c>
    </row>
    <row r="180" spans="1:17" x14ac:dyDescent="0.25">
      <c r="A180" s="112" t="s">
        <v>139</v>
      </c>
      <c r="B180" s="1">
        <v>0</v>
      </c>
      <c r="C180" s="1">
        <v>878</v>
      </c>
      <c r="D180" s="5">
        <v>0</v>
      </c>
      <c r="E180" s="1">
        <v>0</v>
      </c>
      <c r="F180" s="1">
        <v>620</v>
      </c>
      <c r="G180" s="1">
        <v>0</v>
      </c>
      <c r="H180" s="58">
        <v>12</v>
      </c>
      <c r="I180" s="58">
        <v>0</v>
      </c>
      <c r="J180" s="1">
        <v>0</v>
      </c>
      <c r="K180" s="1">
        <v>0</v>
      </c>
      <c r="L180" s="1"/>
      <c r="M180" s="1"/>
      <c r="N180" s="58">
        <f t="shared" si="140"/>
        <v>1510</v>
      </c>
      <c r="P180" s="1">
        <f t="shared" si="138"/>
        <v>137.27272727272728</v>
      </c>
      <c r="Q180" s="1">
        <f t="shared" si="139"/>
        <v>-137.27272727272728</v>
      </c>
    </row>
    <row r="181" spans="1:17" x14ac:dyDescent="0.25">
      <c r="A181" s="112" t="s">
        <v>140</v>
      </c>
      <c r="B181" s="1">
        <v>935.34</v>
      </c>
      <c r="C181" s="1">
        <v>6097.82</v>
      </c>
      <c r="D181" s="5">
        <v>0</v>
      </c>
      <c r="E181" s="1">
        <v>924</v>
      </c>
      <c r="F181" s="1">
        <v>0</v>
      </c>
      <c r="G181" s="1">
        <v>0</v>
      </c>
      <c r="H181" s="58">
        <v>0</v>
      </c>
      <c r="I181" s="58">
        <v>6764.11</v>
      </c>
      <c r="J181" s="1">
        <v>0</v>
      </c>
      <c r="K181" s="1">
        <v>6256.21</v>
      </c>
      <c r="L181" s="1"/>
      <c r="M181" s="1"/>
      <c r="N181" s="58">
        <f t="shared" si="140"/>
        <v>20977.48</v>
      </c>
      <c r="P181" s="1">
        <f t="shared" si="138"/>
        <v>1907.0436363636363</v>
      </c>
      <c r="Q181" s="1">
        <f t="shared" si="139"/>
        <v>-1907.0436363636363</v>
      </c>
    </row>
    <row r="182" spans="1:17" x14ac:dyDescent="0.25">
      <c r="A182" s="112" t="s">
        <v>141</v>
      </c>
      <c r="B182" s="1">
        <v>13984.01</v>
      </c>
      <c r="C182" s="1">
        <v>16090.71</v>
      </c>
      <c r="D182" s="5">
        <v>17832.23</v>
      </c>
      <c r="E182" s="1">
        <v>16363.64</v>
      </c>
      <c r="F182" s="1">
        <v>18902.009999999998</v>
      </c>
      <c r="G182" s="1">
        <v>15846.75</v>
      </c>
      <c r="H182" s="58">
        <v>13522.84</v>
      </c>
      <c r="I182" s="58">
        <v>14007.24</v>
      </c>
      <c r="J182" s="1">
        <v>8848.61</v>
      </c>
      <c r="K182" s="1">
        <v>22497</v>
      </c>
      <c r="L182" s="1"/>
      <c r="M182" s="1"/>
      <c r="N182" s="58">
        <f t="shared" si="140"/>
        <v>157895.03999999998</v>
      </c>
      <c r="P182" s="1">
        <f t="shared" si="138"/>
        <v>14354.094545454544</v>
      </c>
      <c r="Q182" s="1">
        <f t="shared" si="139"/>
        <v>-14354.094545454544</v>
      </c>
    </row>
    <row r="183" spans="1:17" x14ac:dyDescent="0.25">
      <c r="A183" s="112" t="s">
        <v>142</v>
      </c>
      <c r="B183" s="1">
        <v>0</v>
      </c>
      <c r="C183" s="1">
        <v>2779.92</v>
      </c>
      <c r="D183" s="5">
        <v>3901.48</v>
      </c>
      <c r="E183" s="1">
        <v>3738.32</v>
      </c>
      <c r="F183" s="1">
        <v>2514.86</v>
      </c>
      <c r="G183" s="1">
        <v>3378.54</v>
      </c>
      <c r="H183" s="58">
        <v>1013.2</v>
      </c>
      <c r="I183" s="58">
        <v>2380.56</v>
      </c>
      <c r="J183" s="1">
        <v>1769.04</v>
      </c>
      <c r="K183" s="1">
        <v>5497</v>
      </c>
      <c r="L183" s="1"/>
      <c r="M183" s="1"/>
      <c r="N183" s="58">
        <f t="shared" si="140"/>
        <v>26972.920000000002</v>
      </c>
      <c r="P183" s="1">
        <f t="shared" si="138"/>
        <v>2452.0836363636367</v>
      </c>
      <c r="Q183" s="1">
        <f t="shared" si="139"/>
        <v>-2452.0836363636367</v>
      </c>
    </row>
    <row r="184" spans="1:17" x14ac:dyDescent="0.25">
      <c r="A184" s="112" t="s">
        <v>143</v>
      </c>
      <c r="B184" s="1">
        <v>0</v>
      </c>
      <c r="C184" s="1">
        <v>0</v>
      </c>
      <c r="D184" s="5">
        <v>0</v>
      </c>
      <c r="E184" s="1">
        <v>0</v>
      </c>
      <c r="F184" s="1">
        <v>-72</v>
      </c>
      <c r="G184" s="1">
        <v>0</v>
      </c>
      <c r="H184" s="58">
        <v>-72</v>
      </c>
      <c r="I184" s="58">
        <v>-198</v>
      </c>
      <c r="J184" s="1">
        <v>-309.95999999999998</v>
      </c>
      <c r="K184" s="1">
        <v>-250</v>
      </c>
      <c r="L184" s="1"/>
      <c r="M184" s="1"/>
      <c r="N184" s="58">
        <f t="shared" si="140"/>
        <v>-901.96</v>
      </c>
      <c r="P184" s="1">
        <f t="shared" si="138"/>
        <v>-81.99636363636364</v>
      </c>
      <c r="Q184" s="1">
        <f t="shared" si="139"/>
        <v>81.99636363636364</v>
      </c>
    </row>
    <row r="185" spans="1:17" x14ac:dyDescent="0.25">
      <c r="A185" s="112" t="s">
        <v>144</v>
      </c>
      <c r="B185" s="1">
        <v>1.87</v>
      </c>
      <c r="C185" s="1">
        <v>0</v>
      </c>
      <c r="D185" s="1">
        <v>-115.12</v>
      </c>
      <c r="E185" s="1">
        <v>3216.06</v>
      </c>
      <c r="F185" s="1">
        <v>-2308</v>
      </c>
      <c r="G185" s="1">
        <v>0</v>
      </c>
      <c r="H185" s="58">
        <v>0</v>
      </c>
      <c r="I185" s="58">
        <v>0</v>
      </c>
      <c r="J185" s="1">
        <v>0</v>
      </c>
      <c r="K185" s="1">
        <v>0</v>
      </c>
      <c r="L185" s="1"/>
      <c r="M185" s="1"/>
      <c r="N185" s="58">
        <f t="shared" si="140"/>
        <v>794.81</v>
      </c>
      <c r="P185" s="1">
        <f t="shared" si="138"/>
        <v>72.25545454545454</v>
      </c>
      <c r="Q185" s="1">
        <f t="shared" si="139"/>
        <v>-72.25545454545454</v>
      </c>
    </row>
    <row r="186" spans="1:17" x14ac:dyDescent="0.25">
      <c r="A186" s="112" t="s">
        <v>145</v>
      </c>
      <c r="B186" s="1">
        <v>655.42</v>
      </c>
      <c r="C186" s="1">
        <v>-345.3</v>
      </c>
      <c r="D186" s="1">
        <v>-1325.46</v>
      </c>
      <c r="E186" s="1">
        <v>-3163.28</v>
      </c>
      <c r="F186" s="1">
        <v>-3813.42</v>
      </c>
      <c r="G186" s="1">
        <v>-5151.74</v>
      </c>
      <c r="H186" s="58">
        <v>-2238.48</v>
      </c>
      <c r="I186" s="58">
        <v>-4687.5200000000004</v>
      </c>
      <c r="J186" s="1">
        <v>-3915.61</v>
      </c>
      <c r="K186" s="1">
        <v>-4595.1400000000003</v>
      </c>
      <c r="L186" s="1"/>
      <c r="M186" s="1"/>
      <c r="N186" s="58">
        <f t="shared" si="140"/>
        <v>-28580.53</v>
      </c>
      <c r="P186" s="1">
        <f t="shared" si="138"/>
        <v>-2598.23</v>
      </c>
      <c r="Q186" s="1">
        <f t="shared" si="139"/>
        <v>2598.23</v>
      </c>
    </row>
    <row r="187" spans="1:17" ht="15.6" customHeight="1" x14ac:dyDescent="0.25">
      <c r="A187" s="112" t="s">
        <v>146</v>
      </c>
      <c r="B187" s="1">
        <v>-260</v>
      </c>
      <c r="C187" s="1">
        <v>0</v>
      </c>
      <c r="D187" s="1">
        <v>-15</v>
      </c>
      <c r="E187" s="1">
        <f>-15</f>
        <v>-15</v>
      </c>
      <c r="F187" s="1">
        <v>0</v>
      </c>
      <c r="G187" s="1">
        <v>0</v>
      </c>
      <c r="H187" s="58">
        <v>-52.5</v>
      </c>
      <c r="I187" s="58">
        <v>0</v>
      </c>
      <c r="J187" s="1">
        <v>-15</v>
      </c>
      <c r="K187" s="1">
        <v>0</v>
      </c>
      <c r="L187" s="1"/>
      <c r="M187" s="1"/>
      <c r="N187" s="58">
        <f t="shared" si="140"/>
        <v>-357.5</v>
      </c>
      <c r="P187" s="1">
        <f t="shared" si="138"/>
        <v>-32.5</v>
      </c>
      <c r="Q187" s="1">
        <f t="shared" si="139"/>
        <v>32.5</v>
      </c>
    </row>
    <row r="188" spans="1:17" ht="15.6" customHeight="1" x14ac:dyDescent="0.25">
      <c r="A188" s="112" t="s">
        <v>147</v>
      </c>
      <c r="B188" s="1">
        <v>0</v>
      </c>
      <c r="C188" s="1">
        <v>0</v>
      </c>
      <c r="D188" s="1">
        <v>0</v>
      </c>
      <c r="E188" s="1">
        <v>168314.67</v>
      </c>
      <c r="F188" s="1">
        <v>0</v>
      </c>
      <c r="G188" s="1">
        <v>1178.56</v>
      </c>
      <c r="H188" s="58">
        <v>707.78</v>
      </c>
      <c r="I188" s="58">
        <v>73.5</v>
      </c>
      <c r="J188" s="1">
        <v>3004.54</v>
      </c>
      <c r="K188" s="1">
        <v>336</v>
      </c>
      <c r="L188" s="1"/>
      <c r="M188" s="1"/>
      <c r="N188" s="58">
        <f t="shared" si="140"/>
        <v>173615.05000000002</v>
      </c>
      <c r="P188" s="1"/>
      <c r="Q188" s="1"/>
    </row>
    <row r="189" spans="1:17" s="155" customFormat="1" ht="15.6" customHeight="1" x14ac:dyDescent="0.25">
      <c r="A189" s="7" t="s">
        <v>456</v>
      </c>
      <c r="B189" s="58"/>
      <c r="C189" s="58"/>
      <c r="D189" s="58"/>
      <c r="E189" s="154"/>
      <c r="F189" s="58"/>
      <c r="G189" s="58">
        <v>0</v>
      </c>
      <c r="H189" s="58">
        <v>0</v>
      </c>
      <c r="I189" s="58">
        <v>3682.32</v>
      </c>
      <c r="J189" s="58">
        <v>3682.32</v>
      </c>
      <c r="K189" s="58">
        <v>0</v>
      </c>
      <c r="L189" s="58"/>
      <c r="M189" s="58"/>
      <c r="N189" s="58">
        <f t="shared" si="140"/>
        <v>7364.64</v>
      </c>
      <c r="O189" s="156"/>
      <c r="P189" s="58"/>
      <c r="Q189" s="58"/>
    </row>
    <row r="190" spans="1:17" ht="15.6" customHeight="1" x14ac:dyDescent="0.25">
      <c r="A190" s="112" t="s">
        <v>148</v>
      </c>
      <c r="B190" s="1">
        <v>0</v>
      </c>
      <c r="C190" s="1">
        <v>0</v>
      </c>
      <c r="D190" s="1">
        <v>0</v>
      </c>
      <c r="E190" s="1">
        <v>12675.04</v>
      </c>
      <c r="F190" s="1">
        <v>-0.02</v>
      </c>
      <c r="G190" s="1">
        <v>0</v>
      </c>
      <c r="H190" s="58">
        <v>164595.71</v>
      </c>
      <c r="I190" s="58">
        <v>146739.68</v>
      </c>
      <c r="J190" s="1">
        <v>2220349.09</v>
      </c>
      <c r="K190" s="1">
        <v>1271914.67</v>
      </c>
      <c r="L190" s="1"/>
      <c r="M190" s="1"/>
      <c r="N190" s="58">
        <f t="shared" si="140"/>
        <v>3816274.17</v>
      </c>
      <c r="P190" s="1"/>
      <c r="Q190" s="1"/>
    </row>
    <row r="191" spans="1:17" s="7" customFormat="1" ht="15.6" customHeight="1" x14ac:dyDescent="0.25">
      <c r="A191" s="112" t="s">
        <v>450</v>
      </c>
      <c r="B191" s="58">
        <v>0</v>
      </c>
      <c r="C191" s="58">
        <v>0</v>
      </c>
      <c r="D191" s="58">
        <v>0</v>
      </c>
      <c r="E191" s="58">
        <v>0</v>
      </c>
      <c r="F191" s="58">
        <v>0</v>
      </c>
      <c r="G191" s="58">
        <v>0</v>
      </c>
      <c r="H191" s="58">
        <v>-4850.6000000000004</v>
      </c>
      <c r="I191" s="58">
        <v>-8842.1</v>
      </c>
      <c r="J191" s="58">
        <v>-211499.92</v>
      </c>
      <c r="K191" s="58">
        <v>324145.44</v>
      </c>
      <c r="L191" s="58"/>
      <c r="M191" s="58"/>
      <c r="N191" s="58">
        <f t="shared" si="140"/>
        <v>98952.819999999978</v>
      </c>
      <c r="P191" s="58"/>
      <c r="Q191" s="58"/>
    </row>
    <row r="192" spans="1:17" s="155" customFormat="1" ht="15.6" customHeight="1" x14ac:dyDescent="0.25">
      <c r="A192" s="7" t="s">
        <v>457</v>
      </c>
      <c r="B192" s="58"/>
      <c r="C192" s="58"/>
      <c r="D192" s="58"/>
      <c r="E192" s="154"/>
      <c r="F192" s="58"/>
      <c r="G192" s="58">
        <v>0</v>
      </c>
      <c r="H192" s="58">
        <v>0</v>
      </c>
      <c r="I192" s="58">
        <v>-686.87</v>
      </c>
      <c r="J192" s="58">
        <v>-1890.15</v>
      </c>
      <c r="K192" s="58">
        <v>0</v>
      </c>
      <c r="L192" s="58"/>
      <c r="M192" s="58"/>
      <c r="N192" s="58">
        <f t="shared" si="140"/>
        <v>-2577.02</v>
      </c>
      <c r="O192" s="156"/>
      <c r="P192" s="58"/>
      <c r="Q192" s="58"/>
    </row>
    <row r="193" spans="1:17" ht="15.6" customHeight="1" x14ac:dyDescent="0.25">
      <c r="A193" s="112" t="s">
        <v>430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29.46</v>
      </c>
      <c r="H193" s="58">
        <v>61.84</v>
      </c>
      <c r="I193" s="58">
        <v>0</v>
      </c>
      <c r="J193" s="1">
        <v>0</v>
      </c>
      <c r="K193" s="1">
        <v>0</v>
      </c>
      <c r="L193" s="1"/>
      <c r="M193" s="1"/>
      <c r="N193" s="58">
        <f t="shared" si="140"/>
        <v>91.300000000000011</v>
      </c>
      <c r="P193" s="1"/>
      <c r="Q193" s="1"/>
    </row>
    <row r="194" spans="1:17" ht="15.6" customHeight="1" x14ac:dyDescent="0.25">
      <c r="A194" s="112" t="s">
        <v>431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58">
        <v>100.32</v>
      </c>
      <c r="I194" s="58">
        <v>-1577.17</v>
      </c>
      <c r="J194" s="1">
        <v>81.47</v>
      </c>
      <c r="K194" s="1">
        <v>-732.39</v>
      </c>
      <c r="L194" s="1"/>
      <c r="M194" s="1"/>
      <c r="N194" s="58">
        <f t="shared" si="140"/>
        <v>-2127.77</v>
      </c>
      <c r="P194" s="1"/>
      <c r="Q194" s="1"/>
    </row>
    <row r="195" spans="1:17" s="7" customFormat="1" ht="15.6" customHeight="1" x14ac:dyDescent="0.25">
      <c r="A195" s="7" t="s">
        <v>446</v>
      </c>
      <c r="B195" s="58">
        <v>0</v>
      </c>
      <c r="C195" s="58">
        <v>0</v>
      </c>
      <c r="D195" s="58">
        <v>0</v>
      </c>
      <c r="E195" s="58">
        <v>0</v>
      </c>
      <c r="F195" s="58">
        <v>0</v>
      </c>
      <c r="G195" s="58">
        <v>0</v>
      </c>
      <c r="H195" s="58">
        <v>168</v>
      </c>
      <c r="I195" s="58">
        <v>0</v>
      </c>
      <c r="J195" s="58">
        <v>0</v>
      </c>
      <c r="K195" s="58">
        <v>0</v>
      </c>
      <c r="L195" s="58"/>
      <c r="M195" s="58"/>
      <c r="N195" s="58">
        <f t="shared" si="140"/>
        <v>168</v>
      </c>
      <c r="P195" s="58"/>
      <c r="Q195" s="58"/>
    </row>
    <row r="196" spans="1:17" s="38" customFormat="1" x14ac:dyDescent="0.25">
      <c r="A196" s="120" t="s">
        <v>149</v>
      </c>
      <c r="B196" s="44">
        <f>SUM(B129:B195)</f>
        <v>584692821.1099999</v>
      </c>
      <c r="C196" s="44">
        <f t="shared" ref="C196:F196" si="141">SUM(C129:C194)</f>
        <v>1326064718.7600005</v>
      </c>
      <c r="D196" s="44">
        <f t="shared" si="141"/>
        <v>407886159.28000009</v>
      </c>
      <c r="E196" s="44">
        <f>SUM(E129:E195)</f>
        <v>144492603.92999986</v>
      </c>
      <c r="F196" s="44">
        <f t="shared" si="141"/>
        <v>212099725.4200002</v>
      </c>
      <c r="G196" s="44">
        <f>SUM(G129:G195)</f>
        <v>355772504.34000009</v>
      </c>
      <c r="H196" s="44">
        <f>SUM(H129:H195)</f>
        <v>291293762.78999996</v>
      </c>
      <c r="I196" s="44">
        <f>SUM(I129:I195)</f>
        <v>454018087.06999999</v>
      </c>
      <c r="J196" s="44">
        <f>SUM(J129:J195)</f>
        <v>336223545.79000008</v>
      </c>
      <c r="K196" s="44">
        <f>SUM(K129:K195)</f>
        <v>149782494.22999993</v>
      </c>
      <c r="L196" s="44">
        <f>SUM(L129:L187)</f>
        <v>0</v>
      </c>
      <c r="M196" s="44">
        <f>SUM(M129:M187)</f>
        <v>0</v>
      </c>
      <c r="N196" s="44">
        <f>SUM(N129:N195)</f>
        <v>4262326422.7200003</v>
      </c>
      <c r="P196" s="44">
        <f t="shared" si="138"/>
        <v>387484220.24727273</v>
      </c>
      <c r="Q196" s="44">
        <f t="shared" si="139"/>
        <v>-387484220.24727273</v>
      </c>
    </row>
    <row r="197" spans="1:17" s="38" customFormat="1" ht="15.75" thickBot="1" x14ac:dyDescent="0.3">
      <c r="A197" s="120" t="s">
        <v>150</v>
      </c>
      <c r="B197" s="39">
        <f t="shared" ref="B197:G197" si="142">B127-B196</f>
        <v>697510.16000008583</v>
      </c>
      <c r="C197" s="39">
        <f t="shared" si="142"/>
        <v>624547.37999987602</v>
      </c>
      <c r="D197" s="39">
        <f t="shared" si="142"/>
        <v>769919.81999999285</v>
      </c>
      <c r="E197" s="39">
        <f t="shared" si="142"/>
        <v>477580.01000010967</v>
      </c>
      <c r="F197" s="39">
        <f t="shared" si="142"/>
        <v>386606.16999977827</v>
      </c>
      <c r="G197" s="39">
        <f t="shared" si="142"/>
        <v>532374.25999993086</v>
      </c>
      <c r="H197" s="39">
        <f t="shared" ref="H197" si="143">H127-H196</f>
        <v>339887.33999991417</v>
      </c>
      <c r="I197" s="39">
        <f>I127-I196</f>
        <v>406594.80999988317</v>
      </c>
      <c r="J197" s="39">
        <f>J127-J196</f>
        <v>328169.66999995708</v>
      </c>
      <c r="K197" s="39">
        <f>K127-K196</f>
        <v>519535.71999999881</v>
      </c>
      <c r="L197" s="39">
        <f>L127-L196</f>
        <v>0</v>
      </c>
      <c r="M197" s="39">
        <f>M127-M196</f>
        <v>0</v>
      </c>
      <c r="N197" s="39">
        <f>SUM(B197:M197)</f>
        <v>5082725.3399995267</v>
      </c>
      <c r="P197" s="39">
        <f t="shared" si="138"/>
        <v>462065.93999995699</v>
      </c>
      <c r="Q197" s="39">
        <f t="shared" si="139"/>
        <v>-462065.93999995699</v>
      </c>
    </row>
    <row r="198" spans="1:17" ht="15.75" thickTop="1" x14ac:dyDescent="0.25">
      <c r="C198" s="1"/>
      <c r="D198" s="1"/>
      <c r="E198" s="1"/>
      <c r="F198" s="1"/>
      <c r="G198" s="1"/>
      <c r="H198" s="58"/>
      <c r="I198" s="1"/>
      <c r="J198" s="1"/>
      <c r="K198" s="1"/>
      <c r="L198" s="1"/>
      <c r="M198" s="1"/>
      <c r="N198" s="58"/>
      <c r="P198" s="1">
        <f t="shared" si="138"/>
        <v>0</v>
      </c>
      <c r="Q198" s="1">
        <f t="shared" si="139"/>
        <v>0</v>
      </c>
    </row>
    <row r="199" spans="1:17" x14ac:dyDescent="0.25">
      <c r="A199" s="112" t="s">
        <v>151</v>
      </c>
      <c r="B199" s="1">
        <v>321540.08</v>
      </c>
      <c r="C199" s="1">
        <v>265057.82</v>
      </c>
      <c r="D199" s="1">
        <v>284816.11</v>
      </c>
      <c r="E199" s="1">
        <v>286945.63</v>
      </c>
      <c r="F199" s="1">
        <v>338930.51</v>
      </c>
      <c r="G199" s="1">
        <v>336452.67</v>
      </c>
      <c r="H199" s="58">
        <v>332380.34000000003</v>
      </c>
      <c r="I199" s="58">
        <v>332790.09000000003</v>
      </c>
      <c r="J199" s="1">
        <v>-648016.48</v>
      </c>
      <c r="K199" s="1">
        <v>241846.34</v>
      </c>
      <c r="L199" s="1"/>
      <c r="M199" s="1"/>
      <c r="N199" s="58">
        <f t="shared" ref="N199:N209" si="144">SUM(B199:M199)</f>
        <v>2092743.11</v>
      </c>
      <c r="P199" s="1">
        <f t="shared" si="138"/>
        <v>190249.37363636366</v>
      </c>
      <c r="Q199" s="1">
        <f t="shared" si="139"/>
        <v>-190249.37363636366</v>
      </c>
    </row>
    <row r="200" spans="1:17" x14ac:dyDescent="0.25">
      <c r="A200" s="112" t="s">
        <v>152</v>
      </c>
      <c r="B200" s="1"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58">
        <v>0</v>
      </c>
      <c r="I200" s="58">
        <v>0</v>
      </c>
      <c r="J200" s="1">
        <v>0</v>
      </c>
      <c r="K200" s="1"/>
      <c r="L200" s="1"/>
      <c r="M200" s="1"/>
      <c r="N200" s="58">
        <f t="shared" si="144"/>
        <v>0</v>
      </c>
      <c r="P200" s="1">
        <f t="shared" si="138"/>
        <v>0</v>
      </c>
      <c r="Q200" s="1">
        <f t="shared" si="139"/>
        <v>0</v>
      </c>
    </row>
    <row r="201" spans="1:17" x14ac:dyDescent="0.25">
      <c r="A201" s="112" t="s">
        <v>153</v>
      </c>
      <c r="B201" s="1">
        <v>0</v>
      </c>
      <c r="C201" s="1">
        <v>4088</v>
      </c>
      <c r="D201" s="5">
        <v>4088</v>
      </c>
      <c r="E201" s="1">
        <v>4088</v>
      </c>
      <c r="F201" s="1">
        <v>4088</v>
      </c>
      <c r="G201" s="1">
        <v>-2599</v>
      </c>
      <c r="H201" s="58">
        <f>[4]Sheet1!$R$95</f>
        <v>4088</v>
      </c>
      <c r="I201" s="58">
        <v>4088</v>
      </c>
      <c r="J201" s="1">
        <v>4088</v>
      </c>
      <c r="K201" s="1">
        <v>4088</v>
      </c>
      <c r="L201" s="1"/>
      <c r="M201" s="1"/>
      <c r="N201" s="58">
        <f t="shared" si="144"/>
        <v>30105</v>
      </c>
      <c r="P201" s="1">
        <f t="shared" si="138"/>
        <v>2736.818181818182</v>
      </c>
      <c r="Q201" s="1">
        <f t="shared" si="139"/>
        <v>-2736.818181818182</v>
      </c>
    </row>
    <row r="202" spans="1:17" x14ac:dyDescent="0.25">
      <c r="A202" s="112" t="s">
        <v>154</v>
      </c>
      <c r="B202" s="1">
        <v>34485.919999999998</v>
      </c>
      <c r="C202" s="1">
        <v>25848.55</v>
      </c>
      <c r="D202" s="5">
        <v>25451.64</v>
      </c>
      <c r="E202" s="1">
        <v>26482.85</v>
      </c>
      <c r="F202" s="1">
        <v>27594.59</v>
      </c>
      <c r="G202" s="1">
        <v>26155.119999999999</v>
      </c>
      <c r="H202" s="58">
        <f>[4]Sheet1!$R$96</f>
        <v>24572.799999999999</v>
      </c>
      <c r="I202" s="58">
        <v>24177.29</v>
      </c>
      <c r="J202" s="1">
        <v>-60236.23</v>
      </c>
      <c r="K202" s="1">
        <v>15408.87</v>
      </c>
      <c r="L202" s="1"/>
      <c r="M202" s="1"/>
      <c r="N202" s="58">
        <f t="shared" si="144"/>
        <v>169941.39999999997</v>
      </c>
      <c r="P202" s="1">
        <f t="shared" si="138"/>
        <v>15449.218181818178</v>
      </c>
      <c r="Q202" s="1">
        <f t="shared" si="139"/>
        <v>-15449.218181818178</v>
      </c>
    </row>
    <row r="203" spans="1:17" x14ac:dyDescent="0.25">
      <c r="A203" s="112" t="s">
        <v>155</v>
      </c>
      <c r="B203" s="1">
        <v>34701.300000000003</v>
      </c>
      <c r="C203" s="1">
        <v>29078.31</v>
      </c>
      <c r="D203" s="5">
        <v>14776.7</v>
      </c>
      <c r="E203" s="1">
        <v>22093.19</v>
      </c>
      <c r="F203" s="1">
        <v>36544.94</v>
      </c>
      <c r="G203" s="1">
        <v>29148.65</v>
      </c>
      <c r="H203" s="58">
        <f>[4]Sheet1!$R$97</f>
        <v>26044.41</v>
      </c>
      <c r="I203" s="58">
        <v>23927.88</v>
      </c>
      <c r="J203" s="1">
        <v>-43787.11</v>
      </c>
      <c r="K203" s="1">
        <v>17362.52</v>
      </c>
      <c r="L203" s="1"/>
      <c r="M203" s="1"/>
      <c r="N203" s="58">
        <f t="shared" si="144"/>
        <v>189890.79</v>
      </c>
      <c r="P203" s="1">
        <f t="shared" si="138"/>
        <v>17262.799090909091</v>
      </c>
      <c r="Q203" s="1">
        <f t="shared" si="139"/>
        <v>-17262.799090909091</v>
      </c>
    </row>
    <row r="204" spans="1:17" x14ac:dyDescent="0.25">
      <c r="A204" s="112" t="s">
        <v>156</v>
      </c>
      <c r="B204" s="1">
        <v>3985.86</v>
      </c>
      <c r="C204" s="1">
        <v>4106.21</v>
      </c>
      <c r="D204" s="5">
        <v>4155.76</v>
      </c>
      <c r="E204" s="1">
        <v>3572.78</v>
      </c>
      <c r="F204" s="1">
        <v>2661.9</v>
      </c>
      <c r="G204" s="1">
        <v>4701.25</v>
      </c>
      <c r="H204" s="58">
        <f>[4]Sheet1!$R$98</f>
        <v>4559.01</v>
      </c>
      <c r="I204" s="58">
        <v>4006.17</v>
      </c>
      <c r="J204" s="1">
        <v>-8718.48</v>
      </c>
      <c r="K204" s="169">
        <v>2920.76</v>
      </c>
      <c r="L204" s="1"/>
      <c r="M204" s="1"/>
      <c r="N204" s="58">
        <f t="shared" si="144"/>
        <v>25951.22</v>
      </c>
      <c r="P204" s="1">
        <f t="shared" si="138"/>
        <v>2359.2018181818185</v>
      </c>
      <c r="Q204" s="1">
        <f t="shared" si="139"/>
        <v>-2359.2018181818185</v>
      </c>
    </row>
    <row r="205" spans="1:17" x14ac:dyDescent="0.25">
      <c r="A205" s="112" t="s">
        <v>157</v>
      </c>
      <c r="B205" s="1">
        <v>9167</v>
      </c>
      <c r="C205" s="1">
        <v>9167</v>
      </c>
      <c r="D205" s="5">
        <v>9167</v>
      </c>
      <c r="E205" s="1">
        <v>9167</v>
      </c>
      <c r="F205" s="1">
        <v>9167</v>
      </c>
      <c r="G205" s="1">
        <v>8600</v>
      </c>
      <c r="H205" s="58">
        <f>[4]Sheet1!$R$99</f>
        <v>8600</v>
      </c>
      <c r="I205" s="58">
        <v>8600</v>
      </c>
      <c r="J205" s="1">
        <v>-19312.41</v>
      </c>
      <c r="K205" s="1">
        <v>5621.19</v>
      </c>
      <c r="L205" s="1"/>
      <c r="M205" s="1"/>
      <c r="N205" s="58">
        <f t="shared" si="144"/>
        <v>57943.78</v>
      </c>
      <c r="P205" s="1">
        <f t="shared" si="138"/>
        <v>5267.6163636363635</v>
      </c>
      <c r="Q205" s="1">
        <f t="shared" si="139"/>
        <v>-5267.6163636363635</v>
      </c>
    </row>
    <row r="206" spans="1:17" x14ac:dyDescent="0.25">
      <c r="A206" s="112" t="s">
        <v>158</v>
      </c>
      <c r="B206" s="1">
        <v>116.2</v>
      </c>
      <c r="C206" s="1">
        <v>164.9</v>
      </c>
      <c r="D206" s="5">
        <v>55.05</v>
      </c>
      <c r="E206" s="1">
        <v>59.95</v>
      </c>
      <c r="F206" s="1">
        <v>100</v>
      </c>
      <c r="G206" s="1">
        <v>59.95</v>
      </c>
      <c r="H206" s="58">
        <f>[4]Sheet1!$R$100</f>
        <v>1600</v>
      </c>
      <c r="I206" s="58">
        <v>0</v>
      </c>
      <c r="J206" s="1">
        <v>59.95</v>
      </c>
      <c r="K206" s="1">
        <v>159.94999999999999</v>
      </c>
      <c r="L206" s="1"/>
      <c r="M206" s="1"/>
      <c r="N206" s="58">
        <f t="shared" si="144"/>
        <v>2375.9499999999998</v>
      </c>
      <c r="P206" s="1">
        <f t="shared" si="138"/>
        <v>215.99545454545452</v>
      </c>
      <c r="Q206" s="1">
        <f t="shared" si="139"/>
        <v>-215.99545454545452</v>
      </c>
    </row>
    <row r="207" spans="1:17" x14ac:dyDescent="0.25">
      <c r="A207" s="112" t="s">
        <v>159</v>
      </c>
      <c r="B207" s="1">
        <v>1196.75</v>
      </c>
      <c r="C207" s="1">
        <v>1627.2</v>
      </c>
      <c r="D207" s="5">
        <v>1115.29</v>
      </c>
      <c r="E207" s="1">
        <v>1152.68</v>
      </c>
      <c r="F207" s="1">
        <v>1252.42</v>
      </c>
      <c r="G207" s="1">
        <v>1063.43</v>
      </c>
      <c r="H207" s="58">
        <f>[4]Sheet1!$R$101</f>
        <v>1388.91</v>
      </c>
      <c r="I207" s="58">
        <v>1086.9000000000001</v>
      </c>
      <c r="J207" s="1">
        <v>477.46</v>
      </c>
      <c r="K207" s="1">
        <v>1409.54</v>
      </c>
      <c r="L207" s="1"/>
      <c r="M207" s="1"/>
      <c r="N207" s="58">
        <f t="shared" si="144"/>
        <v>11770.579999999998</v>
      </c>
      <c r="P207" s="1">
        <f t="shared" si="138"/>
        <v>1070.052727272727</v>
      </c>
      <c r="Q207" s="1">
        <f t="shared" si="139"/>
        <v>-1070.052727272727</v>
      </c>
    </row>
    <row r="208" spans="1:17" x14ac:dyDescent="0.25">
      <c r="A208" s="112" t="s">
        <v>160</v>
      </c>
      <c r="B208" s="1">
        <v>0</v>
      </c>
      <c r="C208" s="1">
        <v>2800</v>
      </c>
      <c r="D208" s="5">
        <v>0</v>
      </c>
      <c r="E208" s="1">
        <v>0</v>
      </c>
      <c r="F208" s="1">
        <v>0</v>
      </c>
      <c r="G208" s="1">
        <v>220</v>
      </c>
      <c r="H208" s="58">
        <f>[4]Sheet1!$R$102</f>
        <v>0</v>
      </c>
      <c r="I208" s="58">
        <v>320</v>
      </c>
      <c r="J208" s="1">
        <v>340</v>
      </c>
      <c r="K208" s="1">
        <v>0</v>
      </c>
      <c r="L208" s="1"/>
      <c r="M208" s="1"/>
      <c r="N208" s="58">
        <f t="shared" si="144"/>
        <v>3680</v>
      </c>
      <c r="P208" s="1">
        <f t="shared" si="138"/>
        <v>334.54545454545456</v>
      </c>
      <c r="Q208" s="1">
        <f t="shared" si="139"/>
        <v>-334.54545454545456</v>
      </c>
    </row>
    <row r="209" spans="1:17" x14ac:dyDescent="0.25">
      <c r="A209" s="112" t="s">
        <v>161</v>
      </c>
      <c r="B209" s="1">
        <v>0</v>
      </c>
      <c r="C209" s="1">
        <v>0</v>
      </c>
      <c r="D209" s="5">
        <v>0</v>
      </c>
      <c r="E209" s="1">
        <v>309.48</v>
      </c>
      <c r="F209" s="1">
        <v>0</v>
      </c>
      <c r="G209" s="1">
        <v>0</v>
      </c>
      <c r="H209" s="58">
        <f>[4]Sheet1!$R$103</f>
        <v>1732.26</v>
      </c>
      <c r="I209" s="58">
        <v>0</v>
      </c>
      <c r="J209" s="1">
        <v>1020</v>
      </c>
      <c r="K209" s="1">
        <v>0</v>
      </c>
      <c r="L209" s="1"/>
      <c r="M209" s="1"/>
      <c r="N209" s="58">
        <f t="shared" si="144"/>
        <v>3061.74</v>
      </c>
      <c r="P209" s="1">
        <f t="shared" si="138"/>
        <v>278.33999999999997</v>
      </c>
      <c r="Q209" s="1">
        <f t="shared" si="139"/>
        <v>-278.33999999999997</v>
      </c>
    </row>
    <row r="210" spans="1:17" ht="15.75" thickBot="1" x14ac:dyDescent="0.3">
      <c r="A210" s="120" t="s">
        <v>162</v>
      </c>
      <c r="B210" s="39">
        <f t="shared" ref="B210:G210" si="145">SUM(B199:B209)</f>
        <v>405193.11</v>
      </c>
      <c r="C210" s="39">
        <f t="shared" si="145"/>
        <v>341937.99000000005</v>
      </c>
      <c r="D210" s="39">
        <f t="shared" si="145"/>
        <v>343625.55</v>
      </c>
      <c r="E210" s="39">
        <f t="shared" si="145"/>
        <v>353871.56</v>
      </c>
      <c r="F210" s="39">
        <f t="shared" si="145"/>
        <v>420339.36000000004</v>
      </c>
      <c r="G210" s="39">
        <f t="shared" si="145"/>
        <v>403802.07</v>
      </c>
      <c r="H210" s="39">
        <f>SUM(H199:H209)</f>
        <v>404965.73</v>
      </c>
      <c r="I210" s="39">
        <f>SUM(I199:I209)</f>
        <v>398996.33</v>
      </c>
      <c r="J210" s="39">
        <f>SUM(J199:J209)</f>
        <v>-774085.3</v>
      </c>
      <c r="K210" s="39">
        <f>SUM(K199:K209)</f>
        <v>288817.17</v>
      </c>
      <c r="L210" s="39">
        <f t="shared" ref="L210:M210" si="146">SUM(L199:L207)</f>
        <v>0</v>
      </c>
      <c r="M210" s="39">
        <f t="shared" si="146"/>
        <v>0</v>
      </c>
      <c r="N210" s="39">
        <f>SUM(N199:T209)</f>
        <v>2587463.5700000008</v>
      </c>
      <c r="P210" s="39">
        <f t="shared" si="138"/>
        <v>235223.96090909097</v>
      </c>
      <c r="Q210" s="39">
        <f t="shared" si="139"/>
        <v>-235223.96090909097</v>
      </c>
    </row>
    <row r="211" spans="1:17" ht="15.75" thickTop="1" x14ac:dyDescent="0.25">
      <c r="C211" s="1"/>
      <c r="D211" s="1"/>
      <c r="E211" s="58"/>
      <c r="F211" s="58"/>
      <c r="G211" s="1"/>
      <c r="H211" s="58"/>
      <c r="I211" s="1"/>
      <c r="J211" s="1"/>
      <c r="K211" s="1"/>
      <c r="L211" s="1"/>
      <c r="M211" s="1"/>
      <c r="N211" s="58"/>
      <c r="P211" s="1">
        <f t="shared" si="138"/>
        <v>0</v>
      </c>
      <c r="Q211" s="1">
        <f t="shared" si="139"/>
        <v>0</v>
      </c>
    </row>
    <row r="212" spans="1:17" x14ac:dyDescent="0.25">
      <c r="A212" s="7" t="s">
        <v>476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58"/>
      <c r="I212" s="1"/>
      <c r="J212" s="1">
        <v>12500</v>
      </c>
      <c r="K212" s="1">
        <v>12500</v>
      </c>
      <c r="L212" s="1"/>
      <c r="M212" s="1"/>
      <c r="N212" s="58">
        <f t="shared" ref="N212:N230" si="147">SUM(B212:M212)</f>
        <v>25000</v>
      </c>
      <c r="P212" s="1"/>
      <c r="Q212" s="1"/>
    </row>
    <row r="213" spans="1:17" x14ac:dyDescent="0.25">
      <c r="A213" s="112" t="s">
        <v>163</v>
      </c>
      <c r="B213" s="1">
        <v>34200</v>
      </c>
      <c r="C213" s="1">
        <v>34200</v>
      </c>
      <c r="D213" s="5">
        <v>34200</v>
      </c>
      <c r="E213" s="1">
        <v>34200</v>
      </c>
      <c r="F213" s="1">
        <v>34200</v>
      </c>
      <c r="G213" s="1">
        <v>34200</v>
      </c>
      <c r="H213" s="58">
        <v>34200</v>
      </c>
      <c r="I213" s="58">
        <v>34200</v>
      </c>
      <c r="J213" s="1">
        <v>34200</v>
      </c>
      <c r="K213" s="1">
        <v>34200</v>
      </c>
      <c r="L213" s="1"/>
      <c r="M213" s="1"/>
      <c r="N213" s="58">
        <f t="shared" si="147"/>
        <v>342000</v>
      </c>
      <c r="P213" s="1">
        <f t="shared" ref="P213:P267" si="148">(N213-M213)/11</f>
        <v>31090.909090909092</v>
      </c>
      <c r="Q213" s="1">
        <f t="shared" ref="Q213:Q267" si="149">M213-P213</f>
        <v>-31090.909090909092</v>
      </c>
    </row>
    <row r="214" spans="1:17" x14ac:dyDescent="0.25">
      <c r="A214" s="112" t="s">
        <v>164</v>
      </c>
      <c r="B214" s="1">
        <v>8503.81</v>
      </c>
      <c r="C214" s="1">
        <v>5315.92</v>
      </c>
      <c r="D214" s="5">
        <v>5721.77</v>
      </c>
      <c r="E214" s="1">
        <v>1979.68</v>
      </c>
      <c r="F214" s="1">
        <v>-5668.03</v>
      </c>
      <c r="G214" s="1">
        <v>-5550.91</v>
      </c>
      <c r="H214" s="58">
        <v>-5623.92</v>
      </c>
      <c r="I214" s="58">
        <v>-2125.3000000000002</v>
      </c>
      <c r="J214" s="1">
        <v>-1659.04</v>
      </c>
      <c r="K214" s="1">
        <v>837.92</v>
      </c>
      <c r="L214" s="1"/>
      <c r="M214" s="1"/>
      <c r="N214" s="58">
        <f t="shared" si="147"/>
        <v>1731.9000000000015</v>
      </c>
      <c r="P214" s="1">
        <f t="shared" si="148"/>
        <v>157.44545454545468</v>
      </c>
      <c r="Q214" s="1">
        <f t="shared" si="149"/>
        <v>-157.44545454545468</v>
      </c>
    </row>
    <row r="215" spans="1:17" x14ac:dyDescent="0.25">
      <c r="A215" s="112" t="s">
        <v>165</v>
      </c>
      <c r="B215" s="1">
        <v>812.13</v>
      </c>
      <c r="C215" s="1">
        <v>2889.41</v>
      </c>
      <c r="D215" s="5">
        <v>2880.16</v>
      </c>
      <c r="E215" s="1">
        <v>1338.1</v>
      </c>
      <c r="F215" s="1">
        <v>587.38</v>
      </c>
      <c r="G215" s="1">
        <v>168.44</v>
      </c>
      <c r="H215" s="58">
        <v>38.119999999999997</v>
      </c>
      <c r="I215" s="58">
        <v>39.21</v>
      </c>
      <c r="J215" s="1">
        <v>58.76</v>
      </c>
      <c r="K215" s="1">
        <v>136.21</v>
      </c>
      <c r="L215" s="1"/>
      <c r="M215" s="1"/>
      <c r="N215" s="58">
        <f t="shared" si="147"/>
        <v>8947.9199999999983</v>
      </c>
      <c r="P215" s="1">
        <f t="shared" si="148"/>
        <v>813.44727272727255</v>
      </c>
      <c r="Q215" s="1">
        <f t="shared" si="149"/>
        <v>-813.44727272727255</v>
      </c>
    </row>
    <row r="216" spans="1:17" x14ac:dyDescent="0.25">
      <c r="A216" s="112" t="s">
        <v>166</v>
      </c>
      <c r="B216" s="1">
        <v>0</v>
      </c>
      <c r="C216" s="1">
        <v>0</v>
      </c>
      <c r="D216" s="5">
        <v>0</v>
      </c>
      <c r="E216" s="1">
        <v>0</v>
      </c>
      <c r="F216" s="1">
        <v>579.03</v>
      </c>
      <c r="G216" s="1">
        <v>0</v>
      </c>
      <c r="H216" s="58">
        <v>0</v>
      </c>
      <c r="I216" s="58">
        <v>0</v>
      </c>
      <c r="J216" s="1">
        <v>0</v>
      </c>
      <c r="K216" s="1">
        <v>499.43</v>
      </c>
      <c r="L216" s="1"/>
      <c r="M216" s="1"/>
      <c r="N216" s="58">
        <f t="shared" si="147"/>
        <v>1078.46</v>
      </c>
      <c r="P216" s="1">
        <f t="shared" si="148"/>
        <v>98.041818181818186</v>
      </c>
      <c r="Q216" s="1">
        <f t="shared" si="149"/>
        <v>-98.041818181818186</v>
      </c>
    </row>
    <row r="217" spans="1:17" s="7" customFormat="1" x14ac:dyDescent="0.25">
      <c r="A217" s="112" t="s">
        <v>474</v>
      </c>
      <c r="B217" s="58"/>
      <c r="C217" s="58"/>
      <c r="D217" s="5"/>
      <c r="E217" s="58"/>
      <c r="F217" s="58"/>
      <c r="G217" s="58"/>
      <c r="H217" s="58"/>
      <c r="I217" s="58"/>
      <c r="J217" s="58">
        <v>178.45</v>
      </c>
      <c r="K217" s="58">
        <v>0</v>
      </c>
      <c r="L217" s="58"/>
      <c r="M217" s="58"/>
      <c r="N217" s="58">
        <f t="shared" si="147"/>
        <v>178.45</v>
      </c>
      <c r="P217" s="58"/>
      <c r="Q217" s="58"/>
    </row>
    <row r="218" spans="1:17" x14ac:dyDescent="0.25">
      <c r="A218" s="55" t="s">
        <v>449</v>
      </c>
      <c r="B218" s="1">
        <v>6595</v>
      </c>
      <c r="C218" s="1">
        <v>2825</v>
      </c>
      <c r="D218" s="5">
        <v>4805</v>
      </c>
      <c r="E218" s="1">
        <v>0</v>
      </c>
      <c r="F218" s="1">
        <v>0</v>
      </c>
      <c r="G218" s="1">
        <v>0</v>
      </c>
      <c r="H218" s="58">
        <v>5490</v>
      </c>
      <c r="I218" s="58">
        <v>0</v>
      </c>
      <c r="J218" s="1">
        <v>0</v>
      </c>
      <c r="K218" s="1">
        <v>5285</v>
      </c>
      <c r="L218" s="1"/>
      <c r="M218" s="1"/>
      <c r="N218" s="58">
        <f t="shared" si="147"/>
        <v>25000</v>
      </c>
      <c r="P218" s="1">
        <f t="shared" si="148"/>
        <v>2272.7272727272725</v>
      </c>
      <c r="Q218" s="1">
        <f t="shared" si="149"/>
        <v>-2272.7272727272725</v>
      </c>
    </row>
    <row r="219" spans="1:17" x14ac:dyDescent="0.25">
      <c r="A219" s="112" t="s">
        <v>167</v>
      </c>
      <c r="B219" s="1">
        <v>11843.29</v>
      </c>
      <c r="C219" s="1">
        <v>5450.87</v>
      </c>
      <c r="D219" s="5">
        <v>12040.98</v>
      </c>
      <c r="E219" s="1">
        <v>8053.61</v>
      </c>
      <c r="F219" s="1">
        <v>16912.45</v>
      </c>
      <c r="G219" s="1">
        <v>6944.38</v>
      </c>
      <c r="H219" s="58">
        <v>13400.41</v>
      </c>
      <c r="I219" s="58">
        <v>5581.37</v>
      </c>
      <c r="J219" s="1">
        <v>8406.82</v>
      </c>
      <c r="K219" s="1">
        <v>18742.099999999999</v>
      </c>
      <c r="L219" s="1"/>
      <c r="M219" s="1"/>
      <c r="N219" s="58">
        <f t="shared" si="147"/>
        <v>107376.28</v>
      </c>
      <c r="P219" s="1">
        <f t="shared" si="148"/>
        <v>9761.48</v>
      </c>
      <c r="Q219" s="1">
        <f t="shared" si="149"/>
        <v>-9761.48</v>
      </c>
    </row>
    <row r="220" spans="1:17" x14ac:dyDescent="0.25">
      <c r="A220" s="112" t="s">
        <v>168</v>
      </c>
      <c r="B220" s="1">
        <v>8676.52</v>
      </c>
      <c r="C220" s="1">
        <v>8676.52</v>
      </c>
      <c r="D220" s="5">
        <v>8676.51</v>
      </c>
      <c r="E220" s="1">
        <v>8676.52</v>
      </c>
      <c r="F220" s="1">
        <v>8676.52</v>
      </c>
      <c r="G220" s="1">
        <v>8676.51</v>
      </c>
      <c r="H220" s="58">
        <v>9179.7000000000007</v>
      </c>
      <c r="I220" s="58">
        <v>9179.7000000000007</v>
      </c>
      <c r="J220" s="1">
        <v>9179.7000000000007</v>
      </c>
      <c r="K220" s="1">
        <v>9179.69</v>
      </c>
      <c r="L220" s="1"/>
      <c r="M220" s="1"/>
      <c r="N220" s="58">
        <f t="shared" si="147"/>
        <v>88777.890000000014</v>
      </c>
      <c r="P220" s="1">
        <f t="shared" si="148"/>
        <v>8070.7172727272737</v>
      </c>
      <c r="Q220" s="1">
        <f t="shared" si="149"/>
        <v>-8070.7172727272737</v>
      </c>
    </row>
    <row r="221" spans="1:17" x14ac:dyDescent="0.25">
      <c r="A221" s="112" t="s">
        <v>169</v>
      </c>
      <c r="B221" s="1">
        <v>3100</v>
      </c>
      <c r="C221" s="1">
        <v>3100</v>
      </c>
      <c r="D221" s="5">
        <v>3100</v>
      </c>
      <c r="E221" s="1">
        <v>3100</v>
      </c>
      <c r="F221" s="1">
        <v>3100</v>
      </c>
      <c r="G221" s="1">
        <v>4500</v>
      </c>
      <c r="H221" s="58">
        <v>4366.8900000000003</v>
      </c>
      <c r="I221" s="58">
        <v>4633.1099999999997</v>
      </c>
      <c r="J221" s="1">
        <v>4500</v>
      </c>
      <c r="K221" s="1">
        <v>4500</v>
      </c>
      <c r="L221" s="1"/>
      <c r="M221" s="1"/>
      <c r="N221" s="58">
        <f t="shared" si="147"/>
        <v>38000</v>
      </c>
      <c r="P221" s="1">
        <f t="shared" si="148"/>
        <v>3454.5454545454545</v>
      </c>
      <c r="Q221" s="1">
        <f t="shared" si="149"/>
        <v>-3454.5454545454545</v>
      </c>
    </row>
    <row r="222" spans="1:17" x14ac:dyDescent="0.25">
      <c r="A222" s="112" t="s">
        <v>170</v>
      </c>
      <c r="B222" s="1">
        <v>5157.18</v>
      </c>
      <c r="C222" s="1">
        <v>5157.18</v>
      </c>
      <c r="D222" s="5">
        <v>5023.41</v>
      </c>
      <c r="E222" s="1">
        <v>5123.42</v>
      </c>
      <c r="F222" s="1">
        <v>5023.42</v>
      </c>
      <c r="G222" s="1">
        <v>5023.42</v>
      </c>
      <c r="H222" s="58">
        <v>5023.42</v>
      </c>
      <c r="I222" s="58">
        <v>5023.42</v>
      </c>
      <c r="J222" s="1">
        <v>465.59</v>
      </c>
      <c r="K222" s="1">
        <v>4521.08</v>
      </c>
      <c r="L222" s="1"/>
      <c r="M222" s="1"/>
      <c r="N222" s="58">
        <f t="shared" si="147"/>
        <v>45541.539999999994</v>
      </c>
      <c r="P222" s="1">
        <f t="shared" si="148"/>
        <v>4140.1399999999994</v>
      </c>
      <c r="Q222" s="1">
        <f t="shared" si="149"/>
        <v>-4140.1399999999994</v>
      </c>
    </row>
    <row r="223" spans="1:17" x14ac:dyDescent="0.25">
      <c r="A223" s="112" t="s">
        <v>171</v>
      </c>
      <c r="B223" s="1">
        <v>781.02</v>
      </c>
      <c r="C223" s="1">
        <v>3798.75</v>
      </c>
      <c r="D223" s="5">
        <v>1347.95</v>
      </c>
      <c r="E223" s="1">
        <v>606.57000000000005</v>
      </c>
      <c r="F223" s="1">
        <v>716.17</v>
      </c>
      <c r="G223" s="1">
        <v>506.25</v>
      </c>
      <c r="H223" s="58">
        <v>0</v>
      </c>
      <c r="I223" s="58">
        <v>118.99</v>
      </c>
      <c r="J223" s="1">
        <v>1217.7</v>
      </c>
      <c r="K223" s="1">
        <v>680.5</v>
      </c>
      <c r="L223" s="1"/>
      <c r="M223" s="1"/>
      <c r="N223" s="58">
        <f t="shared" si="147"/>
        <v>9773.9</v>
      </c>
      <c r="O223" s="1"/>
      <c r="P223" s="1">
        <f t="shared" si="148"/>
        <v>888.5363636363636</v>
      </c>
      <c r="Q223" s="1">
        <f t="shared" si="149"/>
        <v>-888.5363636363636</v>
      </c>
    </row>
    <row r="224" spans="1:17" x14ac:dyDescent="0.25">
      <c r="A224" s="112" t="s">
        <v>172</v>
      </c>
      <c r="B224" s="1">
        <v>740.6</v>
      </c>
      <c r="C224" s="1">
        <v>321.60000000000002</v>
      </c>
      <c r="D224" s="5">
        <v>321.60000000000002</v>
      </c>
      <c r="E224" s="1">
        <v>419.18</v>
      </c>
      <c r="F224" s="1">
        <v>439.52</v>
      </c>
      <c r="G224" s="1">
        <v>321.60000000000002</v>
      </c>
      <c r="H224" s="58">
        <v>1372.85</v>
      </c>
      <c r="I224" s="58">
        <v>2251.7800000000002</v>
      </c>
      <c r="J224" s="1">
        <v>817.68</v>
      </c>
      <c r="K224" s="1">
        <v>1547.72</v>
      </c>
      <c r="L224" s="1"/>
      <c r="M224" s="1"/>
      <c r="N224" s="58">
        <f t="shared" si="147"/>
        <v>8554.1299999999992</v>
      </c>
      <c r="P224" s="1">
        <f t="shared" si="148"/>
        <v>777.6481818181818</v>
      </c>
      <c r="Q224" s="1">
        <f t="shared" si="149"/>
        <v>-777.6481818181818</v>
      </c>
    </row>
    <row r="225" spans="1:17" x14ac:dyDescent="0.25">
      <c r="A225" s="112" t="s">
        <v>173</v>
      </c>
      <c r="B225" s="1">
        <v>333.33</v>
      </c>
      <c r="C225" s="1">
        <v>333.33</v>
      </c>
      <c r="D225" s="5">
        <v>333.33</v>
      </c>
      <c r="E225" s="1">
        <v>333.33</v>
      </c>
      <c r="F225" s="1">
        <v>333.33</v>
      </c>
      <c r="G225" s="1">
        <v>333.33</v>
      </c>
      <c r="H225" s="58">
        <v>333.33</v>
      </c>
      <c r="I225" s="58">
        <v>333.33</v>
      </c>
      <c r="J225" s="1">
        <v>333.33</v>
      </c>
      <c r="K225" s="1">
        <v>333.33</v>
      </c>
      <c r="L225" s="1"/>
      <c r="M225" s="1"/>
      <c r="N225" s="58">
        <f t="shared" si="147"/>
        <v>3333.2999999999997</v>
      </c>
      <c r="P225" s="1">
        <f t="shared" si="148"/>
        <v>303.0272727272727</v>
      </c>
      <c r="Q225" s="1">
        <f t="shared" si="149"/>
        <v>-303.0272727272727</v>
      </c>
    </row>
    <row r="226" spans="1:17" x14ac:dyDescent="0.25">
      <c r="A226" s="112" t="s">
        <v>174</v>
      </c>
      <c r="B226" s="1">
        <v>115897.3</v>
      </c>
      <c r="C226" s="1">
        <v>117313.31</v>
      </c>
      <c r="D226" s="5">
        <v>117313.31</v>
      </c>
      <c r="E226" s="1">
        <v>69868.929999999993</v>
      </c>
      <c r="F226" s="1">
        <v>62865.39</v>
      </c>
      <c r="G226" s="1">
        <v>89768.53</v>
      </c>
      <c r="H226" s="58">
        <v>67753.13</v>
      </c>
      <c r="I226" s="58">
        <v>67298.850000000006</v>
      </c>
      <c r="J226" s="1">
        <v>65440.22</v>
      </c>
      <c r="K226" s="1">
        <v>61204.160000000003</v>
      </c>
      <c r="L226" s="1"/>
      <c r="M226" s="1"/>
      <c r="N226" s="58">
        <f t="shared" si="147"/>
        <v>834723.13</v>
      </c>
      <c r="P226" s="1">
        <f t="shared" si="148"/>
        <v>75883.920909090913</v>
      </c>
      <c r="Q226" s="1">
        <f t="shared" si="149"/>
        <v>-75883.920909090913</v>
      </c>
    </row>
    <row r="227" spans="1:17" x14ac:dyDescent="0.25">
      <c r="A227" s="112" t="s">
        <v>175</v>
      </c>
      <c r="B227" s="1">
        <v>0</v>
      </c>
      <c r="C227" s="1">
        <v>0</v>
      </c>
      <c r="D227" s="5">
        <v>0</v>
      </c>
      <c r="E227" s="1">
        <v>1820.4</v>
      </c>
      <c r="F227" s="1">
        <v>0</v>
      </c>
      <c r="G227" s="1">
        <v>5256.73</v>
      </c>
      <c r="H227" s="58">
        <v>3721.9</v>
      </c>
      <c r="I227" s="58">
        <v>1441.3</v>
      </c>
      <c r="J227" s="1">
        <v>1188.0899999999999</v>
      </c>
      <c r="K227" s="1">
        <v>3498.74</v>
      </c>
      <c r="L227" s="1"/>
      <c r="M227" s="1"/>
      <c r="N227" s="58">
        <f t="shared" si="147"/>
        <v>16927.159999999996</v>
      </c>
      <c r="P227" s="1">
        <f t="shared" si="148"/>
        <v>1538.832727272727</v>
      </c>
      <c r="Q227" s="1">
        <f t="shared" si="149"/>
        <v>-1538.832727272727</v>
      </c>
    </row>
    <row r="228" spans="1:17" x14ac:dyDescent="0.25">
      <c r="A228" s="112" t="s">
        <v>176</v>
      </c>
      <c r="B228" s="1">
        <v>0</v>
      </c>
      <c r="C228" s="1">
        <v>0</v>
      </c>
      <c r="D228" s="5">
        <v>0</v>
      </c>
      <c r="E228" s="1">
        <v>390</v>
      </c>
      <c r="F228" s="1">
        <v>390</v>
      </c>
      <c r="G228" s="1">
        <v>390</v>
      </c>
      <c r="H228" s="58">
        <v>390</v>
      </c>
      <c r="I228" s="58">
        <v>390</v>
      </c>
      <c r="J228" s="1">
        <v>390</v>
      </c>
      <c r="K228" s="1">
        <v>390</v>
      </c>
      <c r="L228" s="1"/>
      <c r="M228" s="1"/>
      <c r="N228" s="58">
        <f t="shared" si="147"/>
        <v>2730</v>
      </c>
      <c r="P228" s="1">
        <f t="shared" si="148"/>
        <v>248.18181818181819</v>
      </c>
      <c r="Q228" s="1">
        <f t="shared" si="149"/>
        <v>-248.18181818181819</v>
      </c>
    </row>
    <row r="229" spans="1:17" x14ac:dyDescent="0.25">
      <c r="A229" s="112" t="s">
        <v>395</v>
      </c>
      <c r="B229" s="1">
        <v>0</v>
      </c>
      <c r="C229" s="1">
        <v>0</v>
      </c>
      <c r="D229" s="5">
        <v>0</v>
      </c>
      <c r="E229" s="1">
        <v>51803</v>
      </c>
      <c r="F229" s="1">
        <v>58244.6</v>
      </c>
      <c r="G229" s="1">
        <v>55745.919999999998</v>
      </c>
      <c r="H229" s="58">
        <v>74963</v>
      </c>
      <c r="I229" s="58">
        <v>57878.13</v>
      </c>
      <c r="J229" s="1">
        <v>58108.23</v>
      </c>
      <c r="K229" s="1">
        <v>58744.17</v>
      </c>
      <c r="L229" s="1"/>
      <c r="M229" s="1"/>
      <c r="N229" s="58">
        <f t="shared" si="147"/>
        <v>415487.05</v>
      </c>
      <c r="P229" s="1"/>
      <c r="Q229" s="1"/>
    </row>
    <row r="230" spans="1:17" s="7" customFormat="1" x14ac:dyDescent="0.25">
      <c r="A230" s="112" t="s">
        <v>475</v>
      </c>
      <c r="B230" s="58"/>
      <c r="C230" s="58"/>
      <c r="D230" s="5"/>
      <c r="E230" s="58"/>
      <c r="F230" s="58"/>
      <c r="G230" s="58"/>
      <c r="H230" s="58"/>
      <c r="I230" s="58"/>
      <c r="J230" s="58">
        <v>67500</v>
      </c>
      <c r="K230" s="58">
        <v>7500</v>
      </c>
      <c r="L230" s="58"/>
      <c r="M230" s="58"/>
      <c r="N230" s="58">
        <f t="shared" si="147"/>
        <v>75000</v>
      </c>
      <c r="P230" s="58"/>
      <c r="Q230" s="58"/>
    </row>
    <row r="231" spans="1:17" ht="15.75" thickBot="1" x14ac:dyDescent="0.3">
      <c r="A231" s="120" t="s">
        <v>177</v>
      </c>
      <c r="B231" s="39">
        <f t="shared" ref="B231:F231" si="150">SUM(B213:B229)</f>
        <v>196640.18</v>
      </c>
      <c r="C231" s="39">
        <f t="shared" si="150"/>
        <v>189381.89</v>
      </c>
      <c r="D231" s="39">
        <f t="shared" si="150"/>
        <v>195764.02000000002</v>
      </c>
      <c r="E231" s="39">
        <f t="shared" si="150"/>
        <v>187712.74</v>
      </c>
      <c r="F231" s="39">
        <f t="shared" si="150"/>
        <v>186399.78</v>
      </c>
      <c r="G231" s="39">
        <f>SUM(G213:G229)</f>
        <v>206284.2</v>
      </c>
      <c r="H231" s="39">
        <f>SUM(H213:H229)</f>
        <v>214608.83</v>
      </c>
      <c r="I231" s="39">
        <f>SUM(I213:I230)</f>
        <v>186243.88999999998</v>
      </c>
      <c r="J231" s="39">
        <f>SUM(J212:J230)</f>
        <v>262825.53000000003</v>
      </c>
      <c r="K231" s="39">
        <f>SUM(K212:K230)</f>
        <v>224300.05</v>
      </c>
      <c r="L231" s="39">
        <f t="shared" ref="L231:M231" si="151">SUM(L213:L226)</f>
        <v>0</v>
      </c>
      <c r="M231" s="39">
        <f t="shared" si="151"/>
        <v>0</v>
      </c>
      <c r="N231" s="39">
        <f>SUM(N212:N230)</f>
        <v>2050161.11</v>
      </c>
      <c r="P231" s="39">
        <f t="shared" si="148"/>
        <v>186378.28272727274</v>
      </c>
      <c r="Q231" s="39">
        <f t="shared" si="149"/>
        <v>-186378.28272727274</v>
      </c>
    </row>
    <row r="232" spans="1:17" ht="15.75" thickTop="1" x14ac:dyDescent="0.25">
      <c r="C232" s="1"/>
      <c r="D232" s="1"/>
      <c r="E232" s="1"/>
      <c r="F232" s="1"/>
      <c r="G232" s="1"/>
      <c r="H232" s="58"/>
      <c r="I232" s="1"/>
      <c r="J232" s="1"/>
      <c r="K232" s="1"/>
      <c r="L232" s="1"/>
      <c r="M232" s="1"/>
      <c r="N232" s="58"/>
      <c r="P232" s="1">
        <f t="shared" si="148"/>
        <v>0</v>
      </c>
      <c r="Q232" s="1">
        <f t="shared" si="149"/>
        <v>0</v>
      </c>
    </row>
    <row r="233" spans="1:17" x14ac:dyDescent="0.25">
      <c r="A233" s="112" t="s">
        <v>178</v>
      </c>
      <c r="B233" s="1">
        <v>0</v>
      </c>
      <c r="C233" s="1">
        <v>0</v>
      </c>
      <c r="D233" s="1">
        <v>0</v>
      </c>
      <c r="E233" s="1"/>
      <c r="F233" s="1">
        <v>0</v>
      </c>
      <c r="G233" s="1">
        <v>2500</v>
      </c>
      <c r="H233" s="58">
        <v>2000</v>
      </c>
      <c r="I233" s="58">
        <v>0</v>
      </c>
      <c r="J233" s="1">
        <v>0</v>
      </c>
      <c r="K233" s="1">
        <v>0</v>
      </c>
      <c r="L233" s="1"/>
      <c r="M233" s="1"/>
      <c r="N233" s="58">
        <f t="shared" ref="N233:N262" si="152">SUM(B233:M233)</f>
        <v>4500</v>
      </c>
      <c r="P233" s="1">
        <f t="shared" si="148"/>
        <v>409.09090909090907</v>
      </c>
      <c r="Q233" s="1">
        <f t="shared" si="149"/>
        <v>-409.09090909090907</v>
      </c>
    </row>
    <row r="234" spans="1:17" x14ac:dyDescent="0.25">
      <c r="A234" s="112" t="s">
        <v>179</v>
      </c>
      <c r="B234" s="1">
        <v>5835.67</v>
      </c>
      <c r="C234" s="1">
        <v>5000</v>
      </c>
      <c r="D234" s="5">
        <v>4813.05</v>
      </c>
      <c r="E234" s="1">
        <v>5000</v>
      </c>
      <c r="F234" s="1">
        <v>5000</v>
      </c>
      <c r="G234" s="1">
        <v>5000</v>
      </c>
      <c r="H234" s="58">
        <v>5000</v>
      </c>
      <c r="I234" s="58">
        <v>5000</v>
      </c>
      <c r="J234" s="1">
        <v>-10977.05</v>
      </c>
      <c r="K234" s="1">
        <v>3250</v>
      </c>
      <c r="L234" s="1"/>
      <c r="M234" s="1"/>
      <c r="N234" s="58">
        <f t="shared" si="152"/>
        <v>32921.67</v>
      </c>
      <c r="P234" s="1">
        <f t="shared" si="148"/>
        <v>2992.8790909090908</v>
      </c>
      <c r="Q234" s="1">
        <f t="shared" si="149"/>
        <v>-2992.8790909090908</v>
      </c>
    </row>
    <row r="235" spans="1:17" x14ac:dyDescent="0.25">
      <c r="A235" s="112" t="s">
        <v>180</v>
      </c>
      <c r="B235" s="1">
        <v>815.83</v>
      </c>
      <c r="C235" s="1">
        <v>1293.81</v>
      </c>
      <c r="D235" s="5">
        <v>863.73</v>
      </c>
      <c r="E235" s="1">
        <v>836.51</v>
      </c>
      <c r="F235" s="1">
        <v>838.95</v>
      </c>
      <c r="G235" s="1">
        <v>838.95</v>
      </c>
      <c r="H235" s="58">
        <v>822.29</v>
      </c>
      <c r="I235" s="58">
        <v>935.47</v>
      </c>
      <c r="J235" s="1">
        <v>805.06</v>
      </c>
      <c r="K235" s="1">
        <v>800.32</v>
      </c>
      <c r="L235" s="1"/>
      <c r="M235" s="1"/>
      <c r="N235" s="58">
        <f t="shared" si="152"/>
        <v>8850.92</v>
      </c>
      <c r="P235" s="1">
        <f t="shared" si="148"/>
        <v>804.62909090909091</v>
      </c>
      <c r="Q235" s="1">
        <f t="shared" si="149"/>
        <v>-804.62909090909091</v>
      </c>
    </row>
    <row r="236" spans="1:17" x14ac:dyDescent="0.25">
      <c r="A236" s="112" t="s">
        <v>181</v>
      </c>
      <c r="B236" s="1">
        <v>11891.59</v>
      </c>
      <c r="C236" s="1">
        <v>11089.07</v>
      </c>
      <c r="D236" s="5">
        <v>11189.22</v>
      </c>
      <c r="E236" s="1">
        <v>11179.32</v>
      </c>
      <c r="F236" s="1">
        <v>10355.59</v>
      </c>
      <c r="G236" s="1">
        <v>2547</v>
      </c>
      <c r="H236" s="58">
        <v>10193.629999999999</v>
      </c>
      <c r="I236" s="58">
        <v>11578.59</v>
      </c>
      <c r="J236" s="1">
        <v>11065.45</v>
      </c>
      <c r="K236" s="1">
        <v>11588.03</v>
      </c>
      <c r="L236" s="1"/>
      <c r="M236" s="1"/>
      <c r="N236" s="58">
        <f t="shared" si="152"/>
        <v>102677.48999999999</v>
      </c>
      <c r="P236" s="1">
        <f t="shared" si="148"/>
        <v>9334.3172727272722</v>
      </c>
      <c r="Q236" s="1">
        <f t="shared" si="149"/>
        <v>-9334.3172727272722</v>
      </c>
    </row>
    <row r="237" spans="1:17" x14ac:dyDescent="0.25">
      <c r="A237" s="112" t="s">
        <v>182</v>
      </c>
      <c r="B237" s="1">
        <v>0</v>
      </c>
      <c r="C237" s="1">
        <v>0</v>
      </c>
      <c r="D237" s="5">
        <v>0</v>
      </c>
      <c r="E237" s="1">
        <v>0</v>
      </c>
      <c r="F237" s="1">
        <v>0</v>
      </c>
      <c r="G237" s="1">
        <v>0</v>
      </c>
      <c r="H237" s="58">
        <v>0</v>
      </c>
      <c r="I237" s="58">
        <v>0</v>
      </c>
      <c r="J237" s="1">
        <v>543.67999999999995</v>
      </c>
      <c r="K237" s="1">
        <v>0</v>
      </c>
      <c r="L237" s="1"/>
      <c r="M237" s="1"/>
      <c r="N237" s="58">
        <f t="shared" si="152"/>
        <v>543.67999999999995</v>
      </c>
      <c r="P237" s="1">
        <f t="shared" si="148"/>
        <v>49.425454545454542</v>
      </c>
      <c r="Q237" s="1">
        <f t="shared" si="149"/>
        <v>-49.425454545454542</v>
      </c>
    </row>
    <row r="238" spans="1:17" x14ac:dyDescent="0.25">
      <c r="A238" s="112" t="s">
        <v>183</v>
      </c>
      <c r="B238" s="1">
        <v>2200</v>
      </c>
      <c r="C238" s="1">
        <v>545.54</v>
      </c>
      <c r="D238" s="5">
        <v>774.24</v>
      </c>
      <c r="E238" s="1">
        <v>36.65</v>
      </c>
      <c r="F238" s="1">
        <v>22.4</v>
      </c>
      <c r="G238" s="1">
        <v>149.9</v>
      </c>
      <c r="H238" s="58">
        <v>27.1</v>
      </c>
      <c r="I238" s="58">
        <v>53.2</v>
      </c>
      <c r="J238" s="1">
        <v>11.78</v>
      </c>
      <c r="K238" s="1">
        <v>48.35</v>
      </c>
      <c r="L238" s="1"/>
      <c r="M238" s="1"/>
      <c r="N238" s="58">
        <f t="shared" si="152"/>
        <v>3869.16</v>
      </c>
      <c r="P238" s="1">
        <f t="shared" si="148"/>
        <v>351.74181818181819</v>
      </c>
      <c r="Q238" s="1">
        <f t="shared" si="149"/>
        <v>-351.74181818181819</v>
      </c>
    </row>
    <row r="239" spans="1:17" x14ac:dyDescent="0.25">
      <c r="A239" s="112" t="s">
        <v>184</v>
      </c>
      <c r="B239" s="1">
        <v>0</v>
      </c>
      <c r="C239" s="1">
        <v>0</v>
      </c>
      <c r="D239" s="5">
        <v>0</v>
      </c>
      <c r="E239" s="1">
        <v>0</v>
      </c>
      <c r="F239" s="1">
        <v>0</v>
      </c>
      <c r="G239" s="1">
        <v>0</v>
      </c>
      <c r="H239" s="58">
        <v>0</v>
      </c>
      <c r="I239" s="58">
        <v>0</v>
      </c>
      <c r="J239" s="1">
        <v>0</v>
      </c>
      <c r="K239" s="1">
        <v>0</v>
      </c>
      <c r="L239" s="1"/>
      <c r="M239" s="1"/>
      <c r="N239" s="58">
        <f t="shared" si="152"/>
        <v>0</v>
      </c>
      <c r="O239" s="1"/>
      <c r="P239" s="1">
        <f t="shared" si="148"/>
        <v>0</v>
      </c>
      <c r="Q239" s="1">
        <f t="shared" si="149"/>
        <v>0</v>
      </c>
    </row>
    <row r="240" spans="1:17" x14ac:dyDescent="0.25">
      <c r="A240" s="112" t="s">
        <v>185</v>
      </c>
      <c r="B240" s="1">
        <v>0</v>
      </c>
      <c r="C240" s="1">
        <v>0</v>
      </c>
      <c r="D240" s="5">
        <v>0</v>
      </c>
      <c r="E240" s="1">
        <v>0</v>
      </c>
      <c r="F240" s="1">
        <v>0</v>
      </c>
      <c r="G240" s="1">
        <v>0</v>
      </c>
      <c r="H240" s="58">
        <v>0</v>
      </c>
      <c r="I240" s="58">
        <v>0</v>
      </c>
      <c r="J240" s="1">
        <v>0</v>
      </c>
      <c r="K240" s="1">
        <v>0</v>
      </c>
      <c r="L240" s="1"/>
      <c r="M240" s="1"/>
      <c r="N240" s="58">
        <f t="shared" si="152"/>
        <v>0</v>
      </c>
      <c r="P240" s="1">
        <f t="shared" si="148"/>
        <v>0</v>
      </c>
      <c r="Q240" s="1">
        <f t="shared" si="149"/>
        <v>0</v>
      </c>
    </row>
    <row r="241" spans="1:17" x14ac:dyDescent="0.25">
      <c r="A241" s="112" t="s">
        <v>186</v>
      </c>
      <c r="B241" s="1">
        <v>0</v>
      </c>
      <c r="C241" s="1">
        <v>0</v>
      </c>
      <c r="D241" s="5">
        <v>0</v>
      </c>
      <c r="E241" s="1">
        <v>0</v>
      </c>
      <c r="F241" s="1">
        <v>0</v>
      </c>
      <c r="G241" s="1">
        <v>0</v>
      </c>
      <c r="H241" s="58">
        <v>0</v>
      </c>
      <c r="I241" s="58">
        <v>0</v>
      </c>
      <c r="J241" s="1">
        <v>0</v>
      </c>
      <c r="K241" s="1">
        <v>0</v>
      </c>
      <c r="L241" s="1"/>
      <c r="M241" s="1"/>
      <c r="N241" s="58">
        <f t="shared" si="152"/>
        <v>0</v>
      </c>
      <c r="P241" s="1">
        <f t="shared" si="148"/>
        <v>0</v>
      </c>
      <c r="Q241" s="1">
        <f t="shared" si="149"/>
        <v>0</v>
      </c>
    </row>
    <row r="242" spans="1:17" x14ac:dyDescent="0.25">
      <c r="A242" s="112" t="s">
        <v>187</v>
      </c>
      <c r="B242" s="1">
        <v>0</v>
      </c>
      <c r="C242" s="1">
        <v>0</v>
      </c>
      <c r="D242" s="5">
        <v>0</v>
      </c>
      <c r="E242" s="1">
        <v>3888.88</v>
      </c>
      <c r="F242" s="1">
        <v>3888.88</v>
      </c>
      <c r="G242" s="1">
        <v>13152.25</v>
      </c>
      <c r="H242" s="58">
        <v>10269.51</v>
      </c>
      <c r="I242" s="58">
        <v>3908.87</v>
      </c>
      <c r="J242" s="1">
        <v>-19383.14</v>
      </c>
      <c r="K242" s="1">
        <v>0</v>
      </c>
      <c r="L242" s="1"/>
      <c r="M242" s="1"/>
      <c r="N242" s="58">
        <f t="shared" si="152"/>
        <v>15725.250000000007</v>
      </c>
      <c r="P242" s="1">
        <f t="shared" si="148"/>
        <v>1429.5681818181824</v>
      </c>
      <c r="Q242" s="1">
        <f t="shared" si="149"/>
        <v>-1429.5681818181824</v>
      </c>
    </row>
    <row r="243" spans="1:17" x14ac:dyDescent="0.25">
      <c r="A243" s="112" t="s">
        <v>188</v>
      </c>
      <c r="B243" s="1">
        <v>0</v>
      </c>
      <c r="C243" s="1">
        <v>0</v>
      </c>
      <c r="D243" s="5">
        <v>0</v>
      </c>
      <c r="E243" s="1">
        <v>0</v>
      </c>
      <c r="F243" s="1">
        <v>0</v>
      </c>
      <c r="G243" s="1">
        <v>234.03</v>
      </c>
      <c r="H243" s="58">
        <v>0</v>
      </c>
      <c r="I243" s="58">
        <v>56.7</v>
      </c>
      <c r="J243" s="1">
        <v>106.9</v>
      </c>
      <c r="K243" s="1">
        <v>0</v>
      </c>
      <c r="L243" s="1"/>
      <c r="M243" s="1"/>
      <c r="N243" s="58">
        <f t="shared" si="152"/>
        <v>397.63</v>
      </c>
      <c r="O243" s="1"/>
      <c r="P243" s="1">
        <f t="shared" si="148"/>
        <v>36.148181818181818</v>
      </c>
      <c r="Q243" s="1">
        <f t="shared" si="149"/>
        <v>-36.148181818181818</v>
      </c>
    </row>
    <row r="244" spans="1:17" x14ac:dyDescent="0.25">
      <c r="A244" s="112" t="s">
        <v>189</v>
      </c>
      <c r="B244" s="1">
        <v>-1079.68</v>
      </c>
      <c r="C244" s="1">
        <v>2431.7199999999998</v>
      </c>
      <c r="D244" s="5">
        <v>1397.5</v>
      </c>
      <c r="E244" s="1">
        <f>1455.94+540.08</f>
        <v>1996.02</v>
      </c>
      <c r="F244" s="1">
        <v>4141.2299999999996</v>
      </c>
      <c r="G244" s="1">
        <v>1897.43</v>
      </c>
      <c r="H244" s="58">
        <v>1351.56</v>
      </c>
      <c r="I244" s="58">
        <v>1842.88</v>
      </c>
      <c r="J244" s="1">
        <v>-947.97</v>
      </c>
      <c r="K244" s="1">
        <v>1431.58</v>
      </c>
      <c r="L244" s="1"/>
      <c r="M244" s="1"/>
      <c r="N244" s="58">
        <f t="shared" si="152"/>
        <v>14462.27</v>
      </c>
      <c r="P244" s="1">
        <f t="shared" si="148"/>
        <v>1314.7518181818182</v>
      </c>
      <c r="Q244" s="1">
        <f t="shared" si="149"/>
        <v>-1314.7518181818182</v>
      </c>
    </row>
    <row r="245" spans="1:17" x14ac:dyDescent="0.25">
      <c r="A245" s="112" t="s">
        <v>190</v>
      </c>
      <c r="B245" s="1">
        <v>369.62</v>
      </c>
      <c r="C245" s="1">
        <v>337.5</v>
      </c>
      <c r="D245" s="5">
        <v>0</v>
      </c>
      <c r="E245" s="1">
        <v>269.62</v>
      </c>
      <c r="F245" s="1">
        <v>0</v>
      </c>
      <c r="G245" s="1">
        <v>0</v>
      </c>
      <c r="H245" s="58">
        <v>291.94</v>
      </c>
      <c r="I245" s="58">
        <v>0</v>
      </c>
      <c r="J245" s="1">
        <v>0</v>
      </c>
      <c r="K245" s="1">
        <v>291.93</v>
      </c>
      <c r="L245" s="1"/>
      <c r="M245" s="1"/>
      <c r="N245" s="58">
        <f t="shared" si="152"/>
        <v>1560.6100000000001</v>
      </c>
      <c r="P245" s="1">
        <f t="shared" si="148"/>
        <v>141.87363636363636</v>
      </c>
      <c r="Q245" s="1">
        <f t="shared" si="149"/>
        <v>-141.87363636363636</v>
      </c>
    </row>
    <row r="246" spans="1:17" x14ac:dyDescent="0.25">
      <c r="A246" s="112" t="s">
        <v>191</v>
      </c>
      <c r="B246" s="1">
        <v>5036.3900000000003</v>
      </c>
      <c r="C246" s="1">
        <v>4091.87</v>
      </c>
      <c r="D246" s="5">
        <v>4231.8500000000004</v>
      </c>
      <c r="E246" s="1">
        <v>1960.99</v>
      </c>
      <c r="F246" s="1">
        <v>3137.77</v>
      </c>
      <c r="G246" s="1">
        <v>2373.7600000000002</v>
      </c>
      <c r="H246" s="58">
        <v>2720.77</v>
      </c>
      <c r="I246" s="58">
        <v>2233.6799999999998</v>
      </c>
      <c r="J246" s="1">
        <v>1749.68</v>
      </c>
      <c r="K246" s="1">
        <v>1749.68</v>
      </c>
      <c r="L246" s="1"/>
      <c r="M246" s="1"/>
      <c r="N246" s="58">
        <f t="shared" si="152"/>
        <v>29286.44</v>
      </c>
      <c r="P246" s="1">
        <f t="shared" si="148"/>
        <v>2662.4036363636365</v>
      </c>
      <c r="Q246" s="1">
        <f t="shared" si="149"/>
        <v>-2662.4036363636365</v>
      </c>
    </row>
    <row r="247" spans="1:17" x14ac:dyDescent="0.25">
      <c r="A247" s="112" t="s">
        <v>192</v>
      </c>
      <c r="B247" s="1">
        <v>2582.41</v>
      </c>
      <c r="C247" s="1">
        <v>2701.31</v>
      </c>
      <c r="D247" s="5">
        <v>3298.35</v>
      </c>
      <c r="E247" s="1">
        <v>2350.81</v>
      </c>
      <c r="F247" s="1">
        <v>2499.0500000000002</v>
      </c>
      <c r="G247" s="1">
        <v>3334.89</v>
      </c>
      <c r="H247" s="58">
        <v>2438.75</v>
      </c>
      <c r="I247" s="58">
        <v>2256.88</v>
      </c>
      <c r="J247" s="1">
        <v>-2442.33</v>
      </c>
      <c r="K247" s="1">
        <v>2761.82</v>
      </c>
      <c r="L247" s="1"/>
      <c r="M247" s="1"/>
      <c r="N247" s="58">
        <f t="shared" si="152"/>
        <v>21781.940000000002</v>
      </c>
      <c r="P247" s="1">
        <f t="shared" si="148"/>
        <v>1980.1763636363639</v>
      </c>
      <c r="Q247" s="1">
        <f t="shared" si="149"/>
        <v>-1980.1763636363639</v>
      </c>
    </row>
    <row r="248" spans="1:17" x14ac:dyDescent="0.25">
      <c r="A248" s="112" t="s">
        <v>193</v>
      </c>
      <c r="B248" s="1">
        <v>20798</v>
      </c>
      <c r="C248" s="1">
        <v>19135.740000000002</v>
      </c>
      <c r="D248" s="1">
        <v>17216.87</v>
      </c>
      <c r="E248" s="1">
        <v>10016.870000000001</v>
      </c>
      <c r="F248" s="1">
        <v>10016.870000000001</v>
      </c>
      <c r="G248" s="1">
        <v>10168.870000000001</v>
      </c>
      <c r="H248" s="58">
        <v>10016.870000000001</v>
      </c>
      <c r="I248" s="58">
        <v>10267.049999999999</v>
      </c>
      <c r="J248" s="1">
        <v>-7654.31</v>
      </c>
      <c r="K248" s="1">
        <v>8842.4599999999991</v>
      </c>
      <c r="L248" s="1"/>
      <c r="M248" s="1"/>
      <c r="N248" s="58">
        <f t="shared" si="152"/>
        <v>108825.28999999998</v>
      </c>
      <c r="P248" s="1">
        <f>(N248-M248)/11</f>
        <v>9893.2081818181796</v>
      </c>
      <c r="Q248" s="1">
        <f>M248-P248</f>
        <v>-9893.2081818181796</v>
      </c>
    </row>
    <row r="249" spans="1:17" x14ac:dyDescent="0.25">
      <c r="A249" s="112" t="s">
        <v>194</v>
      </c>
      <c r="B249" s="1">
        <v>3253.33</v>
      </c>
      <c r="C249" s="1">
        <v>2533.33</v>
      </c>
      <c r="D249" s="5">
        <v>2533.33</v>
      </c>
      <c r="E249" s="1">
        <v>2533.33</v>
      </c>
      <c r="F249" s="1">
        <v>2533.33</v>
      </c>
      <c r="G249" s="1">
        <v>2533.33</v>
      </c>
      <c r="H249" s="58">
        <v>2533.33</v>
      </c>
      <c r="I249" s="58">
        <v>2533.33</v>
      </c>
      <c r="J249" s="1">
        <v>-10791.02</v>
      </c>
      <c r="K249" s="1">
        <v>2533.33</v>
      </c>
      <c r="L249" s="1"/>
      <c r="M249" s="1"/>
      <c r="N249" s="58">
        <f t="shared" si="152"/>
        <v>12728.949999999999</v>
      </c>
      <c r="P249" s="1">
        <f t="shared" si="148"/>
        <v>1157.1772727272726</v>
      </c>
      <c r="Q249" s="1">
        <f t="shared" si="149"/>
        <v>-1157.1772727272726</v>
      </c>
    </row>
    <row r="250" spans="1:17" x14ac:dyDescent="0.25">
      <c r="A250" s="112" t="s">
        <v>195</v>
      </c>
      <c r="B250" s="1">
        <v>1266.67</v>
      </c>
      <c r="C250" s="1">
        <v>1266.67</v>
      </c>
      <c r="D250" s="5">
        <v>6536.01</v>
      </c>
      <c r="E250" s="1">
        <v>3238.1</v>
      </c>
      <c r="F250" s="1">
        <v>3238.1</v>
      </c>
      <c r="G250" s="1">
        <v>-3590.69</v>
      </c>
      <c r="H250" s="58">
        <v>1535.07</v>
      </c>
      <c r="I250" s="58">
        <v>1266.67</v>
      </c>
      <c r="J250" s="1">
        <v>2678.42</v>
      </c>
      <c r="K250" s="1">
        <v>1991.67</v>
      </c>
      <c r="L250" s="1"/>
      <c r="M250" s="1"/>
      <c r="N250" s="58">
        <f t="shared" si="152"/>
        <v>19426.690000000002</v>
      </c>
      <c r="P250" s="1">
        <f t="shared" si="148"/>
        <v>1766.0627272727274</v>
      </c>
      <c r="Q250" s="1">
        <f t="shared" si="149"/>
        <v>-1766.0627272727274</v>
      </c>
    </row>
    <row r="251" spans="1:17" x14ac:dyDescent="0.25">
      <c r="A251" s="112" t="s">
        <v>196</v>
      </c>
      <c r="B251" s="1">
        <v>428.57</v>
      </c>
      <c r="C251" s="1">
        <v>428.57</v>
      </c>
      <c r="D251" s="5">
        <v>428.57</v>
      </c>
      <c r="E251" s="1">
        <v>428.57</v>
      </c>
      <c r="F251" s="1">
        <v>1580.99</v>
      </c>
      <c r="G251" s="1">
        <v>-895.84</v>
      </c>
      <c r="H251" s="58">
        <v>374.03</v>
      </c>
      <c r="I251" s="58">
        <v>750</v>
      </c>
      <c r="J251" s="1">
        <v>1068.75</v>
      </c>
      <c r="K251" s="1">
        <v>673.75</v>
      </c>
      <c r="L251" s="1"/>
      <c r="M251" s="1"/>
      <c r="N251" s="58">
        <f t="shared" si="152"/>
        <v>5265.96</v>
      </c>
      <c r="P251" s="1">
        <f t="shared" si="148"/>
        <v>478.72363636363639</v>
      </c>
      <c r="Q251" s="1">
        <f t="shared" si="149"/>
        <v>-478.72363636363639</v>
      </c>
    </row>
    <row r="252" spans="1:17" x14ac:dyDescent="0.25">
      <c r="A252" s="112" t="s">
        <v>197</v>
      </c>
      <c r="B252" s="1">
        <v>2451.4299999999998</v>
      </c>
      <c r="C252" s="1">
        <v>2673.97</v>
      </c>
      <c r="D252" s="5">
        <v>2254.42</v>
      </c>
      <c r="E252" s="1">
        <v>0</v>
      </c>
      <c r="F252" s="1">
        <v>865.5</v>
      </c>
      <c r="G252" s="1">
        <v>3530.1</v>
      </c>
      <c r="H252" s="58">
        <v>2405.85</v>
      </c>
      <c r="I252" s="58">
        <v>2695.65</v>
      </c>
      <c r="J252" s="1">
        <v>1073.3599999999999</v>
      </c>
      <c r="K252" s="1">
        <v>1240.24</v>
      </c>
      <c r="L252" s="1"/>
      <c r="M252" s="1"/>
      <c r="N252" s="58">
        <f t="shared" si="152"/>
        <v>19190.520000000004</v>
      </c>
      <c r="P252" s="1">
        <f t="shared" si="148"/>
        <v>1744.5927272727276</v>
      </c>
      <c r="Q252" s="1">
        <f t="shared" si="149"/>
        <v>-1744.5927272727276</v>
      </c>
    </row>
    <row r="253" spans="1:17" x14ac:dyDescent="0.25">
      <c r="A253" s="112" t="s">
        <v>198</v>
      </c>
      <c r="B253" s="1">
        <v>0</v>
      </c>
      <c r="C253" s="1">
        <v>680.88</v>
      </c>
      <c r="D253" s="5">
        <v>4256.26</v>
      </c>
      <c r="E253" s="1">
        <v>998.65</v>
      </c>
      <c r="F253" s="1">
        <v>3059.3</v>
      </c>
      <c r="G253" s="1">
        <v>2520.4299999999998</v>
      </c>
      <c r="H253" s="58">
        <v>3606.37</v>
      </c>
      <c r="I253" s="58">
        <v>7404.71</v>
      </c>
      <c r="J253" s="1">
        <v>4019.71</v>
      </c>
      <c r="K253" s="1">
        <v>1588.42</v>
      </c>
      <c r="L253" s="1"/>
      <c r="M253" s="1"/>
      <c r="N253" s="58">
        <f t="shared" si="152"/>
        <v>28134.729999999996</v>
      </c>
      <c r="P253" s="1">
        <f t="shared" si="148"/>
        <v>2557.7027272727269</v>
      </c>
      <c r="Q253" s="1">
        <f t="shared" si="149"/>
        <v>-2557.7027272727269</v>
      </c>
    </row>
    <row r="254" spans="1:17" x14ac:dyDescent="0.25">
      <c r="A254" s="112" t="s">
        <v>438</v>
      </c>
      <c r="C254" s="1"/>
      <c r="D254" s="5"/>
      <c r="E254" s="1"/>
      <c r="F254" s="1"/>
      <c r="G254" s="1">
        <v>3196.84</v>
      </c>
      <c r="H254" s="58">
        <v>4200.3</v>
      </c>
      <c r="I254" s="58">
        <v>2284</v>
      </c>
      <c r="J254" s="1">
        <v>3424.43</v>
      </c>
      <c r="K254" s="1">
        <v>2283.96</v>
      </c>
      <c r="L254" s="1"/>
      <c r="M254" s="1"/>
      <c r="N254" s="58">
        <f t="shared" si="152"/>
        <v>15389.529999999999</v>
      </c>
      <c r="P254" s="1"/>
      <c r="Q254" s="1"/>
    </row>
    <row r="255" spans="1:17" x14ac:dyDescent="0.25">
      <c r="A255" s="112" t="s">
        <v>396</v>
      </c>
      <c r="B255" s="1">
        <v>3782</v>
      </c>
      <c r="C255" s="1">
        <v>3307.08</v>
      </c>
      <c r="D255" s="5">
        <v>1484.08</v>
      </c>
      <c r="E255" s="1">
        <v>3120.16</v>
      </c>
      <c r="F255" s="1">
        <v>1484.08</v>
      </c>
      <c r="G255" s="1">
        <v>10055.51</v>
      </c>
      <c r="H255" s="58">
        <v>11706.59</v>
      </c>
      <c r="I255" s="58">
        <v>10222.51</v>
      </c>
      <c r="J255" s="1">
        <v>-2159.27</v>
      </c>
      <c r="K255" s="1">
        <v>9218.25</v>
      </c>
      <c r="L255" s="1"/>
      <c r="M255" s="1"/>
      <c r="N255" s="58">
        <f t="shared" si="152"/>
        <v>52220.990000000005</v>
      </c>
      <c r="P255" s="1"/>
      <c r="Q255" s="1"/>
    </row>
    <row r="256" spans="1:17" x14ac:dyDescent="0.25">
      <c r="A256" s="112" t="s">
        <v>433</v>
      </c>
      <c r="B256" s="1">
        <v>44000</v>
      </c>
      <c r="C256" s="1">
        <v>25000</v>
      </c>
      <c r="D256" s="5">
        <v>25000</v>
      </c>
      <c r="E256" s="1">
        <v>25000</v>
      </c>
      <c r="F256" s="1">
        <v>25000</v>
      </c>
      <c r="G256" s="1">
        <v>29428.57</v>
      </c>
      <c r="H256" s="58">
        <v>29428.57</v>
      </c>
      <c r="I256" s="58">
        <v>29428.57</v>
      </c>
      <c r="J256" s="1">
        <v>29428.57</v>
      </c>
      <c r="K256" s="1">
        <v>29428.57</v>
      </c>
      <c r="L256" s="1"/>
      <c r="M256" s="1"/>
      <c r="N256" s="58">
        <f t="shared" si="152"/>
        <v>291142.85000000003</v>
      </c>
      <c r="P256" s="1"/>
      <c r="Q256" s="1"/>
    </row>
    <row r="257" spans="1:17" x14ac:dyDescent="0.25">
      <c r="A257" s="112" t="s">
        <v>397</v>
      </c>
      <c r="B257" s="1">
        <v>7500</v>
      </c>
      <c r="C257" s="1">
        <v>7500</v>
      </c>
      <c r="D257" s="5">
        <v>8000</v>
      </c>
      <c r="E257" s="1">
        <v>7500</v>
      </c>
      <c r="F257" s="1">
        <v>7500</v>
      </c>
      <c r="G257" s="1">
        <v>7500</v>
      </c>
      <c r="H257" s="58">
        <v>7500</v>
      </c>
      <c r="I257" s="58">
        <v>7500</v>
      </c>
      <c r="J257" s="1">
        <v>7500</v>
      </c>
      <c r="K257" s="1">
        <v>7500</v>
      </c>
      <c r="L257" s="1"/>
      <c r="M257" s="1"/>
      <c r="N257" s="58">
        <f t="shared" si="152"/>
        <v>75500</v>
      </c>
      <c r="P257" s="1"/>
      <c r="Q257" s="1"/>
    </row>
    <row r="258" spans="1:17" x14ac:dyDescent="0.25">
      <c r="A258" s="112" t="s">
        <v>434</v>
      </c>
      <c r="B258" s="1">
        <v>0</v>
      </c>
      <c r="C258" s="1">
        <v>1215</v>
      </c>
      <c r="D258" s="5">
        <v>0</v>
      </c>
      <c r="E258" s="1">
        <v>8257.5</v>
      </c>
      <c r="F258" s="1">
        <v>3982.5</v>
      </c>
      <c r="G258" s="1">
        <v>6097.5</v>
      </c>
      <c r="H258" s="58">
        <v>9922.5</v>
      </c>
      <c r="I258" s="58">
        <v>4455</v>
      </c>
      <c r="J258" s="1">
        <v>-8350.8799999999992</v>
      </c>
      <c r="K258" s="1">
        <v>4630.2700000000004</v>
      </c>
      <c r="L258" s="1"/>
      <c r="M258" s="1"/>
      <c r="N258" s="58">
        <f t="shared" si="152"/>
        <v>30209.390000000003</v>
      </c>
      <c r="P258" s="1"/>
      <c r="Q258" s="1"/>
    </row>
    <row r="259" spans="1:17" x14ac:dyDescent="0.25">
      <c r="A259" s="112" t="s">
        <v>435</v>
      </c>
      <c r="B259" s="1">
        <v>109</v>
      </c>
      <c r="C259" s="1">
        <v>0</v>
      </c>
      <c r="D259" s="5">
        <v>0</v>
      </c>
      <c r="E259" s="1">
        <v>0</v>
      </c>
      <c r="F259" s="1">
        <v>0</v>
      </c>
      <c r="G259" s="1">
        <v>0</v>
      </c>
      <c r="H259" s="58">
        <v>161</v>
      </c>
      <c r="I259" s="58">
        <v>300</v>
      </c>
      <c r="J259" s="1">
        <v>1093</v>
      </c>
      <c r="K259" s="1">
        <v>90</v>
      </c>
      <c r="L259" s="1"/>
      <c r="M259" s="1"/>
      <c r="N259" s="58">
        <f t="shared" si="152"/>
        <v>1753</v>
      </c>
      <c r="P259" s="1"/>
      <c r="Q259" s="1"/>
    </row>
    <row r="260" spans="1:17" x14ac:dyDescent="0.25">
      <c r="A260" s="112" t="s">
        <v>436</v>
      </c>
      <c r="B260" s="1">
        <v>0</v>
      </c>
      <c r="C260" s="1">
        <v>0</v>
      </c>
      <c r="D260" s="5">
        <v>0</v>
      </c>
      <c r="E260" s="1">
        <v>0</v>
      </c>
      <c r="F260" s="1">
        <v>300</v>
      </c>
      <c r="G260" s="1">
        <v>0</v>
      </c>
      <c r="H260" s="58">
        <v>0</v>
      </c>
      <c r="I260" s="58">
        <v>86.71</v>
      </c>
      <c r="J260" s="1">
        <v>0</v>
      </c>
      <c r="K260" s="1">
        <v>0</v>
      </c>
      <c r="L260" s="1"/>
      <c r="M260" s="1"/>
      <c r="N260" s="58">
        <f t="shared" si="152"/>
        <v>386.71</v>
      </c>
      <c r="P260" s="1"/>
      <c r="Q260" s="1"/>
    </row>
    <row r="261" spans="1:17" x14ac:dyDescent="0.25">
      <c r="A261" s="112" t="s">
        <v>437</v>
      </c>
      <c r="B261" s="1">
        <v>0</v>
      </c>
      <c r="C261" s="1">
        <v>0</v>
      </c>
      <c r="D261" s="5">
        <v>0</v>
      </c>
      <c r="E261" s="1">
        <v>0</v>
      </c>
      <c r="F261" s="1">
        <v>0</v>
      </c>
      <c r="G261" s="1">
        <v>573.52</v>
      </c>
      <c r="H261" s="58">
        <v>0</v>
      </c>
      <c r="I261" s="58">
        <v>0</v>
      </c>
      <c r="J261" s="1">
        <v>0</v>
      </c>
      <c r="K261" s="1">
        <v>0</v>
      </c>
      <c r="L261" s="1"/>
      <c r="M261" s="1"/>
      <c r="N261" s="58">
        <f t="shared" si="152"/>
        <v>573.52</v>
      </c>
      <c r="P261" s="1"/>
      <c r="Q261" s="1"/>
    </row>
    <row r="262" spans="1:17" s="155" customFormat="1" x14ac:dyDescent="0.25">
      <c r="A262" s="7" t="s">
        <v>458</v>
      </c>
      <c r="B262" s="58"/>
      <c r="C262" s="58"/>
      <c r="D262" s="5"/>
      <c r="E262" s="154"/>
      <c r="F262" s="58"/>
      <c r="G262" s="58">
        <v>0</v>
      </c>
      <c r="H262" s="58">
        <v>0</v>
      </c>
      <c r="I262" s="58">
        <v>6518.25</v>
      </c>
      <c r="J262" s="58">
        <v>1181.6199999999999</v>
      </c>
      <c r="K262" s="58">
        <v>11590.85</v>
      </c>
      <c r="L262" s="58"/>
      <c r="M262" s="58"/>
      <c r="N262" s="58">
        <f t="shared" si="152"/>
        <v>19290.72</v>
      </c>
      <c r="P262" s="58"/>
      <c r="Q262" s="58"/>
    </row>
    <row r="263" spans="1:17" ht="15.75" thickBot="1" x14ac:dyDescent="0.3">
      <c r="A263" s="120" t="s">
        <v>199</v>
      </c>
      <c r="B263" s="39">
        <f t="shared" ref="B263:G263" si="153">SUM(B233:B261)</f>
        <v>111240.83</v>
      </c>
      <c r="C263" s="39">
        <f t="shared" si="153"/>
        <v>91232.06</v>
      </c>
      <c r="D263" s="39">
        <f t="shared" si="153"/>
        <v>94277.48000000001</v>
      </c>
      <c r="E263" s="39">
        <f t="shared" si="153"/>
        <v>88611.98000000001</v>
      </c>
      <c r="F263" s="39">
        <f t="shared" si="153"/>
        <v>89444.540000000008</v>
      </c>
      <c r="G263" s="39">
        <f t="shared" si="153"/>
        <v>103146.35</v>
      </c>
      <c r="H263" s="39">
        <f t="shared" ref="H263" si="154">SUM(H233:H260)</f>
        <v>118506.03</v>
      </c>
      <c r="I263" s="39">
        <f>SUM(I233:I262)</f>
        <v>113578.72000000002</v>
      </c>
      <c r="J263" s="39">
        <f>SUM(J233:J262)</f>
        <v>3044.4400000000014</v>
      </c>
      <c r="K263" s="39">
        <f>SUM(K233:K262)</f>
        <v>103533.48</v>
      </c>
      <c r="L263" s="39">
        <f>SUM(L233:L260)</f>
        <v>0</v>
      </c>
      <c r="M263" s="39">
        <f>SUM(M233:M260)</f>
        <v>0</v>
      </c>
      <c r="N263" s="39">
        <f>SUM(N233:N262)</f>
        <v>916615.91</v>
      </c>
      <c r="P263" s="39">
        <f t="shared" si="148"/>
        <v>83328.7190909091</v>
      </c>
      <c r="Q263" s="39">
        <f t="shared" si="149"/>
        <v>-83328.7190909091</v>
      </c>
    </row>
    <row r="264" spans="1:17" ht="15.75" thickTop="1" x14ac:dyDescent="0.25">
      <c r="C264" s="1"/>
      <c r="D264" s="1"/>
      <c r="E264" s="1"/>
      <c r="F264" s="1"/>
      <c r="G264" s="1"/>
      <c r="H264" s="58"/>
      <c r="I264" s="1"/>
      <c r="J264" s="1"/>
      <c r="K264" s="1"/>
      <c r="L264" s="1"/>
      <c r="M264" s="1"/>
      <c r="N264" s="58"/>
      <c r="P264" s="1">
        <f t="shared" si="148"/>
        <v>0</v>
      </c>
      <c r="Q264" s="1">
        <f t="shared" si="149"/>
        <v>0</v>
      </c>
    </row>
    <row r="265" spans="1:17" x14ac:dyDescent="0.25">
      <c r="A265" s="120" t="s">
        <v>325</v>
      </c>
      <c r="C265" s="1"/>
      <c r="D265" s="1"/>
      <c r="E265" s="1"/>
      <c r="F265" s="1"/>
      <c r="G265" s="1"/>
      <c r="H265" s="58"/>
      <c r="I265" s="1"/>
      <c r="J265" s="1"/>
      <c r="K265" s="1"/>
      <c r="L265" s="1"/>
      <c r="M265" s="1"/>
      <c r="N265" s="58"/>
      <c r="P265" s="1">
        <f t="shared" si="148"/>
        <v>0</v>
      </c>
      <c r="Q265" s="1">
        <f t="shared" si="149"/>
        <v>0</v>
      </c>
    </row>
    <row r="266" spans="1:17" x14ac:dyDescent="0.25">
      <c r="A266" s="112" t="s">
        <v>200</v>
      </c>
      <c r="B266" s="1">
        <v>12500</v>
      </c>
      <c r="C266" s="1">
        <v>12500</v>
      </c>
      <c r="D266" s="1">
        <v>12500</v>
      </c>
      <c r="E266" s="1">
        <v>12500</v>
      </c>
      <c r="F266" s="1">
        <v>12500</v>
      </c>
      <c r="G266" s="1">
        <v>12500</v>
      </c>
      <c r="H266" s="58">
        <v>12500</v>
      </c>
      <c r="I266" s="58">
        <v>12500</v>
      </c>
      <c r="J266" s="1">
        <v>12500</v>
      </c>
      <c r="K266" s="1">
        <v>12500</v>
      </c>
      <c r="L266" s="1"/>
      <c r="M266" s="1"/>
      <c r="N266" s="58">
        <f t="shared" ref="N266:N277" si="155">SUM(B266:M266)</f>
        <v>125000</v>
      </c>
      <c r="P266" s="1">
        <f t="shared" si="148"/>
        <v>11363.636363636364</v>
      </c>
      <c r="Q266" s="1">
        <f t="shared" si="149"/>
        <v>-11363.636363636364</v>
      </c>
    </row>
    <row r="267" spans="1:17" x14ac:dyDescent="0.25">
      <c r="A267" s="112" t="s">
        <v>201</v>
      </c>
      <c r="B267" s="1">
        <v>34022.5</v>
      </c>
      <c r="C267" s="1">
        <v>34265</v>
      </c>
      <c r="D267" s="1">
        <v>34451.25</v>
      </c>
      <c r="E267" s="1">
        <v>34845</v>
      </c>
      <c r="F267" s="1">
        <v>34565</v>
      </c>
      <c r="G267" s="1">
        <v>34906.25</v>
      </c>
      <c r="H267" s="58">
        <v>36258.75</v>
      </c>
      <c r="I267" s="58">
        <v>35423.75</v>
      </c>
      <c r="J267" s="1">
        <v>-278737.5</v>
      </c>
      <c r="K267" s="1">
        <v>0</v>
      </c>
      <c r="L267" s="1"/>
      <c r="M267" s="1"/>
      <c r="N267" s="58">
        <f t="shared" si="155"/>
        <v>0</v>
      </c>
      <c r="P267" s="1">
        <f t="shared" si="148"/>
        <v>0</v>
      </c>
      <c r="Q267" s="1">
        <f t="shared" si="149"/>
        <v>0</v>
      </c>
    </row>
    <row r="268" spans="1:17" x14ac:dyDescent="0.25">
      <c r="A268" s="112" t="s">
        <v>398</v>
      </c>
      <c r="B268" s="1">
        <v>0</v>
      </c>
      <c r="C268" s="1">
        <v>0</v>
      </c>
      <c r="D268" s="1">
        <v>0</v>
      </c>
      <c r="E268" s="1">
        <v>0</v>
      </c>
      <c r="F268" s="1">
        <v>31752.38</v>
      </c>
      <c r="G268" s="1">
        <v>5625.56</v>
      </c>
      <c r="H268" s="58">
        <v>4645.78</v>
      </c>
      <c r="I268" s="58">
        <v>3846.94</v>
      </c>
      <c r="J268" s="1">
        <v>3326.21</v>
      </c>
      <c r="K268" s="1">
        <v>3245.67</v>
      </c>
      <c r="L268" s="1"/>
      <c r="M268" s="1"/>
      <c r="N268" s="58">
        <f t="shared" si="155"/>
        <v>52442.54</v>
      </c>
      <c r="P268" s="1"/>
      <c r="Q268" s="1"/>
    </row>
    <row r="269" spans="1:17" x14ac:dyDescent="0.25">
      <c r="A269" s="112" t="s">
        <v>202</v>
      </c>
      <c r="B269" s="1">
        <v>6585.5</v>
      </c>
      <c r="C269" s="1">
        <v>10400.5</v>
      </c>
      <c r="D269" s="1">
        <v>6846.5</v>
      </c>
      <c r="E269" s="1">
        <v>18155</v>
      </c>
      <c r="F269" s="1">
        <v>23942.5</v>
      </c>
      <c r="G269" s="1">
        <v>23535</v>
      </c>
      <c r="H269" s="58">
        <v>27107.66</v>
      </c>
      <c r="I269" s="58">
        <v>22399.58</v>
      </c>
      <c r="J269" s="1">
        <v>15252.15</v>
      </c>
      <c r="K269" s="1">
        <v>19396.66</v>
      </c>
      <c r="L269" s="1"/>
      <c r="M269" s="1"/>
      <c r="N269" s="58">
        <f t="shared" si="155"/>
        <v>173621.05</v>
      </c>
      <c r="P269" s="1"/>
      <c r="Q269" s="1"/>
    </row>
    <row r="270" spans="1:17" x14ac:dyDescent="0.25">
      <c r="A270" s="112" t="s">
        <v>203</v>
      </c>
      <c r="B270" s="1">
        <v>41021.9</v>
      </c>
      <c r="C270" s="1">
        <v>14206.22</v>
      </c>
      <c r="D270" s="1">
        <v>13266.54</v>
      </c>
      <c r="E270" s="1">
        <v>32043.16</v>
      </c>
      <c r="F270" s="1">
        <v>18002.150000000001</v>
      </c>
      <c r="G270" s="1">
        <v>18622.22</v>
      </c>
      <c r="H270" s="58">
        <v>12562.67</v>
      </c>
      <c r="I270" s="58">
        <v>3538.9</v>
      </c>
      <c r="J270" s="1">
        <v>30143.42</v>
      </c>
      <c r="K270" s="1">
        <v>22129.23</v>
      </c>
      <c r="L270" s="1"/>
      <c r="M270" s="1"/>
      <c r="N270" s="58">
        <f t="shared" si="155"/>
        <v>205536.41</v>
      </c>
      <c r="P270" s="1">
        <f t="shared" ref="P270:P282" si="156">(N270-M270)/11</f>
        <v>18685.128181818181</v>
      </c>
      <c r="Q270" s="1">
        <f t="shared" ref="Q270:Q282" si="157">M270-P270</f>
        <v>-18685.128181818181</v>
      </c>
    </row>
    <row r="271" spans="1:17" x14ac:dyDescent="0.25">
      <c r="A271" s="112" t="s">
        <v>204</v>
      </c>
      <c r="B271" s="1">
        <v>-12832.51</v>
      </c>
      <c r="C271" s="1">
        <v>-10798.17</v>
      </c>
      <c r="D271" s="1">
        <v>-12464.55</v>
      </c>
      <c r="E271" s="1">
        <v>-15499.01</v>
      </c>
      <c r="F271" s="1">
        <v>-24863.5</v>
      </c>
      <c r="G271" s="1">
        <v>-16320.72</v>
      </c>
      <c r="H271" s="58">
        <v>-14231.08</v>
      </c>
      <c r="I271" s="58">
        <v>-15651.5</v>
      </c>
      <c r="J271" s="1">
        <v>-15109.51</v>
      </c>
      <c r="K271" s="1">
        <v>-16423.150000000001</v>
      </c>
      <c r="L271" s="1"/>
      <c r="M271" s="1"/>
      <c r="N271" s="58">
        <f t="shared" si="155"/>
        <v>-154193.69999999998</v>
      </c>
      <c r="P271" s="1">
        <f t="shared" si="156"/>
        <v>-14017.609090909089</v>
      </c>
      <c r="Q271" s="1">
        <f t="shared" si="157"/>
        <v>14017.609090909089</v>
      </c>
    </row>
    <row r="272" spans="1:17" x14ac:dyDescent="0.25">
      <c r="A272" s="112" t="s">
        <v>399</v>
      </c>
      <c r="B272" s="1">
        <v>0</v>
      </c>
      <c r="C272" s="1">
        <v>0</v>
      </c>
      <c r="D272" s="1">
        <v>0.1</v>
      </c>
      <c r="E272" s="1">
        <v>0</v>
      </c>
      <c r="F272" s="1">
        <v>0</v>
      </c>
      <c r="G272" s="1">
        <v>49.5</v>
      </c>
      <c r="H272" s="58">
        <v>0</v>
      </c>
      <c r="I272" s="58">
        <v>0</v>
      </c>
      <c r="J272" s="1">
        <v>0</v>
      </c>
      <c r="K272" s="1">
        <v>0</v>
      </c>
      <c r="L272" s="1"/>
      <c r="M272" s="1"/>
      <c r="N272" s="58">
        <f t="shared" si="155"/>
        <v>49.6</v>
      </c>
      <c r="P272" s="1">
        <f t="shared" si="156"/>
        <v>4.5090909090909088</v>
      </c>
      <c r="Q272" s="1">
        <f t="shared" si="157"/>
        <v>-4.5090909090909088</v>
      </c>
    </row>
    <row r="273" spans="1:18" x14ac:dyDescent="0.25">
      <c r="A273" s="112" t="s">
        <v>400</v>
      </c>
      <c r="B273" s="1">
        <v>0</v>
      </c>
      <c r="C273" s="1">
        <v>0</v>
      </c>
      <c r="D273" s="1">
        <v>0</v>
      </c>
      <c r="E273" s="1">
        <v>0</v>
      </c>
      <c r="F273" s="1">
        <v>2087.77</v>
      </c>
      <c r="G273" s="1">
        <v>2250.1799999999998</v>
      </c>
      <c r="H273" s="58">
        <v>1925.15</v>
      </c>
      <c r="I273" s="58">
        <v>9930.23</v>
      </c>
      <c r="J273" s="1">
        <v>9676.48</v>
      </c>
      <c r="K273" s="1">
        <v>11787.56</v>
      </c>
      <c r="L273" s="1"/>
      <c r="M273" s="1"/>
      <c r="N273" s="58">
        <f t="shared" si="155"/>
        <v>37657.369999999995</v>
      </c>
      <c r="P273" s="1"/>
      <c r="Q273" s="1"/>
    </row>
    <row r="274" spans="1:18" x14ac:dyDescent="0.25">
      <c r="A274" s="112" t="s">
        <v>440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944.87</v>
      </c>
      <c r="H274" s="58">
        <v>896.84</v>
      </c>
      <c r="I274" s="58">
        <v>1815.02</v>
      </c>
      <c r="J274" s="1">
        <v>1378.43</v>
      </c>
      <c r="K274" s="1">
        <v>1346.44</v>
      </c>
      <c r="L274" s="1"/>
      <c r="M274" s="1"/>
      <c r="N274" s="58">
        <f t="shared" si="155"/>
        <v>6381.6</v>
      </c>
      <c r="P274" s="1"/>
      <c r="Q274" s="1"/>
    </row>
    <row r="275" spans="1:18" x14ac:dyDescent="0.25">
      <c r="A275" s="112" t="s">
        <v>401</v>
      </c>
      <c r="B275" s="1">
        <v>0</v>
      </c>
      <c r="C275" s="1">
        <v>0</v>
      </c>
      <c r="D275" s="1">
        <v>0</v>
      </c>
      <c r="E275" s="1">
        <v>0</v>
      </c>
      <c r="F275" s="1">
        <v>7848.21</v>
      </c>
      <c r="G275" s="1">
        <v>7891.39</v>
      </c>
      <c r="H275" s="58">
        <v>2345.38</v>
      </c>
      <c r="I275" s="58">
        <v>2213.81</v>
      </c>
      <c r="J275" s="1">
        <v>1785.24</v>
      </c>
      <c r="K275" s="1">
        <v>2122.1999999999998</v>
      </c>
      <c r="L275" s="1"/>
      <c r="M275" s="1"/>
      <c r="N275" s="58">
        <f t="shared" si="155"/>
        <v>24206.230000000003</v>
      </c>
      <c r="P275" s="1"/>
      <c r="Q275" s="1"/>
    </row>
    <row r="276" spans="1:18" x14ac:dyDescent="0.25">
      <c r="A276" s="112" t="s">
        <v>439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2495.6</v>
      </c>
      <c r="H276" s="58">
        <v>7458.78</v>
      </c>
      <c r="I276" s="58">
        <v>7350.25</v>
      </c>
      <c r="J276" s="1">
        <v>8126.37</v>
      </c>
      <c r="K276" s="1">
        <v>10558.14</v>
      </c>
      <c r="L276" s="1"/>
      <c r="M276" s="1"/>
      <c r="N276" s="58">
        <f t="shared" si="155"/>
        <v>35989.14</v>
      </c>
      <c r="P276" s="1"/>
      <c r="Q276" s="1"/>
    </row>
    <row r="277" spans="1:18" s="7" customFormat="1" x14ac:dyDescent="0.25">
      <c r="A277" s="112" t="s">
        <v>451</v>
      </c>
      <c r="B277" s="58">
        <v>0</v>
      </c>
      <c r="C277" s="58">
        <v>0</v>
      </c>
      <c r="D277" s="58">
        <v>0</v>
      </c>
      <c r="E277" s="58">
        <v>0</v>
      </c>
      <c r="F277" s="58">
        <v>0</v>
      </c>
      <c r="G277" s="58">
        <v>0</v>
      </c>
      <c r="H277" s="58">
        <v>3098.28</v>
      </c>
      <c r="I277" s="58">
        <v>0</v>
      </c>
      <c r="J277" s="58">
        <v>0</v>
      </c>
      <c r="K277" s="58">
        <v>0</v>
      </c>
      <c r="L277" s="58"/>
      <c r="M277" s="58"/>
      <c r="N277" s="58">
        <f t="shared" si="155"/>
        <v>3098.28</v>
      </c>
      <c r="P277" s="58"/>
      <c r="Q277" s="58"/>
    </row>
    <row r="278" spans="1:18" ht="15.75" thickBot="1" x14ac:dyDescent="0.3">
      <c r="A278" s="120" t="s">
        <v>205</v>
      </c>
      <c r="B278" s="45">
        <f t="shared" ref="B278:G278" si="158">SUM(B266:B277)</f>
        <v>81297.39</v>
      </c>
      <c r="C278" s="45">
        <f t="shared" si="158"/>
        <v>60573.55</v>
      </c>
      <c r="D278" s="45">
        <f t="shared" si="158"/>
        <v>54599.840000000004</v>
      </c>
      <c r="E278" s="45">
        <f t="shared" si="158"/>
        <v>82044.150000000009</v>
      </c>
      <c r="F278" s="45">
        <f t="shared" si="158"/>
        <v>105834.51000000001</v>
      </c>
      <c r="G278" s="45">
        <f t="shared" si="158"/>
        <v>92499.849999999991</v>
      </c>
      <c r="H278" s="45">
        <f t="shared" ref="H278" si="159">SUM(H266:H277)</f>
        <v>94568.209999999992</v>
      </c>
      <c r="I278" s="45">
        <f>SUM(I266:I277)</f>
        <v>83366.98</v>
      </c>
      <c r="J278" s="45">
        <f>SUM(J266:J277)</f>
        <v>-211658.71</v>
      </c>
      <c r="K278" s="45">
        <f>SUM(K266:K277)</f>
        <v>66662.75</v>
      </c>
      <c r="L278" s="45">
        <f t="shared" ref="L278:M278" si="160">SUM(L266:L276)</f>
        <v>0</v>
      </c>
      <c r="M278" s="45">
        <f t="shared" si="160"/>
        <v>0</v>
      </c>
      <c r="N278" s="45">
        <f>SUM(N266:N277)</f>
        <v>509788.52</v>
      </c>
      <c r="P278" s="45">
        <f t="shared" si="156"/>
        <v>46344.410909090911</v>
      </c>
      <c r="Q278" s="45">
        <f t="shared" si="157"/>
        <v>-46344.410909090911</v>
      </c>
    </row>
    <row r="279" spans="1:18" ht="15.75" thickTop="1" x14ac:dyDescent="0.25">
      <c r="P279" s="2">
        <f t="shared" si="156"/>
        <v>0</v>
      </c>
      <c r="Q279" s="2">
        <f t="shared" si="157"/>
        <v>0</v>
      </c>
    </row>
    <row r="280" spans="1:18" s="38" customFormat="1" ht="15.75" thickBot="1" x14ac:dyDescent="0.3">
      <c r="A280" s="120" t="s">
        <v>206</v>
      </c>
      <c r="B280" s="39">
        <f t="shared" ref="B280:G280" si="161">B197-B210-B231-B263+B278</f>
        <v>65733.430000085849</v>
      </c>
      <c r="C280" s="39">
        <f t="shared" si="161"/>
        <v>62568.989999875965</v>
      </c>
      <c r="D280" s="39">
        <f t="shared" si="161"/>
        <v>190852.60999999283</v>
      </c>
      <c r="E280" s="39">
        <f t="shared" si="161"/>
        <v>-70572.119999890318</v>
      </c>
      <c r="F280" s="39">
        <f t="shared" si="161"/>
        <v>-203743.00000022177</v>
      </c>
      <c r="G280" s="39">
        <f t="shared" si="161"/>
        <v>-88358.510000069175</v>
      </c>
      <c r="H280" s="39">
        <f t="shared" ref="H280" si="162">H197-H210-H231-H263+H278</f>
        <v>-303625.04000008584</v>
      </c>
      <c r="I280" s="39">
        <f t="shared" ref="I280:N280" si="163">I197-I210-I231-I263+I278</f>
        <v>-208857.15000011685</v>
      </c>
      <c r="J280" s="39">
        <f t="shared" si="163"/>
        <v>624726.2899999572</v>
      </c>
      <c r="K280" s="39">
        <f t="shared" si="163"/>
        <v>-30452.23000000116</v>
      </c>
      <c r="L280" s="39">
        <f t="shared" si="163"/>
        <v>0</v>
      </c>
      <c r="M280" s="39">
        <f t="shared" si="163"/>
        <v>0</v>
      </c>
      <c r="N280" s="39">
        <f t="shared" si="163"/>
        <v>38273.269999525859</v>
      </c>
      <c r="P280" s="39">
        <f t="shared" si="156"/>
        <v>3479.388181775078</v>
      </c>
      <c r="Q280" s="39">
        <f t="shared" si="157"/>
        <v>-3479.388181775078</v>
      </c>
    </row>
    <row r="281" spans="1:18" ht="15.75" thickTop="1" x14ac:dyDescent="0.25">
      <c r="P281" s="2">
        <f t="shared" si="156"/>
        <v>0</v>
      </c>
      <c r="Q281" s="2">
        <f t="shared" si="157"/>
        <v>0</v>
      </c>
    </row>
    <row r="282" spans="1:18" x14ac:dyDescent="0.25">
      <c r="B282" s="46">
        <f t="shared" ref="B282:G282" si="164">+B76-B280</f>
        <v>3.3411197364330292E-8</v>
      </c>
      <c r="C282" s="46">
        <f t="shared" si="164"/>
        <v>-8.5987267084419727E-8</v>
      </c>
      <c r="D282" s="46">
        <f t="shared" si="164"/>
        <v>-6.2107574194669724E-8</v>
      </c>
      <c r="E282" s="46">
        <f t="shared" si="164"/>
        <v>-1.5135447029024363E-7</v>
      </c>
      <c r="F282" s="46">
        <f t="shared" si="164"/>
        <v>2.2526364773511887E-7</v>
      </c>
      <c r="G282" s="46">
        <f t="shared" si="164"/>
        <v>1.1888914741575718E-8</v>
      </c>
      <c r="H282" s="46">
        <f t="shared" ref="H282" si="165">+H76-H280</f>
        <v>1.0972144082188606E-7</v>
      </c>
      <c r="I282" s="46">
        <f t="shared" ref="I282:N282" si="166">+I76-I280</f>
        <v>1.6932608559727669E-7</v>
      </c>
      <c r="J282" s="46">
        <f t="shared" si="166"/>
        <v>1.0721851140260696E-7</v>
      </c>
      <c r="K282" s="46">
        <f t="shared" si="166"/>
        <v>1.2516102287918329E-7</v>
      </c>
      <c r="L282" s="46">
        <f t="shared" si="166"/>
        <v>0</v>
      </c>
      <c r="M282" s="46">
        <f t="shared" si="166"/>
        <v>0</v>
      </c>
      <c r="N282" s="46">
        <f t="shared" si="166"/>
        <v>1.675100065767765E-6</v>
      </c>
      <c r="P282" s="46">
        <f t="shared" si="156"/>
        <v>1.522818241607059E-7</v>
      </c>
      <c r="Q282" s="46">
        <f t="shared" si="157"/>
        <v>-1.522818241607059E-7</v>
      </c>
    </row>
    <row r="283" spans="1:18" x14ac:dyDescent="0.25">
      <c r="R283" s="7"/>
    </row>
    <row r="284" spans="1:18" x14ac:dyDescent="0.25">
      <c r="L284" s="46"/>
      <c r="R284" s="7"/>
    </row>
  </sheetData>
  <pageMargins left="0.5" right="0.5" top="0.5" bottom="0.45899934383202101" header="0.5" footer="0.5"/>
  <pageSetup scale="35" fitToHeight="0" orientation="landscape" r:id="rId1"/>
  <headerFooter scaleWithDoc="0" alignWithMargins="0"/>
  <rowBreaks count="5" manualBreakCount="5">
    <brk id="49" max="13" man="1"/>
    <brk id="102" max="13" man="1"/>
    <brk id="128" max="13" man="1"/>
    <brk id="197" max="13" man="1"/>
    <brk id="263" max="16383" man="1"/>
  </rowBreaks>
  <colBreaks count="1" manualBreakCount="1">
    <brk id="15" max="26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8"/>
  <sheetViews>
    <sheetView view="pageBreakPreview" zoomScale="60" zoomScaleNormal="60" workbookViewId="0">
      <pane ySplit="6" topLeftCell="A7" activePane="bottomLeft" state="frozen"/>
      <selection activeCell="E34" sqref="E34"/>
      <selection pane="bottomLeft" activeCell="C20" sqref="C20"/>
    </sheetView>
  </sheetViews>
  <sheetFormatPr defaultRowHeight="15" x14ac:dyDescent="0.25"/>
  <cols>
    <col min="1" max="1" width="81.42578125" bestFit="1" customWidth="1"/>
    <col min="2" max="2" width="38.140625" style="55" bestFit="1" customWidth="1"/>
    <col min="3" max="3" width="32.140625" style="55" bestFit="1" customWidth="1"/>
    <col min="4" max="4" width="29.85546875" style="55" bestFit="1" customWidth="1"/>
    <col min="5" max="5" width="24.140625" style="55" bestFit="1" customWidth="1"/>
    <col min="6" max="7" width="26.28515625" style="55" bestFit="1" customWidth="1"/>
    <col min="8" max="8" width="27" style="55" bestFit="1" customWidth="1"/>
    <col min="9" max="9" width="38.140625" style="55" bestFit="1" customWidth="1"/>
    <col min="12" max="12" width="16.85546875" style="48" bestFit="1" customWidth="1"/>
  </cols>
  <sheetData>
    <row r="1" spans="1:12" ht="36" x14ac:dyDescent="0.55000000000000004">
      <c r="A1" s="176" t="s">
        <v>331</v>
      </c>
      <c r="B1" s="176"/>
      <c r="C1" s="176"/>
      <c r="D1" s="176"/>
      <c r="E1" s="176"/>
      <c r="F1" s="176"/>
      <c r="G1" s="176"/>
      <c r="H1" s="176"/>
      <c r="I1" s="176"/>
    </row>
    <row r="2" spans="1:12" ht="36" x14ac:dyDescent="0.55000000000000004">
      <c r="A2" s="176" t="s">
        <v>330</v>
      </c>
      <c r="B2" s="176"/>
      <c r="C2" s="176"/>
      <c r="D2" s="176"/>
      <c r="E2" s="176"/>
      <c r="F2" s="176"/>
      <c r="G2" s="176"/>
      <c r="H2" s="176"/>
      <c r="I2" s="176"/>
    </row>
    <row r="3" spans="1:12" ht="36" x14ac:dyDescent="0.55000000000000004">
      <c r="A3" s="176" t="s">
        <v>266</v>
      </c>
      <c r="B3" s="176"/>
      <c r="C3" s="176"/>
      <c r="D3" s="176"/>
      <c r="E3" s="176"/>
      <c r="F3" s="176"/>
      <c r="G3" s="176"/>
      <c r="H3" s="176"/>
      <c r="I3" s="176"/>
    </row>
    <row r="4" spans="1:12" ht="36" x14ac:dyDescent="0.55000000000000004">
      <c r="A4" s="177">
        <v>43404</v>
      </c>
      <c r="B4" s="178"/>
      <c r="C4" s="178"/>
      <c r="D4" s="178"/>
      <c r="E4" s="178"/>
      <c r="F4" s="178"/>
      <c r="G4" s="178"/>
      <c r="H4" s="178"/>
      <c r="I4" s="178"/>
    </row>
    <row r="6" spans="1:12" s="88" customFormat="1" ht="30" customHeight="1" x14ac:dyDescent="0.5">
      <c r="A6" s="63"/>
      <c r="B6" s="68" t="s">
        <v>212</v>
      </c>
      <c r="C6" s="68" t="s">
        <v>214</v>
      </c>
      <c r="D6" s="68" t="s">
        <v>213</v>
      </c>
      <c r="E6" s="68" t="s">
        <v>215</v>
      </c>
      <c r="F6" s="68" t="s">
        <v>216</v>
      </c>
      <c r="G6" s="68" t="s">
        <v>411</v>
      </c>
      <c r="H6" s="68" t="s">
        <v>421</v>
      </c>
      <c r="I6" s="68" t="s">
        <v>207</v>
      </c>
      <c r="L6" s="90"/>
    </row>
    <row r="7" spans="1:12" s="88" customFormat="1" ht="42.75" customHeight="1" x14ac:dyDescent="0.5">
      <c r="A7" s="70" t="s">
        <v>62</v>
      </c>
      <c r="B7" s="62"/>
      <c r="C7" s="62"/>
      <c r="D7" s="62"/>
      <c r="E7" s="62"/>
      <c r="F7" s="62"/>
      <c r="G7" s="62"/>
      <c r="H7" s="62"/>
      <c r="I7" s="62"/>
      <c r="L7" s="90"/>
    </row>
    <row r="8" spans="1:12" s="88" customFormat="1" ht="42.75" customHeight="1" x14ac:dyDescent="0.5">
      <c r="A8" s="63" t="s">
        <v>217</v>
      </c>
      <c r="B8" s="72">
        <f>'Comp YTD 2018-2017 Oct'!B16</f>
        <v>1071545262.78</v>
      </c>
      <c r="C8" s="72">
        <f>'Comp YTD 2018-2017 Oct'!C16</f>
        <v>65104200.950000003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f t="shared" ref="I8:I15" si="0">SUM(B8:H8)</f>
        <v>1136649463.73</v>
      </c>
      <c r="L8" s="90"/>
    </row>
    <row r="9" spans="1:12" s="88" customFormat="1" ht="42.75" customHeight="1" x14ac:dyDescent="0.5">
      <c r="A9" s="63" t="s">
        <v>218</v>
      </c>
      <c r="B9" s="72">
        <f>'Comp YTD 2018-2017 Oct'!B17</f>
        <v>3156987093.0100002</v>
      </c>
      <c r="C9" s="72">
        <f>'Comp YTD 2018-2017 Oct'!C17</f>
        <v>3514989.23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f t="shared" si="0"/>
        <v>3160502082.2400002</v>
      </c>
      <c r="L9" s="90"/>
    </row>
    <row r="10" spans="1:12" s="88" customFormat="1" ht="42.75" customHeight="1" x14ac:dyDescent="0.5">
      <c r="A10" s="63" t="s">
        <v>219</v>
      </c>
      <c r="B10" s="72">
        <f>'Comp YTD 2018-2017 Oct'!B18</f>
        <v>13492376.340000002</v>
      </c>
      <c r="C10" s="72">
        <f>'Comp YTD 2018-2017 Oct'!C18</f>
        <v>332892.22000000003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f t="shared" si="0"/>
        <v>13825268.560000002</v>
      </c>
      <c r="L10" s="90"/>
    </row>
    <row r="11" spans="1:12" s="88" customFormat="1" ht="42.75" customHeight="1" x14ac:dyDescent="0.5">
      <c r="A11" s="63" t="s">
        <v>424</v>
      </c>
      <c r="B11" s="72">
        <f>'Comp YTD 2018-2017 Oct'!B19</f>
        <v>14646066.039999999</v>
      </c>
      <c r="C11" s="72">
        <f>'Comp YTD 2018-2017 Oct'!C19</f>
        <v>21067.5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f t="shared" si="0"/>
        <v>14667133.539999999</v>
      </c>
      <c r="L11" s="90"/>
    </row>
    <row r="12" spans="1:12" s="88" customFormat="1" ht="42.75" customHeight="1" x14ac:dyDescent="0.5">
      <c r="A12" s="63" t="s">
        <v>220</v>
      </c>
      <c r="B12" s="72">
        <f>'Comp YTD 2018-2017 Oct'!B20</f>
        <v>5687690.9700000007</v>
      </c>
      <c r="C12" s="72">
        <f>0</f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f t="shared" si="0"/>
        <v>5687690.9700000007</v>
      </c>
      <c r="L12" s="90"/>
    </row>
    <row r="13" spans="1:12" s="88" customFormat="1" ht="42.75" customHeight="1" x14ac:dyDescent="0.5">
      <c r="A13" s="63" t="s">
        <v>221</v>
      </c>
      <c r="B13" s="72">
        <f>'Comp YTD 2018-2017 Oct'!B21</f>
        <v>4232137.5199999996</v>
      </c>
      <c r="C13" s="72">
        <f>'Comp YTD 2018-2017 Oct'!C21</f>
        <v>2039.82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f t="shared" si="0"/>
        <v>4234177.34</v>
      </c>
      <c r="L13" s="90"/>
    </row>
    <row r="14" spans="1:12" s="88" customFormat="1" ht="42.75" customHeight="1" x14ac:dyDescent="0.5">
      <c r="A14" s="63" t="s">
        <v>222</v>
      </c>
      <c r="B14" s="72">
        <f>'Comp YTD 2018-2017 Oct'!B22</f>
        <v>818521.39999999991</v>
      </c>
      <c r="C14" s="72">
        <f>'Comp YTD 2018-2017 Oct'!C22</f>
        <v>2993841</v>
      </c>
      <c r="D14" s="72">
        <f>DEP!L17</f>
        <v>2882989.85</v>
      </c>
      <c r="E14" s="72">
        <v>0</v>
      </c>
      <c r="F14" s="72">
        <f>'BSC (Dome)'!L14</f>
        <v>562651.29</v>
      </c>
      <c r="G14" s="72">
        <v>0</v>
      </c>
      <c r="H14" s="72">
        <v>0</v>
      </c>
      <c r="I14" s="72">
        <f t="shared" si="0"/>
        <v>7258003.54</v>
      </c>
      <c r="L14" s="90"/>
    </row>
    <row r="15" spans="1:12" s="88" customFormat="1" ht="42.75" customHeight="1" x14ac:dyDescent="0.5">
      <c r="A15" s="70" t="s">
        <v>223</v>
      </c>
      <c r="B15" s="76">
        <f t="shared" ref="B15:H15" si="1">SUM(B8:B14)</f>
        <v>4267409148.0599999</v>
      </c>
      <c r="C15" s="76">
        <f t="shared" si="1"/>
        <v>71969030.719999999</v>
      </c>
      <c r="D15" s="76">
        <f t="shared" si="1"/>
        <v>2882989.85</v>
      </c>
      <c r="E15" s="76">
        <f t="shared" si="1"/>
        <v>0</v>
      </c>
      <c r="F15" s="76">
        <f t="shared" si="1"/>
        <v>562651.29</v>
      </c>
      <c r="G15" s="76">
        <f t="shared" si="1"/>
        <v>0</v>
      </c>
      <c r="H15" s="76">
        <f t="shared" si="1"/>
        <v>0</v>
      </c>
      <c r="I15" s="76">
        <f t="shared" si="0"/>
        <v>4342823819.9200001</v>
      </c>
      <c r="L15" s="90"/>
    </row>
    <row r="16" spans="1:12" s="88" customFormat="1" ht="42.75" customHeight="1" x14ac:dyDescent="0.5">
      <c r="A16" s="63"/>
      <c r="B16" s="72"/>
      <c r="C16" s="72"/>
      <c r="D16" s="72"/>
      <c r="E16" s="72"/>
      <c r="F16" s="72"/>
      <c r="G16" s="72"/>
      <c r="H16" s="72"/>
      <c r="I16" s="72"/>
      <c r="L16" s="90"/>
    </row>
    <row r="17" spans="1:12" s="88" customFormat="1" ht="42.75" customHeight="1" x14ac:dyDescent="0.5">
      <c r="A17" s="70" t="s">
        <v>208</v>
      </c>
      <c r="B17" s="72"/>
      <c r="C17" s="72"/>
      <c r="D17" s="72"/>
      <c r="E17" s="72"/>
      <c r="F17" s="72"/>
      <c r="G17" s="72"/>
      <c r="H17" s="72"/>
      <c r="I17" s="72"/>
      <c r="L17" s="90"/>
    </row>
    <row r="18" spans="1:12" s="88" customFormat="1" ht="42.75" customHeight="1" x14ac:dyDescent="0.5">
      <c r="A18" s="63" t="s">
        <v>217</v>
      </c>
      <c r="B18" s="72">
        <f>'Comp YTD 2018-2017 Oct'!B26</f>
        <v>1088006998.04</v>
      </c>
      <c r="C18" s="72">
        <f>BPM!L20+BPM!L31</f>
        <v>64869903.729999997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f t="shared" ref="I18:I25" si="2">SUM(B18:H18)</f>
        <v>1152876901.77</v>
      </c>
      <c r="L18" s="90"/>
    </row>
    <row r="19" spans="1:12" s="88" customFormat="1" ht="42.75" customHeight="1" x14ac:dyDescent="0.5">
      <c r="A19" s="63" t="s">
        <v>218</v>
      </c>
      <c r="B19" s="72">
        <f>'Comp YTD 2018-2017 Oct'!B27</f>
        <v>3151774965.2499995</v>
      </c>
      <c r="C19" s="72">
        <f>BPM!L21+BPM!L32</f>
        <v>3265280.71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f t="shared" si="2"/>
        <v>3155040245.9599996</v>
      </c>
      <c r="L19" s="90"/>
    </row>
    <row r="20" spans="1:12" s="88" customFormat="1" ht="42.75" customHeight="1" x14ac:dyDescent="0.5">
      <c r="A20" s="63" t="s">
        <v>219</v>
      </c>
      <c r="B20" s="72">
        <f>'Comp YTD 2018-2017 Oct'!B28</f>
        <v>12797013.260000004</v>
      </c>
      <c r="C20" s="72">
        <f>BPM!L22+BPM!L33</f>
        <v>312230.91000000003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f t="shared" si="2"/>
        <v>13109244.170000004</v>
      </c>
      <c r="L20" s="90"/>
    </row>
    <row r="21" spans="1:12" s="88" customFormat="1" ht="42.75" customHeight="1" x14ac:dyDescent="0.5">
      <c r="A21" s="63" t="s">
        <v>424</v>
      </c>
      <c r="B21" s="72">
        <f>'Comp YTD 2018-2017 Oct'!B29</f>
        <v>14872257.150000002</v>
      </c>
      <c r="C21" s="72">
        <f>BPM!L23</f>
        <v>13142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f t="shared" si="2"/>
        <v>14885399.150000002</v>
      </c>
      <c r="L21" s="90"/>
    </row>
    <row r="22" spans="1:12" s="88" customFormat="1" ht="42.75" customHeight="1" x14ac:dyDescent="0.5">
      <c r="A22" s="63" t="s">
        <v>220</v>
      </c>
      <c r="B22" s="72">
        <f>'Comp YTD 2018-2017 Oct'!B30</f>
        <v>5525253.3999999994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f t="shared" si="2"/>
        <v>5525253.3999999994</v>
      </c>
      <c r="L22" s="90"/>
    </row>
    <row r="23" spans="1:12" s="88" customFormat="1" ht="42.75" customHeight="1" x14ac:dyDescent="0.5">
      <c r="A23" s="63" t="s">
        <v>221</v>
      </c>
      <c r="B23" s="72">
        <f>'Comp YTD 2018-2017 Oct'!B31</f>
        <v>4091761.1899999995</v>
      </c>
      <c r="C23" s="72">
        <f>BPM!L25</f>
        <v>916.55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f t="shared" si="2"/>
        <v>4092677.7399999993</v>
      </c>
      <c r="L23" s="90"/>
    </row>
    <row r="24" spans="1:12" s="88" customFormat="1" ht="42.75" customHeight="1" x14ac:dyDescent="0.5">
      <c r="A24" s="63" t="s">
        <v>222</v>
      </c>
      <c r="B24" s="72">
        <f>'Comp YTD 2018-2017 Oct'!B32</f>
        <v>-14741825.57</v>
      </c>
      <c r="C24" s="72">
        <f>BPM!L24+BPM!L26+BPM!L27+BPM!L34+BPM!L35+BPM!L29+BPM!L30+BPM!L28</f>
        <v>2468999.2799999998</v>
      </c>
      <c r="D24" s="72">
        <f>DEP!L23</f>
        <v>355625.38000000006</v>
      </c>
      <c r="E24" s="72">
        <v>0</v>
      </c>
      <c r="F24" s="72">
        <f>'BSC (Dome)'!L17</f>
        <v>1648.2199999999998</v>
      </c>
      <c r="G24" s="72">
        <v>0</v>
      </c>
      <c r="H24" s="72">
        <v>0</v>
      </c>
      <c r="I24" s="72">
        <f t="shared" si="2"/>
        <v>-11915552.689999999</v>
      </c>
      <c r="L24" s="90"/>
    </row>
    <row r="25" spans="1:12" s="88" customFormat="1" ht="42.75" customHeight="1" x14ac:dyDescent="0.5">
      <c r="A25" s="70" t="s">
        <v>224</v>
      </c>
      <c r="B25" s="76">
        <f t="shared" ref="B25:H25" si="3">SUM(B18:B24)</f>
        <v>4262326422.7199998</v>
      </c>
      <c r="C25" s="76">
        <f t="shared" si="3"/>
        <v>70930473.179999992</v>
      </c>
      <c r="D25" s="76">
        <f t="shared" si="3"/>
        <v>355625.38000000006</v>
      </c>
      <c r="E25" s="76">
        <f t="shared" si="3"/>
        <v>0</v>
      </c>
      <c r="F25" s="76">
        <f t="shared" si="3"/>
        <v>1648.2199999999998</v>
      </c>
      <c r="G25" s="76">
        <f t="shared" si="3"/>
        <v>0</v>
      </c>
      <c r="H25" s="76">
        <f t="shared" si="3"/>
        <v>0</v>
      </c>
      <c r="I25" s="76">
        <f t="shared" si="2"/>
        <v>4333614169.5</v>
      </c>
      <c r="L25" s="90"/>
    </row>
    <row r="26" spans="1:12" s="88" customFormat="1" ht="42.75" customHeight="1" x14ac:dyDescent="0.5">
      <c r="A26" s="63"/>
      <c r="B26" s="72"/>
      <c r="C26" s="72"/>
      <c r="D26" s="72"/>
      <c r="E26" s="72"/>
      <c r="F26" s="72"/>
      <c r="G26" s="72"/>
      <c r="H26" s="72"/>
      <c r="I26" s="72"/>
      <c r="L26" s="90"/>
    </row>
    <row r="27" spans="1:12" s="88" customFormat="1" ht="42.75" customHeight="1" thickBot="1" x14ac:dyDescent="0.55000000000000004">
      <c r="A27" s="70" t="s">
        <v>211</v>
      </c>
      <c r="B27" s="82">
        <f t="shared" ref="B27:H27" si="4">B15-B25</f>
        <v>5082725.3400001526</v>
      </c>
      <c r="C27" s="82">
        <f t="shared" si="4"/>
        <v>1038557.5400000066</v>
      </c>
      <c r="D27" s="82">
        <f t="shared" si="4"/>
        <v>2527364.4700000002</v>
      </c>
      <c r="E27" s="82">
        <f t="shared" si="4"/>
        <v>0</v>
      </c>
      <c r="F27" s="82">
        <f t="shared" si="4"/>
        <v>561003.07000000007</v>
      </c>
      <c r="G27" s="82">
        <f t="shared" si="4"/>
        <v>0</v>
      </c>
      <c r="H27" s="82">
        <f t="shared" si="4"/>
        <v>0</v>
      </c>
      <c r="I27" s="82">
        <f>SUM(B27:H27)</f>
        <v>9209650.4200001601</v>
      </c>
      <c r="L27" s="90"/>
    </row>
    <row r="28" spans="1:12" s="88" customFormat="1" ht="42.75" customHeight="1" x14ac:dyDescent="0.5">
      <c r="A28" s="63"/>
      <c r="B28" s="72"/>
      <c r="C28" s="72"/>
      <c r="D28" s="72"/>
      <c r="E28" s="72"/>
      <c r="F28" s="72"/>
      <c r="G28" s="72"/>
      <c r="H28" s="72"/>
      <c r="I28" s="72"/>
      <c r="L28" s="90"/>
    </row>
    <row r="29" spans="1:12" s="88" customFormat="1" ht="42.75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/>
      <c r="L29" s="90"/>
    </row>
    <row r="30" spans="1:12" s="88" customFormat="1" ht="42.75" customHeight="1" x14ac:dyDescent="0.5">
      <c r="A30" s="63"/>
      <c r="B30" s="72"/>
      <c r="C30" s="72"/>
      <c r="D30" s="72"/>
      <c r="E30" s="72"/>
      <c r="F30" s="72"/>
      <c r="G30" s="72"/>
      <c r="H30" s="72"/>
      <c r="I30" s="72"/>
      <c r="L30" s="90"/>
    </row>
    <row r="31" spans="1:12" s="88" customFormat="1" ht="42.75" customHeight="1" x14ac:dyDescent="0.5">
      <c r="A31" s="70" t="s">
        <v>225</v>
      </c>
      <c r="B31" s="72"/>
      <c r="C31" s="72"/>
      <c r="D31" s="72"/>
      <c r="E31" s="72"/>
      <c r="F31" s="72"/>
      <c r="G31" s="72"/>
      <c r="H31" s="72"/>
      <c r="I31" s="72"/>
      <c r="L31" s="90"/>
    </row>
    <row r="32" spans="1:12" s="88" customFormat="1" ht="42.75" customHeight="1" x14ac:dyDescent="0.5">
      <c r="A32" s="63" t="s">
        <v>226</v>
      </c>
      <c r="B32" s="72">
        <f>'Comp YTD 2018-2017 Oct'!B40</f>
        <v>2092743.11</v>
      </c>
      <c r="C32" s="72">
        <f>BPM!L43</f>
        <v>538580.85</v>
      </c>
      <c r="D32" s="72">
        <f>DEP!L29</f>
        <v>639661.62</v>
      </c>
      <c r="E32" s="72">
        <v>0</v>
      </c>
      <c r="F32" s="72">
        <f>'BSC (Dome)'!L24+'BSC (Dome)'!L31</f>
        <v>243744.91999999998</v>
      </c>
      <c r="G32" s="72">
        <v>0</v>
      </c>
      <c r="H32" s="72">
        <v>0</v>
      </c>
      <c r="I32" s="72">
        <f t="shared" ref="I32:I41" si="5">SUM(B32:H32)</f>
        <v>3514730.5</v>
      </c>
      <c r="L32" s="90"/>
    </row>
    <row r="33" spans="1:12" s="88" customFormat="1" ht="42.75" customHeight="1" x14ac:dyDescent="0.5">
      <c r="A33" s="63" t="s">
        <v>227</v>
      </c>
      <c r="B33" s="72">
        <f>'Comp YTD 2018-2017 Oct'!B41</f>
        <v>30105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f t="shared" si="5"/>
        <v>30105</v>
      </c>
      <c r="L33" s="90"/>
    </row>
    <row r="34" spans="1:12" s="88" customFormat="1" ht="42.75" customHeight="1" x14ac:dyDescent="0.5">
      <c r="A34" s="63" t="s">
        <v>228</v>
      </c>
      <c r="B34" s="72">
        <f>'Comp YTD 2018-2017 Oct'!B42</f>
        <v>169941.39999999997</v>
      </c>
      <c r="C34" s="72">
        <f>BPM!L44</f>
        <v>44585.64</v>
      </c>
      <c r="D34" s="72">
        <f>DEP!L30</f>
        <v>52994.91</v>
      </c>
      <c r="E34" s="72">
        <v>0</v>
      </c>
      <c r="F34" s="72">
        <f>'BSC (Dome)'!L25</f>
        <v>16190.140000000003</v>
      </c>
      <c r="G34" s="72">
        <v>0</v>
      </c>
      <c r="H34" s="72">
        <v>0</v>
      </c>
      <c r="I34" s="72">
        <f t="shared" si="5"/>
        <v>283712.08999999997</v>
      </c>
      <c r="L34" s="90"/>
    </row>
    <row r="35" spans="1:12" s="88" customFormat="1" ht="42.75" customHeight="1" x14ac:dyDescent="0.5">
      <c r="A35" s="63" t="s">
        <v>229</v>
      </c>
      <c r="B35" s="72">
        <f>'Comp YTD 2018-2017 Oct'!B43</f>
        <v>189890.79</v>
      </c>
      <c r="C35" s="72">
        <f>BPM!L45</f>
        <v>29689.14</v>
      </c>
      <c r="D35" s="72">
        <f>DEP!L31</f>
        <v>85019.94</v>
      </c>
      <c r="E35" s="72">
        <v>0</v>
      </c>
      <c r="F35" s="72">
        <f>'BSC (Dome)'!L26</f>
        <v>49392.33</v>
      </c>
      <c r="G35" s="72">
        <v>0</v>
      </c>
      <c r="H35" s="72">
        <v>0</v>
      </c>
      <c r="I35" s="72">
        <f t="shared" si="5"/>
        <v>353992.2</v>
      </c>
      <c r="L35" s="90"/>
    </row>
    <row r="36" spans="1:12" s="88" customFormat="1" ht="42.75" customHeight="1" x14ac:dyDescent="0.5">
      <c r="A36" s="63" t="s">
        <v>230</v>
      </c>
      <c r="B36" s="72">
        <f>'Comp YTD 2018-2017 Oct'!B44</f>
        <v>25951.22</v>
      </c>
      <c r="C36" s="72">
        <f>BPM!L46</f>
        <v>7556.79</v>
      </c>
      <c r="D36" s="72">
        <f>DEP!L32</f>
        <v>2911.85</v>
      </c>
      <c r="E36" s="72">
        <v>0</v>
      </c>
      <c r="F36" s="72">
        <f>'BSC (Dome)'!L27</f>
        <v>3078.51</v>
      </c>
      <c r="G36" s="72">
        <v>0</v>
      </c>
      <c r="H36" s="72">
        <v>0</v>
      </c>
      <c r="I36" s="72">
        <f t="shared" si="5"/>
        <v>39498.370000000003</v>
      </c>
      <c r="L36" s="90"/>
    </row>
    <row r="37" spans="1:12" s="88" customFormat="1" ht="42.75" customHeight="1" x14ac:dyDescent="0.5">
      <c r="A37" s="63" t="s">
        <v>231</v>
      </c>
      <c r="B37" s="72">
        <f>'Comp YTD 2018-2017 Oct'!B45</f>
        <v>57943.78</v>
      </c>
      <c r="C37" s="72">
        <f>BPM!L47</f>
        <v>15055.47</v>
      </c>
      <c r="D37" s="72">
        <f>DEP!L33</f>
        <v>18835.75</v>
      </c>
      <c r="E37" s="72">
        <v>0</v>
      </c>
      <c r="F37" s="72">
        <f>'BSC (Dome)'!L29</f>
        <v>4750</v>
      </c>
      <c r="G37" s="72">
        <v>0</v>
      </c>
      <c r="H37" s="72">
        <v>0</v>
      </c>
      <c r="I37" s="72">
        <f t="shared" si="5"/>
        <v>96585</v>
      </c>
      <c r="L37" s="90"/>
    </row>
    <row r="38" spans="1:12" s="88" customFormat="1" ht="42.75" customHeight="1" x14ac:dyDescent="0.5">
      <c r="A38" s="63" t="s">
        <v>308</v>
      </c>
      <c r="B38" s="72">
        <f>'Comp YTD 2018-2017 Oct'!B46</f>
        <v>14146.529999999999</v>
      </c>
      <c r="C38" s="72">
        <v>0</v>
      </c>
      <c r="D38" s="72">
        <f>DEP!L34</f>
        <v>1546</v>
      </c>
      <c r="E38" s="72">
        <v>0</v>
      </c>
      <c r="F38" s="72">
        <f>'BSC (Dome)'!L28+'BSC (Dome)'!L30</f>
        <v>2750.3199999999997</v>
      </c>
      <c r="G38" s="72">
        <v>0</v>
      </c>
      <c r="H38" s="72">
        <v>0</v>
      </c>
      <c r="I38" s="72">
        <f t="shared" si="5"/>
        <v>18442.849999999999</v>
      </c>
      <c r="L38" s="90"/>
    </row>
    <row r="39" spans="1:12" s="88" customFormat="1" ht="42.75" customHeight="1" x14ac:dyDescent="0.5">
      <c r="A39" s="63" t="s">
        <v>232</v>
      </c>
      <c r="B39" s="72">
        <f>'Comp YTD 2018-2017 Oct'!B47</f>
        <v>6741.74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f t="shared" si="5"/>
        <v>6741.74</v>
      </c>
      <c r="L39" s="90"/>
    </row>
    <row r="40" spans="1:12" s="88" customFormat="1" ht="42.75" customHeight="1" x14ac:dyDescent="0.5">
      <c r="A40" s="63" t="s">
        <v>247</v>
      </c>
      <c r="B40" s="72">
        <f>'Comp YTD 2018-2017 Oct'!B48</f>
        <v>32921.67</v>
      </c>
      <c r="C40" s="72">
        <f>BPM!L48</f>
        <v>5064.87</v>
      </c>
      <c r="D40" s="72">
        <f>DEP!L35</f>
        <v>12662.18</v>
      </c>
      <c r="E40" s="72">
        <v>0</v>
      </c>
      <c r="F40" s="72">
        <v>0</v>
      </c>
      <c r="G40" s="72">
        <v>0</v>
      </c>
      <c r="H40" s="72">
        <v>0</v>
      </c>
      <c r="I40" s="72">
        <f t="shared" si="5"/>
        <v>50648.72</v>
      </c>
      <c r="L40" s="90"/>
    </row>
    <row r="41" spans="1:12" s="88" customFormat="1" ht="42.75" customHeight="1" x14ac:dyDescent="0.5">
      <c r="A41" s="70" t="s">
        <v>233</v>
      </c>
      <c r="B41" s="76">
        <f t="shared" ref="B41:H41" si="6">SUM(B32:B40)</f>
        <v>2620385.2400000002</v>
      </c>
      <c r="C41" s="76">
        <f t="shared" si="6"/>
        <v>640532.76</v>
      </c>
      <c r="D41" s="76">
        <f t="shared" si="6"/>
        <v>813632.25</v>
      </c>
      <c r="E41" s="76">
        <f t="shared" si="6"/>
        <v>0</v>
      </c>
      <c r="F41" s="76">
        <f t="shared" si="6"/>
        <v>319906.22000000003</v>
      </c>
      <c r="G41" s="76">
        <f t="shared" si="6"/>
        <v>0</v>
      </c>
      <c r="H41" s="76">
        <f t="shared" si="6"/>
        <v>0</v>
      </c>
      <c r="I41" s="76">
        <f t="shared" si="5"/>
        <v>4394456.47</v>
      </c>
      <c r="L41" s="90"/>
    </row>
    <row r="42" spans="1:12" s="88" customFormat="1" ht="42.75" customHeight="1" x14ac:dyDescent="0.5">
      <c r="A42" s="63"/>
      <c r="B42" s="72"/>
      <c r="C42" s="72"/>
      <c r="D42" s="72"/>
      <c r="E42" s="72"/>
      <c r="F42" s="72"/>
      <c r="G42" s="72"/>
      <c r="H42" s="72"/>
      <c r="I42" s="72"/>
      <c r="L42" s="90"/>
    </row>
    <row r="43" spans="1:12" s="88" customFormat="1" ht="42.75" customHeight="1" x14ac:dyDescent="0.5">
      <c r="A43" s="70" t="s">
        <v>234</v>
      </c>
      <c r="B43" s="72"/>
      <c r="C43" s="72"/>
      <c r="D43" s="72"/>
      <c r="E43" s="72"/>
      <c r="F43" s="72"/>
      <c r="G43" s="72"/>
      <c r="H43" s="72"/>
      <c r="I43" s="72"/>
      <c r="L43" s="90"/>
    </row>
    <row r="44" spans="1:12" s="88" customFormat="1" ht="42.75" customHeight="1" x14ac:dyDescent="0.5">
      <c r="A44" s="63" t="s">
        <v>235</v>
      </c>
      <c r="B44" s="72">
        <f>'Comp YTD 2018-2017 Oct'!B52</f>
        <v>442000</v>
      </c>
      <c r="C44" s="72">
        <f>BPM!L52</f>
        <v>50000</v>
      </c>
      <c r="D44" s="72">
        <f>DEP!L39</f>
        <v>375000</v>
      </c>
      <c r="E44" s="72">
        <v>0</v>
      </c>
      <c r="F44" s="72">
        <f>'BSC (Dome)'!L35</f>
        <v>10000</v>
      </c>
      <c r="G44" s="72">
        <v>0</v>
      </c>
      <c r="H44" s="72">
        <v>0</v>
      </c>
      <c r="I44" s="72">
        <f t="shared" ref="I44:I66" si="7">SUM(B44:H44)</f>
        <v>877000</v>
      </c>
      <c r="L44" s="90"/>
    </row>
    <row r="45" spans="1:12" s="88" customFormat="1" ht="42.75" customHeight="1" x14ac:dyDescent="0.5">
      <c r="A45" s="63" t="s">
        <v>236</v>
      </c>
      <c r="B45" s="72">
        <f>'Comp YTD 2018-2017 Oct'!B53</f>
        <v>1731.9000000000015</v>
      </c>
      <c r="C45" s="72">
        <v>0</v>
      </c>
      <c r="D45" s="72">
        <f>DEP!L40</f>
        <v>69462.649999999994</v>
      </c>
      <c r="E45" s="72">
        <v>0</v>
      </c>
      <c r="F45" s="72">
        <f>'BSC (Dome)'!L37</f>
        <v>5749</v>
      </c>
      <c r="G45" s="72">
        <v>0</v>
      </c>
      <c r="H45" s="72">
        <v>0</v>
      </c>
      <c r="I45" s="72">
        <f t="shared" si="7"/>
        <v>76943.549999999988</v>
      </c>
      <c r="L45" s="90"/>
    </row>
    <row r="46" spans="1:12" s="88" customFormat="1" ht="42.75" customHeight="1" x14ac:dyDescent="0.5">
      <c r="A46" s="63" t="s">
        <v>237</v>
      </c>
      <c r="B46" s="72">
        <f>'Comp YTD 2018-2017 Oct'!B54</f>
        <v>8947.9199999999983</v>
      </c>
      <c r="C46" s="72">
        <v>0</v>
      </c>
      <c r="D46" s="72">
        <v>0</v>
      </c>
      <c r="E46" s="72">
        <v>0</v>
      </c>
      <c r="F46" s="72">
        <f>'BSC (Dome)'!L36</f>
        <v>60944.04</v>
      </c>
      <c r="G46" s="72">
        <v>0</v>
      </c>
      <c r="H46" s="72">
        <v>0</v>
      </c>
      <c r="I46" s="72">
        <f t="shared" si="7"/>
        <v>69891.959999999992</v>
      </c>
      <c r="L46" s="90"/>
    </row>
    <row r="47" spans="1:12" s="88" customFormat="1" ht="42.75" customHeight="1" x14ac:dyDescent="0.5">
      <c r="A47" s="63" t="s">
        <v>338</v>
      </c>
      <c r="B47" s="72">
        <f>'Comp YTD 2018-2017 Oct'!B55</f>
        <v>1078.46</v>
      </c>
      <c r="C47" s="72">
        <v>0</v>
      </c>
      <c r="D47" s="72">
        <v>0</v>
      </c>
      <c r="E47" s="72">
        <v>0</v>
      </c>
      <c r="F47" s="72">
        <f>'BSC (Dome)'!L38</f>
        <v>2221.1</v>
      </c>
      <c r="G47" s="72">
        <v>0</v>
      </c>
      <c r="H47" s="72">
        <v>0</v>
      </c>
      <c r="I47" s="72">
        <f t="shared" si="7"/>
        <v>3299.56</v>
      </c>
      <c r="L47" s="90"/>
    </row>
    <row r="48" spans="1:12" s="88" customFormat="1" ht="42.75" customHeight="1" x14ac:dyDescent="0.5">
      <c r="A48" s="63" t="s">
        <v>291</v>
      </c>
      <c r="B48" s="72">
        <f>'Comp YTD 2018-2017 Oct'!B56</f>
        <v>178.45</v>
      </c>
      <c r="C48" s="72">
        <v>0</v>
      </c>
      <c r="D48" s="72">
        <f>DEP!L41</f>
        <v>1500</v>
      </c>
      <c r="E48" s="72">
        <v>0</v>
      </c>
      <c r="F48" s="72">
        <f>'BSC (Dome)'!L39</f>
        <v>6497.05</v>
      </c>
      <c r="G48" s="72">
        <v>0</v>
      </c>
      <c r="H48" s="72">
        <v>0</v>
      </c>
      <c r="I48" s="72">
        <f t="shared" si="7"/>
        <v>8175.5</v>
      </c>
      <c r="L48" s="90"/>
    </row>
    <row r="49" spans="1:12" s="88" customFormat="1" ht="42.75" customHeight="1" x14ac:dyDescent="0.5">
      <c r="A49" s="63" t="s">
        <v>448</v>
      </c>
      <c r="B49" s="72">
        <f>'Comp YTD 2018-2017 Oct'!B57</f>
        <v>25000</v>
      </c>
      <c r="C49" s="72">
        <v>0</v>
      </c>
      <c r="D49" s="72">
        <f>DEP!L42</f>
        <v>26914.2</v>
      </c>
      <c r="E49" s="72">
        <v>0</v>
      </c>
      <c r="F49" s="72">
        <f>'BSC (Dome)'!L40</f>
        <v>0</v>
      </c>
      <c r="G49" s="72">
        <v>0</v>
      </c>
      <c r="H49" s="72">
        <v>0</v>
      </c>
      <c r="I49" s="72">
        <f t="shared" si="7"/>
        <v>51914.2</v>
      </c>
      <c r="L49" s="90"/>
    </row>
    <row r="50" spans="1:12" s="88" customFormat="1" ht="42.75" customHeight="1" x14ac:dyDescent="0.5">
      <c r="A50" s="63" t="s">
        <v>379</v>
      </c>
      <c r="B50" s="72">
        <f>'Comp YTD 2018-2017 Oct'!B58</f>
        <v>124303.44</v>
      </c>
      <c r="C50" s="72">
        <f>BPM!L53</f>
        <v>2719.73</v>
      </c>
      <c r="D50" s="72">
        <f>DEP!L43</f>
        <v>36363.75</v>
      </c>
      <c r="E50" s="72">
        <v>0</v>
      </c>
      <c r="F50" s="72">
        <f>'BSC (Dome)'!L41</f>
        <v>4411.8</v>
      </c>
      <c r="G50" s="72">
        <v>0</v>
      </c>
      <c r="H50" s="72">
        <v>0</v>
      </c>
      <c r="I50" s="72">
        <f t="shared" si="7"/>
        <v>167798.71999999997</v>
      </c>
      <c r="L50" s="90"/>
    </row>
    <row r="51" spans="1:12" s="88" customFormat="1" ht="42.75" customHeight="1" x14ac:dyDescent="0.5">
      <c r="A51" s="63" t="s">
        <v>377</v>
      </c>
      <c r="B51" s="72">
        <f>'Comp YTD 2018-2017 Oct'!B59</f>
        <v>0</v>
      </c>
      <c r="C51" s="72">
        <v>0</v>
      </c>
      <c r="D51" s="72">
        <v>0</v>
      </c>
      <c r="E51" s="72">
        <v>0</v>
      </c>
      <c r="F51" s="72">
        <f>'BSC (Dome)'!L42+'BSC (Dome)'!L48</f>
        <v>14867.78</v>
      </c>
      <c r="G51" s="72">
        <v>0</v>
      </c>
      <c r="H51" s="72">
        <v>0</v>
      </c>
      <c r="I51" s="72">
        <f t="shared" si="7"/>
        <v>14867.78</v>
      </c>
      <c r="L51" s="90"/>
    </row>
    <row r="52" spans="1:12" s="88" customFormat="1" ht="42.75" customHeight="1" x14ac:dyDescent="0.5">
      <c r="A52" s="63" t="s">
        <v>240</v>
      </c>
      <c r="B52" s="72">
        <f>'Comp YTD 2018-2017 Oct'!B60</f>
        <v>88777.890000000014</v>
      </c>
      <c r="C52" s="72">
        <v>0</v>
      </c>
      <c r="D52" s="72">
        <f>DEP!L44</f>
        <v>52895.720000000016</v>
      </c>
      <c r="E52" s="72">
        <v>0</v>
      </c>
      <c r="F52" s="72">
        <f>'BSC (Dome)'!L44</f>
        <v>739.67</v>
      </c>
      <c r="G52" s="72">
        <v>0</v>
      </c>
      <c r="H52" s="72">
        <v>0</v>
      </c>
      <c r="I52" s="72">
        <f t="shared" si="7"/>
        <v>142413.28000000006</v>
      </c>
      <c r="L52" s="90"/>
    </row>
    <row r="53" spans="1:12" s="88" customFormat="1" ht="42.75" customHeight="1" x14ac:dyDescent="0.5">
      <c r="A53" s="63" t="s">
        <v>241</v>
      </c>
      <c r="B53" s="72">
        <f>'Comp YTD 2018-2017 Oct'!B61</f>
        <v>38000</v>
      </c>
      <c r="C53" s="72">
        <v>0</v>
      </c>
      <c r="D53" s="72">
        <f>DEP!L45</f>
        <v>12411.92</v>
      </c>
      <c r="E53" s="72">
        <v>0</v>
      </c>
      <c r="F53" s="72">
        <v>0</v>
      </c>
      <c r="G53" s="72">
        <v>0</v>
      </c>
      <c r="H53" s="72">
        <v>0</v>
      </c>
      <c r="I53" s="72">
        <f t="shared" si="7"/>
        <v>50411.92</v>
      </c>
      <c r="L53" s="90"/>
    </row>
    <row r="54" spans="1:12" s="88" customFormat="1" ht="42.75" customHeight="1" x14ac:dyDescent="0.5">
      <c r="A54" s="63" t="s">
        <v>239</v>
      </c>
      <c r="B54" s="72">
        <f>'Comp YTD 2018-2017 Oct'!B62</f>
        <v>45541.539999999994</v>
      </c>
      <c r="C54" s="72">
        <f>BPM!L54</f>
        <v>5060.17</v>
      </c>
      <c r="D54" s="72">
        <f>DEP!L46</f>
        <v>167056.25</v>
      </c>
      <c r="E54" s="72">
        <v>0</v>
      </c>
      <c r="F54" s="72">
        <f>'BSC (Dome)'!L46</f>
        <v>24234</v>
      </c>
      <c r="G54" s="72">
        <v>0</v>
      </c>
      <c r="H54" s="72">
        <v>0</v>
      </c>
      <c r="I54" s="72">
        <f t="shared" si="7"/>
        <v>241891.96</v>
      </c>
      <c r="L54" s="90"/>
    </row>
    <row r="55" spans="1:12" s="88" customFormat="1" ht="42.75" customHeight="1" x14ac:dyDescent="0.5">
      <c r="A55" s="63" t="s">
        <v>358</v>
      </c>
      <c r="B55" s="72">
        <f>'Comp YTD 2018-2017 Oct'!B69</f>
        <v>1753</v>
      </c>
      <c r="C55" s="72">
        <f>BPM!L67</f>
        <v>408.90000000000003</v>
      </c>
      <c r="D55" s="72">
        <f>DEP!L69</f>
        <v>449</v>
      </c>
      <c r="E55" s="72">
        <f>Lending!L10</f>
        <v>109</v>
      </c>
      <c r="F55" s="72">
        <f>'BSC (Dome)'!L47</f>
        <v>965</v>
      </c>
      <c r="G55" s="72">
        <f>'Oliari Co.'!L10</f>
        <v>520</v>
      </c>
      <c r="H55" s="72">
        <f>'722 Bedford St'!L10</f>
        <v>520</v>
      </c>
      <c r="I55" s="72">
        <f t="shared" si="7"/>
        <v>4724.8999999999996</v>
      </c>
      <c r="L55" s="90"/>
    </row>
    <row r="56" spans="1:12" s="88" customFormat="1" ht="42.75" customHeight="1" x14ac:dyDescent="0.5">
      <c r="A56" s="63" t="s">
        <v>361</v>
      </c>
      <c r="B56" s="72">
        <f>'Comp YTD 2018-2017 Oct'!B63</f>
        <v>0</v>
      </c>
      <c r="C56" s="72">
        <v>0</v>
      </c>
      <c r="D56" s="72">
        <v>0</v>
      </c>
      <c r="E56" s="72">
        <v>0</v>
      </c>
      <c r="F56" s="72">
        <f>'BSC (Dome)'!L43</f>
        <v>16523.03</v>
      </c>
      <c r="G56" s="72">
        <v>0</v>
      </c>
      <c r="H56" s="72">
        <v>0</v>
      </c>
      <c r="I56" s="72">
        <f t="shared" si="7"/>
        <v>16523.03</v>
      </c>
      <c r="L56" s="90"/>
    </row>
    <row r="57" spans="1:12" s="88" customFormat="1" ht="42.75" customHeight="1" x14ac:dyDescent="0.5">
      <c r="A57" s="63" t="s">
        <v>242</v>
      </c>
      <c r="B57" s="72">
        <f>'Comp YTD 2018-2017 Oct'!B64</f>
        <v>29064.620000000003</v>
      </c>
      <c r="C57" s="72">
        <v>0</v>
      </c>
      <c r="D57" s="72">
        <f>DEP!L47</f>
        <v>272.42</v>
      </c>
      <c r="E57" s="72">
        <v>0</v>
      </c>
      <c r="F57" s="72">
        <f>'BSC (Dome)'!L49</f>
        <v>1417.5100000000002</v>
      </c>
      <c r="G57" s="72">
        <v>0</v>
      </c>
      <c r="H57" s="72">
        <v>0</v>
      </c>
      <c r="I57" s="72">
        <f t="shared" si="7"/>
        <v>30754.550000000003</v>
      </c>
      <c r="L57" s="90"/>
    </row>
    <row r="58" spans="1:12" s="88" customFormat="1" ht="42.75" customHeight="1" x14ac:dyDescent="0.5">
      <c r="A58" s="63" t="s">
        <v>243</v>
      </c>
      <c r="B58" s="72">
        <f>'Comp YTD 2018-2017 Oct'!B65</f>
        <v>8554.1299999999992</v>
      </c>
      <c r="C58" s="72">
        <v>0</v>
      </c>
      <c r="D58" s="72">
        <f>DEP!L49</f>
        <v>3721.8099999999995</v>
      </c>
      <c r="E58" s="72">
        <v>0</v>
      </c>
      <c r="F58" s="72">
        <f>0</f>
        <v>0</v>
      </c>
      <c r="G58" s="72">
        <f>0</f>
        <v>0</v>
      </c>
      <c r="H58" s="72">
        <f>0</f>
        <v>0</v>
      </c>
      <c r="I58" s="72">
        <f t="shared" si="7"/>
        <v>12275.939999999999</v>
      </c>
      <c r="L58" s="90"/>
    </row>
    <row r="59" spans="1:12" s="88" customFormat="1" ht="42.75" customHeight="1" x14ac:dyDescent="0.5">
      <c r="A59" s="63" t="s">
        <v>244</v>
      </c>
      <c r="B59" s="72">
        <f>'Comp YTD 2018-2017 Oct'!B66</f>
        <v>3333.2999999999997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  <c r="H59" s="72">
        <v>0</v>
      </c>
      <c r="I59" s="72">
        <f t="shared" si="7"/>
        <v>3333.2999999999997</v>
      </c>
      <c r="L59" s="90"/>
    </row>
    <row r="60" spans="1:12" s="88" customFormat="1" ht="42.75" customHeight="1" x14ac:dyDescent="0.5">
      <c r="A60" s="63" t="s">
        <v>245</v>
      </c>
      <c r="B60" s="72">
        <f>'Comp YTD 2018-2017 Oct'!B67</f>
        <v>1250210.18</v>
      </c>
      <c r="C60" s="72">
        <f>BPM!L55</f>
        <v>3907.0299999999997</v>
      </c>
      <c r="D60" s="72">
        <f>DEP!L50</f>
        <v>104785.78</v>
      </c>
      <c r="E60" s="72">
        <v>0</v>
      </c>
      <c r="F60" s="72">
        <f>'BSC (Dome)'!L52</f>
        <v>93289.06</v>
      </c>
      <c r="G60" s="72">
        <f>'Oliari Co.'!L11</f>
        <v>92512.700000000026</v>
      </c>
      <c r="H60" s="72">
        <f>'722 Bedford St'!L11</f>
        <v>147135.84</v>
      </c>
      <c r="I60" s="72">
        <f t="shared" si="7"/>
        <v>1691840.59</v>
      </c>
      <c r="L60" s="90"/>
    </row>
    <row r="61" spans="1:12" s="88" customFormat="1" ht="42.75" customHeight="1" x14ac:dyDescent="0.5">
      <c r="A61" s="63" t="s">
        <v>255</v>
      </c>
      <c r="B61" s="72">
        <f>'Comp YTD 2018-2017 Oct'!B68</f>
        <v>1560.6100000000001</v>
      </c>
      <c r="C61" s="72">
        <v>0</v>
      </c>
      <c r="D61" s="72">
        <v>0</v>
      </c>
      <c r="E61" s="72">
        <v>0</v>
      </c>
      <c r="F61" s="72">
        <v>0</v>
      </c>
      <c r="G61" s="72">
        <v>0</v>
      </c>
      <c r="H61" s="72">
        <v>0</v>
      </c>
      <c r="I61" s="72">
        <f t="shared" si="7"/>
        <v>1560.6100000000001</v>
      </c>
      <c r="L61" s="90"/>
    </row>
    <row r="62" spans="1:12" s="88" customFormat="1" ht="42.75" customHeight="1" x14ac:dyDescent="0.5">
      <c r="A62" s="63" t="s">
        <v>248</v>
      </c>
      <c r="B62" s="72">
        <f>'Comp YTD 2018-2017 Oct'!B70</f>
        <v>14462.27</v>
      </c>
      <c r="C62" s="72">
        <f>BPM!L68</f>
        <v>2458.59</v>
      </c>
      <c r="D62" s="72">
        <f>DEP!L51</f>
        <v>16552.589999999997</v>
      </c>
      <c r="E62" s="72">
        <v>0</v>
      </c>
      <c r="F62" s="72">
        <f>'BSC (Dome)'!L53</f>
        <v>0</v>
      </c>
      <c r="G62" s="72">
        <v>0</v>
      </c>
      <c r="H62" s="72">
        <v>0</v>
      </c>
      <c r="I62" s="72">
        <f t="shared" si="7"/>
        <v>33473.449999999997</v>
      </c>
      <c r="L62" s="90"/>
    </row>
    <row r="63" spans="1:12" s="88" customFormat="1" ht="42.75" customHeight="1" x14ac:dyDescent="0.5">
      <c r="A63" s="63" t="s">
        <v>249</v>
      </c>
      <c r="B63" s="72">
        <f>'Comp YTD 2018-2017 Oct'!B71</f>
        <v>111555.28999999998</v>
      </c>
      <c r="C63" s="72">
        <f>BPM!L62</f>
        <v>19617.41</v>
      </c>
      <c r="D63" s="72">
        <f>DEP!L48</f>
        <v>71986.22</v>
      </c>
      <c r="E63" s="72">
        <v>0</v>
      </c>
      <c r="F63" s="72">
        <f>0</f>
        <v>0</v>
      </c>
      <c r="G63" s="72">
        <v>0</v>
      </c>
      <c r="H63" s="72">
        <v>0</v>
      </c>
      <c r="I63" s="72">
        <f t="shared" si="7"/>
        <v>203158.91999999998</v>
      </c>
      <c r="L63" s="90"/>
    </row>
    <row r="64" spans="1:12" s="88" customFormat="1" ht="42.75" customHeight="1" x14ac:dyDescent="0.5">
      <c r="A64" s="63" t="s">
        <v>371</v>
      </c>
      <c r="B64" s="72">
        <f>'Comp YTD 2018-2017 Oct'!B72</f>
        <v>28134.729999999996</v>
      </c>
      <c r="C64" s="72">
        <v>0</v>
      </c>
      <c r="D64" s="72">
        <f>DEP!L52</f>
        <v>7476.93</v>
      </c>
      <c r="E64" s="72">
        <v>0</v>
      </c>
      <c r="F64" s="72">
        <f>'BSC (Dome)'!L54</f>
        <v>2372.79</v>
      </c>
      <c r="G64" s="72">
        <v>0</v>
      </c>
      <c r="H64" s="72">
        <v>0</v>
      </c>
      <c r="I64" s="72">
        <f>SUM(B64:H64)</f>
        <v>37984.449999999997</v>
      </c>
      <c r="L64" s="90"/>
    </row>
    <row r="65" spans="1:12" s="88" customFormat="1" ht="42.75" customHeight="1" x14ac:dyDescent="0.5">
      <c r="A65" s="63" t="s">
        <v>372</v>
      </c>
      <c r="B65" s="72">
        <f>'Comp YTD 2018-2017 Oct'!B73</f>
        <v>15389.529999999999</v>
      </c>
      <c r="C65" s="72">
        <f>BPM!L61</f>
        <v>6132.9</v>
      </c>
      <c r="D65" s="72">
        <f>DEP!L53</f>
        <v>7964.5299999999988</v>
      </c>
      <c r="E65" s="72">
        <v>0</v>
      </c>
      <c r="F65" s="72">
        <f>'BSC (Dome)'!L55</f>
        <v>5453.7199999999993</v>
      </c>
      <c r="G65" s="72">
        <v>0</v>
      </c>
      <c r="H65" s="72">
        <v>0</v>
      </c>
      <c r="I65" s="72">
        <f t="shared" si="7"/>
        <v>34940.68</v>
      </c>
      <c r="L65" s="90"/>
    </row>
    <row r="66" spans="1:12" s="88" customFormat="1" ht="42.75" customHeight="1" x14ac:dyDescent="0.5">
      <c r="A66" s="70" t="s">
        <v>250</v>
      </c>
      <c r="B66" s="76">
        <f t="shared" ref="B66:H66" si="8">SUM(B44:B65)</f>
        <v>2239577.2599999998</v>
      </c>
      <c r="C66" s="76">
        <f t="shared" si="8"/>
        <v>90304.73</v>
      </c>
      <c r="D66" s="76">
        <f t="shared" si="8"/>
        <v>954813.77000000025</v>
      </c>
      <c r="E66" s="76">
        <f t="shared" si="8"/>
        <v>109</v>
      </c>
      <c r="F66" s="76">
        <f t="shared" si="8"/>
        <v>249685.55000000005</v>
      </c>
      <c r="G66" s="76">
        <f t="shared" si="8"/>
        <v>93032.700000000026</v>
      </c>
      <c r="H66" s="76">
        <f t="shared" si="8"/>
        <v>147655.84</v>
      </c>
      <c r="I66" s="76">
        <f t="shared" si="7"/>
        <v>3775178.8499999996</v>
      </c>
      <c r="L66" s="90"/>
    </row>
    <row r="67" spans="1:12" s="88" customFormat="1" ht="42.75" customHeight="1" x14ac:dyDescent="0.5">
      <c r="A67" s="63"/>
      <c r="B67" s="72"/>
      <c r="C67" s="72"/>
      <c r="D67" s="72"/>
      <c r="E67" s="72"/>
      <c r="F67" s="72"/>
      <c r="G67" s="72"/>
      <c r="H67" s="72"/>
      <c r="I67" s="72">
        <f>SUM(B67:F67)</f>
        <v>0</v>
      </c>
      <c r="L67" s="90"/>
    </row>
    <row r="68" spans="1:12" s="88" customFormat="1" ht="42.75" customHeight="1" x14ac:dyDescent="0.5">
      <c r="A68" s="70" t="s">
        <v>251</v>
      </c>
      <c r="B68" s="72"/>
      <c r="C68" s="72"/>
      <c r="D68" s="72"/>
      <c r="E68" s="72"/>
      <c r="F68" s="72"/>
      <c r="G68" s="72"/>
      <c r="H68" s="72"/>
      <c r="I68" s="72">
        <f>SUM(B68:F68)</f>
        <v>0</v>
      </c>
      <c r="L68" s="90"/>
    </row>
    <row r="69" spans="1:12" s="88" customFormat="1" ht="42.75" customHeight="1" x14ac:dyDescent="0.5">
      <c r="A69" s="63" t="s">
        <v>252</v>
      </c>
      <c r="B69" s="72">
        <f>'Comp YTD 2018-2017 Oct'!B77</f>
        <v>8850.92</v>
      </c>
      <c r="C69" s="72">
        <v>0</v>
      </c>
      <c r="D69" s="72">
        <f>DEP!L57</f>
        <v>1549.8</v>
      </c>
      <c r="E69" s="72">
        <v>0</v>
      </c>
      <c r="F69" s="72">
        <f>'BSC (Dome)'!L59</f>
        <v>3133.06</v>
      </c>
      <c r="G69" s="72">
        <v>0</v>
      </c>
      <c r="H69" s="72">
        <v>0</v>
      </c>
      <c r="I69" s="72">
        <f t="shared" ref="I69:I88" si="9">SUM(B69:H69)</f>
        <v>13533.779999999999</v>
      </c>
      <c r="L69" s="90"/>
    </row>
    <row r="70" spans="1:12" s="88" customFormat="1" ht="42.75" customHeight="1" x14ac:dyDescent="0.5">
      <c r="A70" s="63" t="s">
        <v>394</v>
      </c>
      <c r="B70" s="72">
        <f>'Comp YTD 2018-2017 Oct'!B78</f>
        <v>4500</v>
      </c>
      <c r="C70" s="72"/>
      <c r="D70" s="72"/>
      <c r="E70" s="72"/>
      <c r="F70" s="72"/>
      <c r="G70" s="72"/>
      <c r="H70" s="72"/>
      <c r="I70" s="72"/>
      <c r="L70" s="90"/>
    </row>
    <row r="71" spans="1:12" s="88" customFormat="1" ht="42.75" customHeight="1" x14ac:dyDescent="0.5">
      <c r="A71" s="63" t="s">
        <v>253</v>
      </c>
      <c r="B71" s="72">
        <f>'Comp YTD 2018-2017 Oct'!B79</f>
        <v>102677.48999999999</v>
      </c>
      <c r="C71" s="72">
        <f>BPM!L59</f>
        <v>8558.14</v>
      </c>
      <c r="D71" s="72">
        <f>DEP!L58</f>
        <v>7379.1600000000008</v>
      </c>
      <c r="E71" s="72">
        <f>Lending!L9</f>
        <v>2029.5100000000002</v>
      </c>
      <c r="F71" s="72">
        <f>'BSC (Dome)'!L60</f>
        <v>2538.8799999999992</v>
      </c>
      <c r="G71" s="72">
        <v>0</v>
      </c>
      <c r="H71" s="72">
        <f>'722 Bedford St'!L16</f>
        <v>791.58000000000015</v>
      </c>
      <c r="I71" s="72">
        <f t="shared" si="9"/>
        <v>123974.76</v>
      </c>
      <c r="L71" s="90"/>
    </row>
    <row r="72" spans="1:12" s="88" customFormat="1" ht="42.75" customHeight="1" x14ac:dyDescent="0.5">
      <c r="A72" s="63" t="s">
        <v>365</v>
      </c>
      <c r="B72" s="72">
        <f>'Comp YTD 2018-2017 Oct'!B80</f>
        <v>0</v>
      </c>
      <c r="C72" s="72">
        <v>0</v>
      </c>
      <c r="D72" s="72">
        <v>0</v>
      </c>
      <c r="E72" s="72">
        <v>0</v>
      </c>
      <c r="F72" s="72">
        <f>'BSC (Dome)'!L61</f>
        <v>3885.13</v>
      </c>
      <c r="G72" s="72">
        <v>0</v>
      </c>
      <c r="H72" s="72">
        <v>0</v>
      </c>
      <c r="I72" s="72">
        <f t="shared" si="9"/>
        <v>3885.13</v>
      </c>
      <c r="L72" s="90"/>
    </row>
    <row r="73" spans="1:12" s="88" customFormat="1" ht="42.75" customHeight="1" x14ac:dyDescent="0.5">
      <c r="A73" s="63" t="s">
        <v>254</v>
      </c>
      <c r="B73" s="72">
        <f>'Comp YTD 2018-2017 Oct'!B81</f>
        <v>3869.16</v>
      </c>
      <c r="C73" s="72">
        <v>0</v>
      </c>
      <c r="D73" s="72">
        <f>DEP!L68</f>
        <v>899.5</v>
      </c>
      <c r="E73" s="72">
        <v>0</v>
      </c>
      <c r="F73" s="72">
        <f>'BSC (Dome)'!L65</f>
        <v>1068.2</v>
      </c>
      <c r="G73" s="72">
        <v>0</v>
      </c>
      <c r="H73" s="72">
        <v>0</v>
      </c>
      <c r="I73" s="72">
        <f t="shared" si="9"/>
        <v>5836.86</v>
      </c>
      <c r="L73" s="90"/>
    </row>
    <row r="74" spans="1:12" s="88" customFormat="1" ht="42.75" customHeight="1" x14ac:dyDescent="0.5">
      <c r="A74" s="63" t="s">
        <v>362</v>
      </c>
      <c r="B74" s="72">
        <f>'Comp YTD 2018-2017 Oct'!B82</f>
        <v>291142.85000000003</v>
      </c>
      <c r="C74" s="72">
        <f>BPM!L64</f>
        <v>10421.75</v>
      </c>
      <c r="D74" s="72">
        <f>DEP!L62</f>
        <v>45000</v>
      </c>
      <c r="E74" s="72">
        <v>0</v>
      </c>
      <c r="F74" s="72">
        <f>'BSC (Dome)'!L66</f>
        <v>4625</v>
      </c>
      <c r="G74" s="72">
        <f>'Oliari Co.'!L15</f>
        <v>2915</v>
      </c>
      <c r="H74" s="72">
        <f>'722 Bedford St'!L15</f>
        <v>2550</v>
      </c>
      <c r="I74" s="72">
        <f t="shared" si="9"/>
        <v>356654.60000000003</v>
      </c>
      <c r="L74" s="90"/>
    </row>
    <row r="75" spans="1:12" s="88" customFormat="1" ht="42.75" customHeight="1" x14ac:dyDescent="0.5">
      <c r="A75" s="63" t="s">
        <v>363</v>
      </c>
      <c r="B75" s="72">
        <f>'Comp YTD 2018-2017 Oct'!B83</f>
        <v>75500</v>
      </c>
      <c r="C75" s="72">
        <f>BPM!L65</f>
        <v>37500</v>
      </c>
      <c r="D75" s="72">
        <f>DEP!L63</f>
        <v>22500</v>
      </c>
      <c r="E75" s="72">
        <f>Lending!L11</f>
        <v>15000</v>
      </c>
      <c r="F75" s="72">
        <f>'BSC (Dome)'!L67</f>
        <v>15000</v>
      </c>
      <c r="G75" s="72">
        <v>0</v>
      </c>
      <c r="H75" s="72">
        <v>0</v>
      </c>
      <c r="I75" s="72">
        <f t="shared" si="9"/>
        <v>165500</v>
      </c>
      <c r="L75" s="90"/>
    </row>
    <row r="76" spans="1:12" s="88" customFormat="1" ht="42.75" customHeight="1" x14ac:dyDescent="0.5">
      <c r="A76" s="63" t="s">
        <v>364</v>
      </c>
      <c r="B76" s="72">
        <f>'Comp YTD 2018-2017 Oct'!B84</f>
        <v>52220.990000000005</v>
      </c>
      <c r="C76" s="72">
        <f>BPM!L63</f>
        <v>6339.7100000000009</v>
      </c>
      <c r="D76" s="72">
        <f>DEP!L61</f>
        <v>-401.22000000000025</v>
      </c>
      <c r="E76" s="72">
        <f>Lending!L12</f>
        <v>1806.6800000000003</v>
      </c>
      <c r="F76" s="72">
        <v>0</v>
      </c>
      <c r="G76" s="72">
        <v>0</v>
      </c>
      <c r="H76" s="72">
        <v>0</v>
      </c>
      <c r="I76" s="72">
        <f t="shared" si="9"/>
        <v>59966.16</v>
      </c>
      <c r="L76" s="90"/>
    </row>
    <row r="77" spans="1:12" s="88" customFormat="1" ht="42.75" customHeight="1" x14ac:dyDescent="0.5">
      <c r="A77" s="63" t="s">
        <v>403</v>
      </c>
      <c r="B77" s="72">
        <f>'Comp YTD 2018-2017 Oct'!B85</f>
        <v>30209.390000000003</v>
      </c>
      <c r="C77" s="72">
        <f>BPM!L66</f>
        <v>4647.6000000000004</v>
      </c>
      <c r="D77" s="72">
        <f>DEP!L65</f>
        <v>11619.009999999998</v>
      </c>
      <c r="E77" s="72">
        <v>0</v>
      </c>
      <c r="F77" s="72">
        <v>0</v>
      </c>
      <c r="G77" s="72">
        <v>0</v>
      </c>
      <c r="H77" s="72">
        <v>0</v>
      </c>
      <c r="I77" s="72">
        <f t="shared" si="9"/>
        <v>46476</v>
      </c>
      <c r="L77" s="90"/>
    </row>
    <row r="78" spans="1:12" s="88" customFormat="1" ht="42.75" customHeight="1" x14ac:dyDescent="0.5">
      <c r="A78" s="63" t="s">
        <v>392</v>
      </c>
      <c r="B78" s="72">
        <f>'Comp YTD 2018-2017 Oct'!B86</f>
        <v>0</v>
      </c>
      <c r="C78" s="72">
        <v>0</v>
      </c>
      <c r="D78" s="72">
        <f>DEP!L64</f>
        <v>7291.69</v>
      </c>
      <c r="E78" s="72">
        <v>0</v>
      </c>
      <c r="F78" s="72">
        <v>0</v>
      </c>
      <c r="G78" s="72">
        <v>0</v>
      </c>
      <c r="H78" s="72">
        <v>0</v>
      </c>
      <c r="I78" s="72">
        <f t="shared" si="9"/>
        <v>7291.69</v>
      </c>
      <c r="L78" s="90"/>
    </row>
    <row r="79" spans="1:12" s="88" customFormat="1" ht="42.75" customHeight="1" x14ac:dyDescent="0.5">
      <c r="A79" s="63" t="s">
        <v>256</v>
      </c>
      <c r="B79" s="72">
        <f>'Comp YTD 2018-2017 Oct'!B87</f>
        <v>16111.960000000006</v>
      </c>
      <c r="C79" s="72">
        <v>0</v>
      </c>
      <c r="D79" s="72">
        <f>DEP!L60</f>
        <v>42934.79</v>
      </c>
      <c r="E79" s="72">
        <v>0</v>
      </c>
      <c r="F79" s="72">
        <f>'BSC (Dome)'!L63</f>
        <v>1460.9099999999996</v>
      </c>
      <c r="G79" s="72">
        <v>0</v>
      </c>
      <c r="H79" s="72">
        <v>0</v>
      </c>
      <c r="I79" s="72">
        <f t="shared" si="9"/>
        <v>60507.66</v>
      </c>
      <c r="L79" s="90"/>
    </row>
    <row r="80" spans="1:12" s="88" customFormat="1" ht="42.75" customHeight="1" x14ac:dyDescent="0.5">
      <c r="A80" s="63" t="s">
        <v>257</v>
      </c>
      <c r="B80" s="72">
        <f>'Comp YTD 2018-2017 Oct'!B88</f>
        <v>29286.44</v>
      </c>
      <c r="C80" s="72">
        <f>BPM!L60</f>
        <v>912.49</v>
      </c>
      <c r="D80" s="72">
        <f>DEP!L70</f>
        <v>2477.5</v>
      </c>
      <c r="E80" s="72">
        <v>0</v>
      </c>
      <c r="F80" s="72">
        <f>'BSC (Dome)'!L69</f>
        <v>642</v>
      </c>
      <c r="G80" s="72">
        <v>0</v>
      </c>
      <c r="H80" s="72">
        <v>0</v>
      </c>
      <c r="I80" s="72">
        <f t="shared" si="9"/>
        <v>33318.43</v>
      </c>
      <c r="L80" s="90"/>
    </row>
    <row r="81" spans="1:12" s="88" customFormat="1" ht="42.75" customHeight="1" x14ac:dyDescent="0.5">
      <c r="A81" s="63" t="s">
        <v>258</v>
      </c>
      <c r="B81" s="72">
        <f>'Comp YTD 2018-2017 Oct'!B89</f>
        <v>21781.940000000002</v>
      </c>
      <c r="C81" s="72">
        <f>0</f>
        <v>0</v>
      </c>
      <c r="D81" s="72">
        <f>DEP!L67</f>
        <v>7217.7</v>
      </c>
      <c r="E81" s="72">
        <v>0</v>
      </c>
      <c r="F81" s="72">
        <v>0</v>
      </c>
      <c r="G81" s="72">
        <v>0</v>
      </c>
      <c r="H81" s="72">
        <v>0</v>
      </c>
      <c r="I81" s="72">
        <f t="shared" si="9"/>
        <v>28999.640000000003</v>
      </c>
      <c r="L81" s="90"/>
    </row>
    <row r="82" spans="1:12" s="88" customFormat="1" ht="42.75" customHeight="1" x14ac:dyDescent="0.5">
      <c r="A82" s="63" t="s">
        <v>295</v>
      </c>
      <c r="B82" s="72">
        <f>'Comp YTD 2018-2017 Oct'!B90</f>
        <v>543.67999999999995</v>
      </c>
      <c r="C82" s="72">
        <f>0</f>
        <v>0</v>
      </c>
      <c r="D82" s="72">
        <f>DEP!L59</f>
        <v>300</v>
      </c>
      <c r="E82" s="72">
        <v>0</v>
      </c>
      <c r="F82" s="72">
        <f>'BSC (Dome)'!L62</f>
        <v>2600</v>
      </c>
      <c r="G82" s="72">
        <v>0</v>
      </c>
      <c r="H82" s="72">
        <v>0</v>
      </c>
      <c r="I82" s="72">
        <f t="shared" si="9"/>
        <v>3443.68</v>
      </c>
      <c r="L82" s="90"/>
    </row>
    <row r="83" spans="1:12" s="88" customFormat="1" ht="42.75" customHeight="1" x14ac:dyDescent="0.5">
      <c r="A83" s="63" t="s">
        <v>380</v>
      </c>
      <c r="B83" s="72">
        <f>'Comp YTD 2018-2017 Oct'!B91</f>
        <v>397.63</v>
      </c>
      <c r="C83" s="72">
        <v>0</v>
      </c>
      <c r="D83" s="72">
        <v>0</v>
      </c>
      <c r="E83" s="72">
        <v>0</v>
      </c>
      <c r="F83" s="72">
        <f>'BSC (Dome)'!L64</f>
        <v>10329.9</v>
      </c>
      <c r="G83" s="72">
        <v>0</v>
      </c>
      <c r="H83" s="72">
        <v>0</v>
      </c>
      <c r="I83" s="72">
        <f t="shared" si="9"/>
        <v>10727.529999999999</v>
      </c>
      <c r="L83" s="90"/>
    </row>
    <row r="84" spans="1:12" s="88" customFormat="1" ht="42.75" customHeight="1" x14ac:dyDescent="0.5">
      <c r="A84" s="63" t="s">
        <v>259</v>
      </c>
      <c r="B84" s="72">
        <f>'Comp YTD 2018-2017 Oct'!B92</f>
        <v>12728.949999999999</v>
      </c>
      <c r="C84" s="72">
        <f>BPM!L69</f>
        <v>7140.03</v>
      </c>
      <c r="D84" s="72">
        <f>DEP!L66</f>
        <v>6690.94</v>
      </c>
      <c r="E84" s="72">
        <v>0</v>
      </c>
      <c r="F84" s="72">
        <v>0</v>
      </c>
      <c r="G84" s="72">
        <v>0</v>
      </c>
      <c r="H84" s="72">
        <v>0</v>
      </c>
      <c r="I84" s="72">
        <f t="shared" si="9"/>
        <v>26559.919999999998</v>
      </c>
      <c r="L84" s="90"/>
    </row>
    <row r="85" spans="1:12" s="88" customFormat="1" ht="42.75" customHeight="1" x14ac:dyDescent="0.5">
      <c r="A85" s="63" t="s">
        <v>260</v>
      </c>
      <c r="B85" s="72">
        <f>'Comp YTD 2018-2017 Oct'!B93</f>
        <v>20000.210000000003</v>
      </c>
      <c r="C85" s="72">
        <v>0</v>
      </c>
      <c r="D85" s="72">
        <v>0</v>
      </c>
      <c r="E85" s="72">
        <v>0</v>
      </c>
      <c r="F85" s="72">
        <v>0</v>
      </c>
      <c r="G85" s="72">
        <v>0</v>
      </c>
      <c r="H85" s="72">
        <v>0</v>
      </c>
      <c r="I85" s="72">
        <f t="shared" si="9"/>
        <v>20000.210000000003</v>
      </c>
      <c r="L85" s="90"/>
    </row>
    <row r="86" spans="1:12" s="88" customFormat="1" ht="42.75" customHeight="1" x14ac:dyDescent="0.5">
      <c r="A86" s="63" t="s">
        <v>261</v>
      </c>
      <c r="B86" s="72">
        <f>'Comp YTD 2018-2017 Oct'!B94</f>
        <v>5265.96</v>
      </c>
      <c r="C86" s="72">
        <v>0</v>
      </c>
      <c r="D86" s="72">
        <v>0</v>
      </c>
      <c r="E86" s="72">
        <v>0</v>
      </c>
      <c r="F86" s="72">
        <v>0</v>
      </c>
      <c r="G86" s="72">
        <v>0</v>
      </c>
      <c r="H86" s="72">
        <v>0</v>
      </c>
      <c r="I86" s="72">
        <f t="shared" si="9"/>
        <v>5265.96</v>
      </c>
      <c r="L86" s="90"/>
    </row>
    <row r="87" spans="1:12" s="88" customFormat="1" ht="42.75" customHeight="1" x14ac:dyDescent="0.5">
      <c r="A87" s="63" t="s">
        <v>262</v>
      </c>
      <c r="B87" s="72">
        <f>'Comp YTD 2018-2017 Oct'!B95</f>
        <v>19190.520000000004</v>
      </c>
      <c r="C87" s="72">
        <v>0</v>
      </c>
      <c r="D87" s="72">
        <v>0</v>
      </c>
      <c r="E87" s="72">
        <v>0</v>
      </c>
      <c r="F87" s="72">
        <v>0</v>
      </c>
      <c r="G87" s="72">
        <v>0</v>
      </c>
      <c r="H87" s="72">
        <v>0</v>
      </c>
      <c r="I87" s="72">
        <f t="shared" si="9"/>
        <v>19190.520000000004</v>
      </c>
      <c r="L87" s="90"/>
    </row>
    <row r="88" spans="1:12" s="88" customFormat="1" ht="42.75" customHeight="1" x14ac:dyDescent="0.5">
      <c r="A88" s="70" t="s">
        <v>264</v>
      </c>
      <c r="B88" s="76">
        <f t="shared" ref="B88:H88" si="10">SUM(B69:B87)</f>
        <v>694278.08999999985</v>
      </c>
      <c r="C88" s="76">
        <f t="shared" si="10"/>
        <v>75519.72</v>
      </c>
      <c r="D88" s="76">
        <f t="shared" si="10"/>
        <v>155458.87</v>
      </c>
      <c r="E88" s="76">
        <f t="shared" si="10"/>
        <v>18836.190000000002</v>
      </c>
      <c r="F88" s="76">
        <f t="shared" si="10"/>
        <v>45283.08</v>
      </c>
      <c r="G88" s="76">
        <f t="shared" si="10"/>
        <v>2915</v>
      </c>
      <c r="H88" s="76">
        <f t="shared" si="10"/>
        <v>3341.58</v>
      </c>
      <c r="I88" s="76">
        <f t="shared" si="9"/>
        <v>995632.5299999998</v>
      </c>
      <c r="L88" s="90"/>
    </row>
    <row r="89" spans="1:12" s="88" customFormat="1" ht="42.75" customHeight="1" x14ac:dyDescent="0.5">
      <c r="A89" s="63"/>
      <c r="B89" s="72"/>
      <c r="C89" s="72"/>
      <c r="D89" s="72"/>
      <c r="E89" s="72"/>
      <c r="F89" s="72"/>
      <c r="G89" s="72"/>
      <c r="H89" s="72"/>
      <c r="I89" s="72">
        <f>SUM(B89:F89)</f>
        <v>0</v>
      </c>
      <c r="L89" s="90"/>
    </row>
    <row r="90" spans="1:12" s="88" customFormat="1" ht="42.75" customHeight="1" thickBot="1" x14ac:dyDescent="0.55000000000000004">
      <c r="A90" s="70" t="s">
        <v>265</v>
      </c>
      <c r="B90" s="82">
        <f t="shared" ref="B90:H90" si="11">B41+B66+B88</f>
        <v>5554240.5899999999</v>
      </c>
      <c r="C90" s="82">
        <f t="shared" si="11"/>
        <v>806357.21</v>
      </c>
      <c r="D90" s="82">
        <f t="shared" si="11"/>
        <v>1923904.8900000001</v>
      </c>
      <c r="E90" s="82">
        <f t="shared" si="11"/>
        <v>18945.190000000002</v>
      </c>
      <c r="F90" s="82">
        <f t="shared" si="11"/>
        <v>614874.85</v>
      </c>
      <c r="G90" s="82">
        <f t="shared" si="11"/>
        <v>95947.700000000026</v>
      </c>
      <c r="H90" s="82">
        <f t="shared" si="11"/>
        <v>150997.41999999998</v>
      </c>
      <c r="I90" s="82">
        <f>SUM(B90:H90)</f>
        <v>9165267.8499999996</v>
      </c>
      <c r="L90" s="90"/>
    </row>
    <row r="91" spans="1:12" s="88" customFormat="1" ht="42.75" customHeight="1" x14ac:dyDescent="0.5">
      <c r="A91" s="63"/>
      <c r="B91" s="72"/>
      <c r="C91" s="72"/>
      <c r="D91" s="72"/>
      <c r="E91" s="72"/>
      <c r="F91" s="72"/>
      <c r="G91" s="72"/>
      <c r="H91" s="72"/>
      <c r="I91" s="72"/>
      <c r="L91" s="90"/>
    </row>
    <row r="92" spans="1:12" s="88" customFormat="1" ht="42.75" customHeight="1" x14ac:dyDescent="0.5">
      <c r="A92" s="70" t="s">
        <v>465</v>
      </c>
      <c r="B92" s="72"/>
      <c r="C92" s="72"/>
      <c r="D92" s="72"/>
      <c r="E92" s="72"/>
      <c r="F92" s="72"/>
      <c r="G92" s="72"/>
      <c r="H92" s="72"/>
      <c r="I92" s="72"/>
      <c r="L92" s="90"/>
    </row>
    <row r="93" spans="1:12" s="88" customFormat="1" ht="42.75" customHeight="1" x14ac:dyDescent="0.5">
      <c r="A93" s="63" t="s">
        <v>268</v>
      </c>
      <c r="B93" s="72">
        <f>'Comp YTD 2018-2017 Oct'!B101</f>
        <v>125000</v>
      </c>
      <c r="C93" s="72">
        <v>0</v>
      </c>
      <c r="D93" s="72">
        <f>DEP!L76</f>
        <v>125000</v>
      </c>
      <c r="E93" s="72">
        <v>0</v>
      </c>
      <c r="F93" s="72">
        <f>'BSC (Dome)'!L75+'BSC (Dome)'!L76</f>
        <v>54000</v>
      </c>
      <c r="G93" s="72">
        <f>'Oliari Co.'!L21+'Oliari Co.'!L22+'Oliari Co.'!L23</f>
        <v>227000</v>
      </c>
      <c r="H93" s="72">
        <f>'722 Bedford St'!L22+'722 Bedford St'!L23</f>
        <v>175000</v>
      </c>
      <c r="I93" s="72">
        <f t="shared" ref="I93:I105" si="12">SUM(B93:H93)</f>
        <v>706000</v>
      </c>
      <c r="L93" s="90"/>
    </row>
    <row r="94" spans="1:12" s="88" customFormat="1" ht="42.75" customHeight="1" x14ac:dyDescent="0.5">
      <c r="A94" s="63" t="s">
        <v>269</v>
      </c>
      <c r="B94" s="72">
        <f>'Comp YTD 2018-2017 Oct'!B102</f>
        <v>0</v>
      </c>
      <c r="C94" s="72">
        <v>0</v>
      </c>
      <c r="D94" s="72">
        <v>0</v>
      </c>
      <c r="E94" s="72">
        <v>0</v>
      </c>
      <c r="F94" s="72">
        <v>0</v>
      </c>
      <c r="G94" s="72">
        <v>0</v>
      </c>
      <c r="H94" s="72">
        <v>0</v>
      </c>
      <c r="I94" s="72">
        <f t="shared" si="12"/>
        <v>0</v>
      </c>
      <c r="L94" s="90"/>
    </row>
    <row r="95" spans="1:12" s="88" customFormat="1" ht="42.75" customHeight="1" x14ac:dyDescent="0.5">
      <c r="A95" s="63" t="s">
        <v>327</v>
      </c>
      <c r="B95" s="72">
        <f>'Comp YTD 2018-2017 Oct'!B103</f>
        <v>0</v>
      </c>
      <c r="C95" s="72">
        <f>-BPM!L73</f>
        <v>0</v>
      </c>
      <c r="D95" s="72">
        <v>0</v>
      </c>
      <c r="E95" s="72">
        <v>0</v>
      </c>
      <c r="F95" s="72">
        <v>0</v>
      </c>
      <c r="G95" s="72">
        <v>0</v>
      </c>
      <c r="H95" s="72">
        <v>0</v>
      </c>
      <c r="I95" s="72">
        <f t="shared" si="12"/>
        <v>0</v>
      </c>
      <c r="L95" s="90"/>
    </row>
    <row r="96" spans="1:12" s="88" customFormat="1" ht="42.75" customHeight="1" x14ac:dyDescent="0.5">
      <c r="A96" s="63" t="s">
        <v>389</v>
      </c>
      <c r="B96" s="72">
        <f>'Comp YTD 2018-2017 Oct'!B104</f>
        <v>52442.54</v>
      </c>
      <c r="C96" s="72">
        <f>-BPM!L74</f>
        <v>-52442.54</v>
      </c>
      <c r="D96" s="72">
        <v>0</v>
      </c>
      <c r="E96" s="72">
        <v>0</v>
      </c>
      <c r="F96" s="72">
        <v>0</v>
      </c>
      <c r="G96" s="72">
        <v>0</v>
      </c>
      <c r="H96" s="72">
        <v>0</v>
      </c>
      <c r="I96" s="72">
        <f t="shared" si="12"/>
        <v>0</v>
      </c>
      <c r="L96" s="90"/>
    </row>
    <row r="97" spans="1:12" s="88" customFormat="1" ht="42.75" customHeight="1" x14ac:dyDescent="0.5">
      <c r="A97" s="63" t="s">
        <v>270</v>
      </c>
      <c r="B97" s="72">
        <f>'Comp YTD 2018-2017 Oct'!B105</f>
        <v>173621.05</v>
      </c>
      <c r="C97" s="72">
        <v>0</v>
      </c>
      <c r="D97" s="72">
        <v>0</v>
      </c>
      <c r="E97" s="72">
        <v>0</v>
      </c>
      <c r="F97" s="72">
        <v>0</v>
      </c>
      <c r="G97" s="72">
        <v>0</v>
      </c>
      <c r="H97" s="72">
        <v>0</v>
      </c>
      <c r="I97" s="72">
        <f t="shared" si="12"/>
        <v>173621.05</v>
      </c>
      <c r="L97" s="90"/>
    </row>
    <row r="98" spans="1:12" s="88" customFormat="1" ht="42.75" customHeight="1" x14ac:dyDescent="0.5">
      <c r="A98" s="63" t="s">
        <v>271</v>
      </c>
      <c r="B98" s="72">
        <f>'Comp YTD 2018-2017 Oct'!B106</f>
        <v>205536.41</v>
      </c>
      <c r="C98" s="72">
        <f>-BPM!L75</f>
        <v>11103.05</v>
      </c>
      <c r="D98" s="72">
        <f>DEP!L77</f>
        <v>27991.05</v>
      </c>
      <c r="E98" s="72">
        <f>Lending!L16</f>
        <v>43817.899999999994</v>
      </c>
      <c r="F98" s="72">
        <v>0</v>
      </c>
      <c r="G98" s="72">
        <f>'Oliari Co.'!L25</f>
        <v>36247.920000000006</v>
      </c>
      <c r="H98" s="72">
        <v>0</v>
      </c>
      <c r="I98" s="72">
        <f t="shared" si="12"/>
        <v>324696.32999999996</v>
      </c>
      <c r="L98" s="90"/>
    </row>
    <row r="99" spans="1:12" s="88" customFormat="1" ht="42.75" customHeight="1" x14ac:dyDescent="0.5">
      <c r="A99" s="63" t="s">
        <v>272</v>
      </c>
      <c r="B99" s="72">
        <f>'Comp YTD 2018-2017 Oct'!B107</f>
        <v>-154193.69999999998</v>
      </c>
      <c r="C99" s="72">
        <v>0</v>
      </c>
      <c r="D99" s="72">
        <v>0</v>
      </c>
      <c r="E99" s="72">
        <f>Lending!L17</f>
        <v>-4941.34</v>
      </c>
      <c r="F99" s="72">
        <f>'BSC (Dome)'!L78+'BSC (Dome)'!L79</f>
        <v>-96696.13</v>
      </c>
      <c r="G99" s="72">
        <f>'Oliari Co.'!L26</f>
        <v>-8609.3000000000011</v>
      </c>
      <c r="H99" s="72">
        <f>'722 Bedford St'!L26</f>
        <v>-138.88999999999999</v>
      </c>
      <c r="I99" s="72">
        <f t="shared" si="12"/>
        <v>-264579.36</v>
      </c>
      <c r="L99" s="90"/>
    </row>
    <row r="100" spans="1:12" s="88" customFormat="1" ht="42.75" customHeight="1" x14ac:dyDescent="0.5">
      <c r="A100" s="63" t="s">
        <v>273</v>
      </c>
      <c r="B100" s="72">
        <f>'Comp YTD 2018-2017 Oct'!B108</f>
        <v>49.6</v>
      </c>
      <c r="C100" s="72">
        <v>0</v>
      </c>
      <c r="D100" s="72">
        <v>0</v>
      </c>
      <c r="E100" s="72"/>
      <c r="F100" s="72">
        <f>'BSC (Dome)'!L77</f>
        <v>1912.98</v>
      </c>
      <c r="G100" s="72">
        <f>'Oliari Co.'!L24</f>
        <v>1.01</v>
      </c>
      <c r="H100" s="72">
        <v>0</v>
      </c>
      <c r="I100" s="72">
        <f t="shared" si="12"/>
        <v>1963.59</v>
      </c>
      <c r="L100" s="90"/>
    </row>
    <row r="101" spans="1:12" s="88" customFormat="1" ht="42.75" customHeight="1" x14ac:dyDescent="0.5">
      <c r="A101" s="63" t="s">
        <v>404</v>
      </c>
      <c r="B101" s="72">
        <f>'Comp YTD 2018-2017 Oct'!B109</f>
        <v>37657.369999999995</v>
      </c>
      <c r="C101" s="72">
        <v>0</v>
      </c>
      <c r="D101" s="72">
        <v>0</v>
      </c>
      <c r="E101" s="72">
        <v>0</v>
      </c>
      <c r="F101" s="72">
        <v>0</v>
      </c>
      <c r="G101" s="72">
        <v>0</v>
      </c>
      <c r="H101" s="72">
        <v>0</v>
      </c>
      <c r="I101" s="72">
        <f t="shared" si="12"/>
        <v>37657.369999999995</v>
      </c>
      <c r="L101" s="90"/>
    </row>
    <row r="102" spans="1:12" s="88" customFormat="1" ht="42.75" customHeight="1" x14ac:dyDescent="0.5">
      <c r="A102" s="63" t="s">
        <v>441</v>
      </c>
      <c r="B102" s="72">
        <f>'Comp YTD 2018-2017 Oct'!B110</f>
        <v>6381.6</v>
      </c>
      <c r="C102" s="72">
        <v>0</v>
      </c>
      <c r="D102" s="72">
        <v>0</v>
      </c>
      <c r="E102" s="72">
        <v>0</v>
      </c>
      <c r="F102" s="72">
        <v>0</v>
      </c>
      <c r="G102" s="72">
        <v>0</v>
      </c>
      <c r="H102" s="72">
        <v>0</v>
      </c>
      <c r="I102" s="72">
        <f t="shared" si="12"/>
        <v>6381.6</v>
      </c>
      <c r="L102" s="90"/>
    </row>
    <row r="103" spans="1:12" s="88" customFormat="1" ht="42.75" customHeight="1" x14ac:dyDescent="0.5">
      <c r="A103" s="63" t="s">
        <v>442</v>
      </c>
      <c r="B103" s="72">
        <f>'Comp YTD 2018-2017 Oct'!B111</f>
        <v>35989.14</v>
      </c>
      <c r="C103" s="72">
        <v>0</v>
      </c>
      <c r="D103" s="72">
        <v>0</v>
      </c>
      <c r="E103" s="72">
        <v>0</v>
      </c>
      <c r="F103" s="72">
        <v>0</v>
      </c>
      <c r="G103" s="72">
        <v>0</v>
      </c>
      <c r="H103" s="72">
        <v>0</v>
      </c>
      <c r="I103" s="72">
        <f t="shared" si="12"/>
        <v>35989.14</v>
      </c>
      <c r="L103" s="90"/>
    </row>
    <row r="104" spans="1:12" s="88" customFormat="1" ht="42.75" customHeight="1" x14ac:dyDescent="0.5">
      <c r="A104" s="63" t="s">
        <v>405</v>
      </c>
      <c r="B104" s="72">
        <f>'Comp YTD 2018-2017 Oct'!B112</f>
        <v>24206.230000000003</v>
      </c>
      <c r="C104" s="72">
        <v>0</v>
      </c>
      <c r="D104" s="72">
        <v>0</v>
      </c>
      <c r="E104" s="72">
        <v>0</v>
      </c>
      <c r="F104" s="72">
        <v>0</v>
      </c>
      <c r="G104" s="72">
        <v>0</v>
      </c>
      <c r="H104" s="72">
        <v>0</v>
      </c>
      <c r="I104" s="72">
        <f t="shared" si="12"/>
        <v>24206.230000000003</v>
      </c>
      <c r="L104" s="90"/>
    </row>
    <row r="105" spans="1:12" s="88" customFormat="1" ht="42.75" customHeight="1" x14ac:dyDescent="0.5">
      <c r="A105" s="63" t="s">
        <v>452</v>
      </c>
      <c r="B105" s="72">
        <f>'Comp YTD 2018-2017 Oct'!B113</f>
        <v>3098.28</v>
      </c>
      <c r="C105" s="72">
        <v>0</v>
      </c>
      <c r="D105" s="72">
        <v>0</v>
      </c>
      <c r="E105" s="72">
        <v>0</v>
      </c>
      <c r="F105" s="72">
        <v>0</v>
      </c>
      <c r="G105" s="72">
        <v>0</v>
      </c>
      <c r="H105" s="72">
        <v>0</v>
      </c>
      <c r="I105" s="72">
        <f t="shared" si="12"/>
        <v>3098.28</v>
      </c>
      <c r="L105" s="90"/>
    </row>
    <row r="106" spans="1:12" s="88" customFormat="1" ht="42.75" customHeight="1" x14ac:dyDescent="0.5">
      <c r="A106" s="70" t="s">
        <v>466</v>
      </c>
      <c r="B106" s="76">
        <f t="shared" ref="B106:I106" si="13">SUM(B93:B105)</f>
        <v>509788.52</v>
      </c>
      <c r="C106" s="76">
        <f t="shared" si="13"/>
        <v>-41339.490000000005</v>
      </c>
      <c r="D106" s="76">
        <f t="shared" si="13"/>
        <v>152991.04999999999</v>
      </c>
      <c r="E106" s="76">
        <f t="shared" si="13"/>
        <v>38876.559999999998</v>
      </c>
      <c r="F106" s="76">
        <f t="shared" si="13"/>
        <v>-40783.15</v>
      </c>
      <c r="G106" s="76">
        <f t="shared" si="13"/>
        <v>254639.63</v>
      </c>
      <c r="H106" s="76">
        <f t="shared" si="13"/>
        <v>174861.11</v>
      </c>
      <c r="I106" s="76">
        <f t="shared" si="13"/>
        <v>1049034.2299999997</v>
      </c>
      <c r="L106" s="90"/>
    </row>
    <row r="107" spans="1:12" s="88" customFormat="1" ht="42.75" customHeight="1" x14ac:dyDescent="0.5">
      <c r="A107" s="70"/>
      <c r="B107" s="72"/>
      <c r="C107" s="72"/>
      <c r="D107" s="72"/>
      <c r="E107" s="72"/>
      <c r="F107" s="72"/>
      <c r="G107" s="72"/>
      <c r="H107" s="72"/>
      <c r="I107" s="72">
        <f>SUM(B107:F107)</f>
        <v>0</v>
      </c>
      <c r="L107" s="90"/>
    </row>
    <row r="108" spans="1:12" s="88" customFormat="1" ht="42.75" customHeight="1" thickBot="1" x14ac:dyDescent="0.55000000000000004">
      <c r="A108" s="70" t="s">
        <v>267</v>
      </c>
      <c r="B108" s="86">
        <f t="shared" ref="B108:H108" si="14">B27-B90+B106</f>
        <v>38273.270000152756</v>
      </c>
      <c r="C108" s="86">
        <f t="shared" si="14"/>
        <v>190860.8400000066</v>
      </c>
      <c r="D108" s="86">
        <f t="shared" si="14"/>
        <v>756450.63000000012</v>
      </c>
      <c r="E108" s="86">
        <f t="shared" si="14"/>
        <v>19931.369999999995</v>
      </c>
      <c r="F108" s="86">
        <f t="shared" si="14"/>
        <v>-94654.929999999906</v>
      </c>
      <c r="G108" s="86">
        <f t="shared" si="14"/>
        <v>158691.93</v>
      </c>
      <c r="H108" s="86">
        <f t="shared" si="14"/>
        <v>23863.690000000002</v>
      </c>
      <c r="I108" s="86">
        <f>SUM(B108:H108)</f>
        <v>1093416.8000001595</v>
      </c>
      <c r="L108" s="90"/>
    </row>
    <row r="109" spans="1:12" ht="15.75" thickTop="1" x14ac:dyDescent="0.25">
      <c r="B109" s="59"/>
      <c r="C109" s="59"/>
      <c r="D109" s="59"/>
      <c r="E109" s="59"/>
      <c r="F109" s="59"/>
      <c r="G109" s="59"/>
      <c r="H109" s="59"/>
      <c r="I109" s="59"/>
    </row>
    <row r="111" spans="1:12" ht="31.5" x14ac:dyDescent="0.5">
      <c r="A111" t="s">
        <v>332</v>
      </c>
      <c r="B111" s="72">
        <f>CNT!N280</f>
        <v>38273.269999525859</v>
      </c>
      <c r="C111" s="72">
        <v>190860.85</v>
      </c>
      <c r="D111" s="72">
        <v>756450.64</v>
      </c>
      <c r="E111" s="72">
        <v>19931.37</v>
      </c>
      <c r="F111" s="72">
        <v>-94654.93</v>
      </c>
      <c r="G111" s="72">
        <v>158691.93</v>
      </c>
      <c r="H111" s="72">
        <v>23863.69</v>
      </c>
      <c r="I111" s="57">
        <f>SUM(B111:H111)</f>
        <v>1093416.8199995258</v>
      </c>
    </row>
    <row r="112" spans="1:12" x14ac:dyDescent="0.25">
      <c r="B112" s="57">
        <f t="shared" ref="B112:I112" si="15">B108-B111</f>
        <v>6.2689650803804398E-7</v>
      </c>
      <c r="C112" s="57">
        <f t="shared" si="15"/>
        <v>-9.9999934027437121E-3</v>
      </c>
      <c r="D112" s="57">
        <f t="shared" si="15"/>
        <v>-9.9999998928979039E-3</v>
      </c>
      <c r="E112" s="57">
        <f t="shared" si="15"/>
        <v>0</v>
      </c>
      <c r="F112" s="57">
        <f t="shared" si="15"/>
        <v>0</v>
      </c>
      <c r="G112" s="57">
        <f t="shared" si="15"/>
        <v>0</v>
      </c>
      <c r="H112" s="57">
        <f t="shared" si="15"/>
        <v>0</v>
      </c>
      <c r="I112" s="57">
        <f t="shared" si="15"/>
        <v>-1.9999366253614426E-2</v>
      </c>
    </row>
    <row r="113" spans="2:9" x14ac:dyDescent="0.25">
      <c r="B113" s="57"/>
      <c r="C113" s="57"/>
      <c r="D113" s="57"/>
      <c r="E113" s="57"/>
      <c r="I113" s="59"/>
    </row>
    <row r="114" spans="2:9" x14ac:dyDescent="0.25">
      <c r="B114" s="57"/>
      <c r="C114" s="57"/>
      <c r="D114" s="57"/>
      <c r="E114" s="57"/>
    </row>
    <row r="115" spans="2:9" x14ac:dyDescent="0.25">
      <c r="B115" s="57"/>
      <c r="C115" s="57"/>
      <c r="D115" s="57"/>
      <c r="E115" s="57"/>
    </row>
    <row r="116" spans="2:9" x14ac:dyDescent="0.25">
      <c r="B116" s="57"/>
      <c r="C116" s="57"/>
      <c r="D116" s="57"/>
      <c r="E116" s="57"/>
    </row>
    <row r="117" spans="2:9" x14ac:dyDescent="0.25">
      <c r="B117" s="57"/>
      <c r="C117" s="57"/>
      <c r="D117" s="57"/>
      <c r="E117" s="57"/>
    </row>
    <row r="118" spans="2:9" x14ac:dyDescent="0.25">
      <c r="B118" s="57"/>
      <c r="C118" s="57"/>
      <c r="D118" s="57"/>
      <c r="E118" s="57"/>
    </row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27" orientation="portrait" r:id="rId1"/>
  <headerFooter>
    <oddFooter>&amp;C&amp;24Page &amp;P of &amp;N</oddFooter>
  </headerFooter>
  <rowBreaks count="2" manualBreakCount="2">
    <brk id="28" max="6" man="1"/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AF47"/>
  <sheetViews>
    <sheetView tabSelected="1" view="pageBreakPreview" zoomScale="60" zoomScaleNormal="50" workbookViewId="0">
      <pane ySplit="18" topLeftCell="A25" activePane="bottomLeft" state="frozen"/>
      <selection activeCell="C20" sqref="C20"/>
      <selection pane="bottomLeft" activeCell="F17" sqref="F17"/>
    </sheetView>
  </sheetViews>
  <sheetFormatPr defaultRowHeight="15" x14ac:dyDescent="0.25"/>
  <cols>
    <col min="1" max="1" width="82.42578125" bestFit="1" customWidth="1"/>
    <col min="2" max="2" width="39.42578125" style="55" bestFit="1" customWidth="1"/>
    <col min="3" max="3" width="33.28515625" style="55" bestFit="1" customWidth="1"/>
    <col min="4" max="4" width="29.5703125" style="55" bestFit="1" customWidth="1"/>
    <col min="5" max="5" width="24.42578125" style="55" bestFit="1" customWidth="1"/>
    <col min="6" max="6" width="27.5703125" style="55" bestFit="1" customWidth="1"/>
    <col min="7" max="8" width="26.140625" style="55" bestFit="1" customWidth="1"/>
    <col min="9" max="9" width="38.140625" style="55" bestFit="1" customWidth="1"/>
    <col min="10" max="10" width="11.42578125" style="55" customWidth="1"/>
    <col min="11" max="11" width="82.42578125" style="55" bestFit="1" customWidth="1"/>
    <col min="12" max="12" width="38.140625" style="55" bestFit="1" customWidth="1"/>
    <col min="13" max="13" width="33.28515625" style="55" bestFit="1" customWidth="1"/>
    <col min="14" max="14" width="29.5703125" style="55" bestFit="1" customWidth="1"/>
    <col min="15" max="15" width="24.7109375" style="55" customWidth="1"/>
    <col min="16" max="18" width="27" style="55" bestFit="1" customWidth="1"/>
    <col min="19" max="19" width="38.140625" style="55" bestFit="1" customWidth="1"/>
    <col min="20" max="20" width="11.28515625" style="55" customWidth="1"/>
    <col min="21" max="21" width="68" style="55" bestFit="1" customWidth="1"/>
    <col min="22" max="22" width="11.42578125" customWidth="1"/>
    <col min="23" max="23" width="39.42578125" bestFit="1" customWidth="1"/>
    <col min="24" max="24" width="11.42578125" customWidth="1"/>
    <col min="25" max="25" width="39.42578125" bestFit="1" customWidth="1"/>
    <col min="26" max="26" width="11.42578125" customWidth="1"/>
    <col min="27" max="27" width="39.42578125" style="48" bestFit="1" customWidth="1"/>
    <col min="28" max="28" width="4.28515625" style="48" customWidth="1"/>
    <col min="29" max="29" width="21.140625" style="49" bestFit="1" customWidth="1"/>
    <col min="30" max="30" width="4.28515625" style="48" customWidth="1"/>
    <col min="31" max="31" width="23" style="49" bestFit="1" customWidth="1"/>
  </cols>
  <sheetData>
    <row r="1" spans="1:31" ht="24.95" customHeight="1" x14ac:dyDescent="0.25">
      <c r="A1" s="185" t="s">
        <v>414</v>
      </c>
      <c r="B1" s="185"/>
      <c r="C1" s="185"/>
      <c r="D1" s="185"/>
      <c r="E1" s="185"/>
      <c r="F1" s="185"/>
      <c r="G1" s="185"/>
      <c r="H1" s="185"/>
      <c r="I1" s="185"/>
    </row>
    <row r="2" spans="1:31" ht="24.95" customHeight="1" x14ac:dyDescent="0.25">
      <c r="A2" s="185"/>
      <c r="B2" s="185"/>
      <c r="C2" s="185"/>
      <c r="D2" s="185"/>
      <c r="E2" s="185"/>
      <c r="F2" s="185"/>
      <c r="G2" s="185"/>
      <c r="H2" s="185"/>
      <c r="I2" s="185"/>
    </row>
    <row r="3" spans="1:31" ht="24.95" customHeight="1" x14ac:dyDescent="0.25">
      <c r="A3" s="185"/>
      <c r="B3" s="185"/>
      <c r="C3" s="185"/>
      <c r="D3" s="185"/>
      <c r="E3" s="185"/>
      <c r="F3" s="185"/>
      <c r="G3" s="185"/>
      <c r="H3" s="185"/>
      <c r="I3" s="185"/>
    </row>
    <row r="4" spans="1:31" ht="24.95" customHeight="1" x14ac:dyDescent="0.25">
      <c r="A4" s="185"/>
      <c r="B4" s="185"/>
      <c r="C4" s="185"/>
      <c r="D4" s="185"/>
      <c r="E4" s="185"/>
      <c r="F4" s="185"/>
      <c r="G4" s="185"/>
      <c r="H4" s="185"/>
      <c r="I4" s="185"/>
    </row>
    <row r="5" spans="1:31" x14ac:dyDescent="0.25">
      <c r="A5" s="185"/>
      <c r="B5" s="185"/>
      <c r="C5" s="185"/>
      <c r="D5" s="185"/>
      <c r="E5" s="185"/>
      <c r="F5" s="185"/>
      <c r="G5" s="185"/>
      <c r="H5" s="185"/>
      <c r="I5" s="185"/>
    </row>
    <row r="6" spans="1:31" ht="40.5" customHeight="1" x14ac:dyDescent="0.7">
      <c r="A6" s="186" t="s">
        <v>348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</row>
    <row r="7" spans="1:31" ht="40.5" customHeight="1" x14ac:dyDescent="0.7">
      <c r="A7" s="186" t="s">
        <v>485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</row>
    <row r="8" spans="1:31" ht="14.25" customHeight="1" thickBot="1" x14ac:dyDescent="0.3"/>
    <row r="9" spans="1:31" s="54" customFormat="1" ht="55.5" customHeight="1" x14ac:dyDescent="0.7">
      <c r="A9" s="187">
        <v>2018</v>
      </c>
      <c r="B9" s="188"/>
      <c r="C9" s="188"/>
      <c r="D9" s="188"/>
      <c r="E9" s="188"/>
      <c r="F9" s="188"/>
      <c r="G9" s="188"/>
      <c r="H9" s="188"/>
      <c r="I9" s="189"/>
      <c r="J9" s="56"/>
      <c r="K9" s="187">
        <v>2017</v>
      </c>
      <c r="L9" s="188"/>
      <c r="M9" s="188"/>
      <c r="N9" s="188"/>
      <c r="O9" s="188"/>
      <c r="P9" s="188"/>
      <c r="Q9" s="188"/>
      <c r="R9" s="188"/>
      <c r="S9" s="189"/>
      <c r="T9" s="98"/>
      <c r="U9" s="190" t="s">
        <v>407</v>
      </c>
      <c r="V9" s="191"/>
      <c r="W9" s="191"/>
      <c r="X9" s="191"/>
      <c r="Y9" s="191"/>
      <c r="Z9" s="191"/>
      <c r="AA9" s="191"/>
      <c r="AB9" s="191"/>
      <c r="AC9" s="191"/>
      <c r="AD9" s="191"/>
      <c r="AE9" s="192"/>
    </row>
    <row r="10" spans="1:31" s="54" customFormat="1" ht="30" customHeight="1" x14ac:dyDescent="0.5">
      <c r="A10" s="179" t="s">
        <v>408</v>
      </c>
      <c r="B10" s="180"/>
      <c r="C10" s="180"/>
      <c r="D10" s="180"/>
      <c r="E10" s="180"/>
      <c r="F10" s="180"/>
      <c r="G10" s="180"/>
      <c r="H10" s="180"/>
      <c r="I10" s="181"/>
      <c r="J10" s="56"/>
      <c r="K10" s="179" t="s">
        <v>408</v>
      </c>
      <c r="L10" s="180"/>
      <c r="M10" s="180"/>
      <c r="N10" s="180"/>
      <c r="O10" s="180"/>
      <c r="P10" s="180"/>
      <c r="Q10" s="180"/>
      <c r="R10" s="180"/>
      <c r="S10" s="181"/>
      <c r="T10" s="97"/>
      <c r="U10" s="193"/>
      <c r="V10" s="194"/>
      <c r="W10" s="194"/>
      <c r="X10" s="194"/>
      <c r="Y10" s="194"/>
      <c r="Z10" s="194"/>
      <c r="AA10" s="194"/>
      <c r="AB10" s="194"/>
      <c r="AC10" s="194"/>
      <c r="AD10" s="194"/>
      <c r="AE10" s="195"/>
    </row>
    <row r="11" spans="1:31" s="54" customFormat="1" ht="30" customHeight="1" x14ac:dyDescent="0.5">
      <c r="A11" s="179" t="s">
        <v>347</v>
      </c>
      <c r="B11" s="180"/>
      <c r="C11" s="180"/>
      <c r="D11" s="180"/>
      <c r="E11" s="180"/>
      <c r="F11" s="180"/>
      <c r="G11" s="180"/>
      <c r="H11" s="180"/>
      <c r="I11" s="181"/>
      <c r="J11" s="56"/>
      <c r="K11" s="179" t="s">
        <v>347</v>
      </c>
      <c r="L11" s="180"/>
      <c r="M11" s="180"/>
      <c r="N11" s="180"/>
      <c r="O11" s="180"/>
      <c r="P11" s="180"/>
      <c r="Q11" s="180"/>
      <c r="R11" s="180"/>
      <c r="S11" s="181"/>
      <c r="T11" s="97"/>
      <c r="U11" s="193"/>
      <c r="V11" s="194"/>
      <c r="W11" s="194"/>
      <c r="X11" s="194"/>
      <c r="Y11" s="194"/>
      <c r="Z11" s="194"/>
      <c r="AA11" s="194"/>
      <c r="AB11" s="194"/>
      <c r="AC11" s="194"/>
      <c r="AD11" s="194"/>
      <c r="AE11" s="195"/>
    </row>
    <row r="12" spans="1:31" s="54" customFormat="1" ht="30" customHeight="1" thickBot="1" x14ac:dyDescent="0.55000000000000004">
      <c r="A12" s="182">
        <v>43404</v>
      </c>
      <c r="B12" s="183"/>
      <c r="C12" s="183"/>
      <c r="D12" s="183"/>
      <c r="E12" s="183"/>
      <c r="F12" s="183"/>
      <c r="G12" s="183"/>
      <c r="H12" s="183"/>
      <c r="I12" s="184"/>
      <c r="J12" s="56"/>
      <c r="K12" s="182">
        <v>43039</v>
      </c>
      <c r="L12" s="183"/>
      <c r="M12" s="183"/>
      <c r="N12" s="183"/>
      <c r="O12" s="183"/>
      <c r="P12" s="183"/>
      <c r="Q12" s="183"/>
      <c r="R12" s="183"/>
      <c r="S12" s="184"/>
      <c r="T12" s="97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8"/>
    </row>
    <row r="13" spans="1:31" s="63" customFormat="1" ht="24.75" customHeight="1" x14ac:dyDescent="0.5">
      <c r="A13" s="60"/>
      <c r="B13" s="61"/>
      <c r="C13" s="61"/>
      <c r="D13" s="61"/>
      <c r="E13" s="61"/>
      <c r="F13" s="61"/>
      <c r="G13" s="61"/>
      <c r="H13" s="61"/>
      <c r="I13" s="61"/>
      <c r="J13" s="62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W13" s="64"/>
      <c r="Y13" s="64"/>
      <c r="AA13" s="64"/>
      <c r="AB13" s="64"/>
      <c r="AC13" s="64"/>
      <c r="AD13" s="64"/>
      <c r="AE13" s="64"/>
    </row>
    <row r="14" spans="1:31" s="63" customFormat="1" ht="24.75" customHeight="1" x14ac:dyDescent="0.5">
      <c r="B14" s="62"/>
      <c r="C14" s="62"/>
      <c r="D14" s="62"/>
      <c r="E14" s="62"/>
      <c r="F14" s="62"/>
      <c r="G14" s="62"/>
      <c r="H14" s="62"/>
      <c r="I14" s="62"/>
      <c r="J14" s="6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0"/>
      <c r="W14" s="66"/>
      <c r="X14" s="60"/>
      <c r="Y14" s="66"/>
      <c r="Z14" s="60"/>
      <c r="AA14" s="66"/>
      <c r="AB14" s="66"/>
      <c r="AC14" s="67"/>
      <c r="AD14" s="66"/>
      <c r="AE14" s="67"/>
    </row>
    <row r="15" spans="1:31" s="63" customFormat="1" ht="24.75" customHeight="1" x14ac:dyDescent="0.5">
      <c r="B15" s="62"/>
      <c r="C15" s="62"/>
      <c r="D15" s="62"/>
      <c r="E15" s="62"/>
      <c r="F15" s="62"/>
      <c r="G15" s="62"/>
      <c r="H15" s="62"/>
      <c r="I15" s="62"/>
      <c r="J15" s="61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0"/>
      <c r="W15" s="66"/>
      <c r="X15" s="60"/>
      <c r="Y15" s="66"/>
      <c r="Z15" s="60"/>
      <c r="AA15" s="66"/>
      <c r="AB15" s="66"/>
      <c r="AC15" s="60" t="s">
        <v>341</v>
      </c>
      <c r="AD15" s="66"/>
      <c r="AE15" s="67"/>
    </row>
    <row r="16" spans="1:31" s="63" customFormat="1" ht="24.75" customHeight="1" x14ac:dyDescent="0.5">
      <c r="B16" s="62"/>
      <c r="C16" s="62"/>
      <c r="D16" s="62"/>
      <c r="E16" s="62"/>
      <c r="F16" s="62"/>
      <c r="G16" s="62"/>
      <c r="H16" s="62"/>
      <c r="I16" s="62"/>
      <c r="J16" s="61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0"/>
      <c r="W16" s="60"/>
      <c r="X16" s="60"/>
      <c r="Y16" s="60"/>
      <c r="Z16" s="60"/>
      <c r="AA16" s="60" t="s">
        <v>341</v>
      </c>
      <c r="AB16" s="97"/>
      <c r="AC16" s="67" t="s">
        <v>344</v>
      </c>
      <c r="AD16" s="60"/>
      <c r="AE16" s="60" t="s">
        <v>343</v>
      </c>
    </row>
    <row r="17" spans="1:31" s="63" customFormat="1" ht="24.75" customHeight="1" x14ac:dyDescent="0.5">
      <c r="B17" s="62"/>
      <c r="C17" s="62"/>
      <c r="D17" s="62"/>
      <c r="E17" s="62"/>
      <c r="F17" s="62"/>
      <c r="G17" s="62"/>
      <c r="H17" s="62"/>
      <c r="I17" s="61" t="s">
        <v>207</v>
      </c>
      <c r="J17" s="61"/>
      <c r="K17" s="62"/>
      <c r="L17" s="62"/>
      <c r="M17" s="62"/>
      <c r="N17" s="62"/>
      <c r="O17" s="62"/>
      <c r="P17" s="62"/>
      <c r="Q17" s="62"/>
      <c r="R17" s="62"/>
      <c r="S17" s="61" t="s">
        <v>207</v>
      </c>
      <c r="T17" s="61"/>
      <c r="U17" s="62"/>
      <c r="V17" s="60"/>
      <c r="W17" s="60">
        <v>2018</v>
      </c>
      <c r="X17" s="60"/>
      <c r="Y17" s="60">
        <v>2017</v>
      </c>
      <c r="Z17" s="60"/>
      <c r="AA17" s="60" t="s">
        <v>342</v>
      </c>
      <c r="AB17" s="97"/>
      <c r="AC17" s="60" t="s">
        <v>342</v>
      </c>
      <c r="AD17" s="60"/>
      <c r="AE17" s="60" t="s">
        <v>345</v>
      </c>
    </row>
    <row r="18" spans="1:31" s="63" customFormat="1" ht="24.75" customHeight="1" x14ac:dyDescent="0.5">
      <c r="B18" s="68" t="s">
        <v>212</v>
      </c>
      <c r="C18" s="68" t="s">
        <v>214</v>
      </c>
      <c r="D18" s="68" t="s">
        <v>213</v>
      </c>
      <c r="E18" s="68" t="s">
        <v>215</v>
      </c>
      <c r="F18" s="68" t="s">
        <v>216</v>
      </c>
      <c r="G18" s="68" t="s">
        <v>409</v>
      </c>
      <c r="H18" s="68" t="s">
        <v>421</v>
      </c>
      <c r="I18" s="68">
        <v>2018</v>
      </c>
      <c r="J18" s="69"/>
      <c r="K18" s="62"/>
      <c r="L18" s="68" t="s">
        <v>212</v>
      </c>
      <c r="M18" s="68" t="s">
        <v>214</v>
      </c>
      <c r="N18" s="68" t="s">
        <v>213</v>
      </c>
      <c r="O18" s="68" t="s">
        <v>215</v>
      </c>
      <c r="P18" s="68" t="s">
        <v>216</v>
      </c>
      <c r="Q18" s="68" t="s">
        <v>409</v>
      </c>
      <c r="R18" s="68" t="s">
        <v>421</v>
      </c>
      <c r="S18" s="68">
        <v>2017</v>
      </c>
      <c r="T18" s="69"/>
      <c r="U18" s="62"/>
      <c r="V18" s="69"/>
      <c r="W18" s="96"/>
      <c r="X18" s="69"/>
      <c r="Y18" s="96"/>
      <c r="Z18" s="69"/>
      <c r="AA18" s="96" t="s">
        <v>339</v>
      </c>
      <c r="AB18" s="97"/>
      <c r="AC18" s="96" t="s">
        <v>340</v>
      </c>
      <c r="AD18" s="96"/>
      <c r="AE18" s="96" t="s">
        <v>340</v>
      </c>
    </row>
    <row r="19" spans="1:31" s="63" customFormat="1" ht="30" customHeight="1" x14ac:dyDescent="0.5">
      <c r="A19" s="70" t="s">
        <v>62</v>
      </c>
      <c r="B19" s="62"/>
      <c r="C19" s="62"/>
      <c r="D19" s="62"/>
      <c r="E19" s="62"/>
      <c r="F19" s="62"/>
      <c r="G19" s="62"/>
      <c r="H19" s="62"/>
      <c r="I19" s="62"/>
      <c r="J19" s="62"/>
      <c r="K19" s="71" t="s">
        <v>62</v>
      </c>
      <c r="L19" s="62"/>
      <c r="M19" s="62"/>
      <c r="N19" s="62"/>
      <c r="O19" s="62"/>
      <c r="P19" s="62"/>
      <c r="Q19" s="62"/>
      <c r="R19" s="62"/>
      <c r="S19" s="62"/>
      <c r="T19" s="62"/>
      <c r="U19" s="71" t="s">
        <v>62</v>
      </c>
      <c r="AB19" s="101"/>
      <c r="AC19" s="67"/>
      <c r="AE19" s="67"/>
    </row>
    <row r="20" spans="1:31" s="63" customFormat="1" ht="30" customHeight="1" x14ac:dyDescent="0.5">
      <c r="A20" s="63" t="s">
        <v>412</v>
      </c>
      <c r="B20" s="72">
        <f>'Comp YTD 2018-2017 Oct'!B23</f>
        <v>4267409148.0599999</v>
      </c>
      <c r="C20" s="72">
        <f>'Comp YTD 2018-2017 Oct'!C23</f>
        <v>71969030.719999999</v>
      </c>
      <c r="D20" s="72">
        <f>'Comp YTD 2018-2017 Oct'!D23</f>
        <v>2882989.85</v>
      </c>
      <c r="E20" s="72">
        <f>'Comp YTD 2018-2017 Oct'!E23</f>
        <v>0</v>
      </c>
      <c r="F20" s="72">
        <f>'Comp YTD 2018-2017 Oct'!F23</f>
        <v>562651.29</v>
      </c>
      <c r="G20" s="72">
        <f>'Comp YTD 2018-2017 Oct'!G23</f>
        <v>0</v>
      </c>
      <c r="H20" s="72">
        <f>'Comp YTD 2018-2017 Oct'!H23</f>
        <v>0</v>
      </c>
      <c r="I20" s="72">
        <f>SUM(B20:H20)</f>
        <v>4342823819.9200001</v>
      </c>
      <c r="J20" s="73"/>
      <c r="K20" s="63" t="s">
        <v>412</v>
      </c>
      <c r="L20" s="72">
        <f>'Comp YTD 2018-2017 Oct'!M23</f>
        <v>2897362145</v>
      </c>
      <c r="M20" s="72">
        <f>'Comp YTD 2018-2017 Oct'!N23</f>
        <v>40613191.819999993</v>
      </c>
      <c r="N20" s="72">
        <f>'Comp YTD 2018-2017 Oct'!O23</f>
        <v>1848547.18</v>
      </c>
      <c r="O20" s="72">
        <f>'Comp YTD 2018-2017 Oct'!P23</f>
        <v>0</v>
      </c>
      <c r="P20" s="72">
        <f>'Comp YTD 2018-2017 Oct'!Q23</f>
        <v>612729.24</v>
      </c>
      <c r="Q20" s="72">
        <f>'Comp YTD 2018-2017 Oct'!R23</f>
        <v>0</v>
      </c>
      <c r="R20" s="72">
        <f>'Comp YTD 2018-2017 Oct'!S23</f>
        <v>0</v>
      </c>
      <c r="S20" s="72">
        <f t="shared" ref="S20:S27" si="0">SUM(L20:R20)</f>
        <v>2940436613.2399998</v>
      </c>
      <c r="T20" s="72"/>
      <c r="U20" s="63" t="s">
        <v>412</v>
      </c>
      <c r="V20" s="74"/>
      <c r="W20" s="75">
        <f>I20</f>
        <v>4342823819.9200001</v>
      </c>
      <c r="X20" s="74"/>
      <c r="Y20" s="75">
        <f t="shared" ref="Y20:Y27" si="1">S20</f>
        <v>2940436613.2399998</v>
      </c>
      <c r="Z20" s="74"/>
      <c r="AA20" s="75">
        <f>I20-S20</f>
        <v>1402387206.6800003</v>
      </c>
      <c r="AB20" s="102"/>
      <c r="AC20" s="74">
        <f>I20/S20</f>
        <v>1.4769316231356342</v>
      </c>
      <c r="AD20" s="75"/>
      <c r="AE20" s="74">
        <f>AC20-1</f>
        <v>0.4769316231356342</v>
      </c>
    </row>
    <row r="21" spans="1:31" s="63" customFormat="1" ht="30" customHeight="1" x14ac:dyDescent="0.5">
      <c r="A21" s="70" t="s">
        <v>223</v>
      </c>
      <c r="B21" s="76">
        <f t="shared" ref="B21:H21" si="2">SUM(B20:B20)</f>
        <v>4267409148.0599999</v>
      </c>
      <c r="C21" s="76">
        <f t="shared" si="2"/>
        <v>71969030.719999999</v>
      </c>
      <c r="D21" s="76">
        <f t="shared" si="2"/>
        <v>2882989.85</v>
      </c>
      <c r="E21" s="76">
        <f t="shared" si="2"/>
        <v>0</v>
      </c>
      <c r="F21" s="76">
        <f t="shared" si="2"/>
        <v>562651.29</v>
      </c>
      <c r="G21" s="76">
        <f t="shared" si="2"/>
        <v>0</v>
      </c>
      <c r="H21" s="76">
        <f t="shared" si="2"/>
        <v>0</v>
      </c>
      <c r="I21" s="76">
        <f>SUM(B21:H21)</f>
        <v>4342823819.9200001</v>
      </c>
      <c r="J21" s="77"/>
      <c r="K21" s="71" t="s">
        <v>223</v>
      </c>
      <c r="L21" s="76">
        <f>SUM(L20:L20)</f>
        <v>2897362145</v>
      </c>
      <c r="M21" s="76">
        <f t="shared" ref="M21:R21" si="3">SUM(M20:M20)</f>
        <v>40613191.819999993</v>
      </c>
      <c r="N21" s="76">
        <f t="shared" si="3"/>
        <v>1848547.18</v>
      </c>
      <c r="O21" s="76">
        <f t="shared" si="3"/>
        <v>0</v>
      </c>
      <c r="P21" s="76">
        <f t="shared" si="3"/>
        <v>612729.24</v>
      </c>
      <c r="Q21" s="76">
        <f>SUM(Q20:Q20)</f>
        <v>0</v>
      </c>
      <c r="R21" s="76">
        <f t="shared" si="3"/>
        <v>0</v>
      </c>
      <c r="S21" s="76">
        <f t="shared" si="0"/>
        <v>2940436613.2399998</v>
      </c>
      <c r="T21" s="99"/>
      <c r="U21" s="71" t="s">
        <v>223</v>
      </c>
      <c r="V21" s="79"/>
      <c r="W21" s="80">
        <f>I21</f>
        <v>4342823819.9200001</v>
      </c>
      <c r="X21" s="79"/>
      <c r="Y21" s="80">
        <f t="shared" si="1"/>
        <v>2940436613.2399998</v>
      </c>
      <c r="Z21" s="79"/>
      <c r="AA21" s="80">
        <f>I21-S21</f>
        <v>1402387206.6800003</v>
      </c>
      <c r="AB21" s="102"/>
      <c r="AC21" s="78">
        <f>I21/S21</f>
        <v>1.4769316231356342</v>
      </c>
      <c r="AD21" s="80"/>
      <c r="AE21" s="78">
        <f t="shared" ref="AE21:AE27" si="4">AC21-1</f>
        <v>0.4769316231356342</v>
      </c>
    </row>
    <row r="22" spans="1:31" s="63" customFormat="1" ht="30" customHeight="1" x14ac:dyDescent="0.5">
      <c r="B22" s="72"/>
      <c r="C22" s="72"/>
      <c r="D22" s="72"/>
      <c r="E22" s="72"/>
      <c r="F22" s="72"/>
      <c r="G22" s="72"/>
      <c r="H22" s="72"/>
      <c r="I22" s="72">
        <f>SUM(B22:H22)</f>
        <v>0</v>
      </c>
      <c r="J22" s="62"/>
      <c r="K22" s="62"/>
      <c r="L22" s="72"/>
      <c r="M22" s="72"/>
      <c r="N22" s="72"/>
      <c r="O22" s="72"/>
      <c r="P22" s="72"/>
      <c r="Q22" s="72"/>
      <c r="R22" s="72"/>
      <c r="S22" s="72">
        <f t="shared" si="0"/>
        <v>0</v>
      </c>
      <c r="T22" s="72"/>
      <c r="U22" s="62"/>
      <c r="W22" s="75"/>
      <c r="Y22" s="75">
        <f t="shared" si="1"/>
        <v>0</v>
      </c>
      <c r="AA22" s="75"/>
      <c r="AB22" s="102"/>
      <c r="AC22" s="81"/>
      <c r="AD22" s="75"/>
      <c r="AE22" s="81"/>
    </row>
    <row r="23" spans="1:31" s="63" customFormat="1" ht="30" customHeight="1" x14ac:dyDescent="0.5">
      <c r="A23" s="70" t="s">
        <v>208</v>
      </c>
      <c r="B23" s="72"/>
      <c r="C23" s="72"/>
      <c r="D23" s="72"/>
      <c r="E23" s="72"/>
      <c r="F23" s="72"/>
      <c r="G23" s="72"/>
      <c r="H23" s="72"/>
      <c r="I23" s="72">
        <f>SUM(B23:H23)</f>
        <v>0</v>
      </c>
      <c r="J23" s="62"/>
      <c r="K23" s="71" t="s">
        <v>208</v>
      </c>
      <c r="L23" s="72"/>
      <c r="M23" s="72"/>
      <c r="N23" s="72"/>
      <c r="O23" s="72"/>
      <c r="P23" s="72"/>
      <c r="Q23" s="72"/>
      <c r="R23" s="72"/>
      <c r="S23" s="72">
        <f t="shared" si="0"/>
        <v>0</v>
      </c>
      <c r="T23" s="72"/>
      <c r="U23" s="71" t="s">
        <v>208</v>
      </c>
      <c r="W23" s="75"/>
      <c r="Y23" s="75">
        <f t="shared" si="1"/>
        <v>0</v>
      </c>
      <c r="AA23" s="75"/>
      <c r="AB23" s="102"/>
      <c r="AC23" s="81"/>
      <c r="AD23" s="75"/>
      <c r="AE23" s="81"/>
    </row>
    <row r="24" spans="1:31" s="63" customFormat="1" ht="30" customHeight="1" x14ac:dyDescent="0.5">
      <c r="A24" s="63" t="s">
        <v>413</v>
      </c>
      <c r="B24" s="72">
        <f>'Comp YTD 2018-2017 Oct'!B33</f>
        <v>4262326422.7199998</v>
      </c>
      <c r="C24" s="72">
        <f>'Comp YTD 2018-2017 Oct'!C33</f>
        <v>70930473.179999992</v>
      </c>
      <c r="D24" s="72">
        <f>'Comp YTD 2018-2017 Oct'!D33</f>
        <v>355625.38000000006</v>
      </c>
      <c r="E24" s="72">
        <f>'Comp YTD 2018-2017 Oct'!E33</f>
        <v>0</v>
      </c>
      <c r="F24" s="72">
        <f>'Comp YTD 2018-2017 Oct'!F33</f>
        <v>1648.2199999999998</v>
      </c>
      <c r="G24" s="72">
        <f>'Comp YTD 2018-2017 Oct'!G33</f>
        <v>0</v>
      </c>
      <c r="H24" s="72">
        <f>'Comp YTD 2018-2017 Oct'!H33</f>
        <v>0</v>
      </c>
      <c r="I24" s="72">
        <f>'Comp YTD 2018-2017 Oct'!I33</f>
        <v>4333614169.5</v>
      </c>
      <c r="J24" s="73"/>
      <c r="K24" s="63" t="s">
        <v>413</v>
      </c>
      <c r="L24" s="72">
        <f>'Comp YTD 2018-2017 Oct'!M33</f>
        <v>2892574498.6799989</v>
      </c>
      <c r="M24" s="72">
        <f>'Comp YTD 2018-2017 Oct'!N33</f>
        <v>39954750.149999999</v>
      </c>
      <c r="N24" s="72">
        <f>'Comp YTD 2018-2017 Oct'!O33</f>
        <v>253892.94</v>
      </c>
      <c r="O24" s="72">
        <f>'Comp YTD 2018-2017 Oct'!P33</f>
        <v>0</v>
      </c>
      <c r="P24" s="72">
        <f>'Comp YTD 2018-2017 Oct'!Q33</f>
        <v>1066.76</v>
      </c>
      <c r="Q24" s="72">
        <f>'Comp YTD 2018-2017 Oct'!R33</f>
        <v>0</v>
      </c>
      <c r="R24" s="72">
        <f>'Comp YTD 2018-2017 Oct'!S33</f>
        <v>0</v>
      </c>
      <c r="S24" s="72">
        <f t="shared" si="0"/>
        <v>2932784208.5299993</v>
      </c>
      <c r="T24" s="72"/>
      <c r="U24" s="63" t="s">
        <v>413</v>
      </c>
      <c r="V24" s="74"/>
      <c r="W24" s="75">
        <f>I24</f>
        <v>4333614169.5</v>
      </c>
      <c r="X24" s="74"/>
      <c r="Y24" s="75">
        <f t="shared" si="1"/>
        <v>2932784208.5299993</v>
      </c>
      <c r="Z24" s="74"/>
      <c r="AA24" s="75">
        <f>I24-S24</f>
        <v>1400829960.9700007</v>
      </c>
      <c r="AB24" s="102"/>
      <c r="AC24" s="74">
        <f>I24/S24</f>
        <v>1.477645084454454</v>
      </c>
      <c r="AD24" s="75"/>
      <c r="AE24" s="74">
        <f t="shared" si="4"/>
        <v>0.47764508445445397</v>
      </c>
    </row>
    <row r="25" spans="1:31" s="63" customFormat="1" ht="30" customHeight="1" x14ac:dyDescent="0.5">
      <c r="A25" s="70" t="s">
        <v>224</v>
      </c>
      <c r="B25" s="76">
        <f t="shared" ref="B25:H25" si="5">SUM(B24:B24)</f>
        <v>4262326422.7199998</v>
      </c>
      <c r="C25" s="76">
        <f t="shared" si="5"/>
        <v>70930473.179999992</v>
      </c>
      <c r="D25" s="76">
        <f t="shared" si="5"/>
        <v>355625.38000000006</v>
      </c>
      <c r="E25" s="76">
        <f t="shared" si="5"/>
        <v>0</v>
      </c>
      <c r="F25" s="76">
        <f t="shared" si="5"/>
        <v>1648.2199999999998</v>
      </c>
      <c r="G25" s="76">
        <f t="shared" si="5"/>
        <v>0</v>
      </c>
      <c r="H25" s="76">
        <f t="shared" si="5"/>
        <v>0</v>
      </c>
      <c r="I25" s="76">
        <f t="shared" ref="I25:I31" si="6">SUM(B25:H25)</f>
        <v>4333614169.5</v>
      </c>
      <c r="J25" s="77"/>
      <c r="K25" s="71" t="s">
        <v>224</v>
      </c>
      <c r="L25" s="76">
        <f t="shared" ref="L25:R25" si="7">SUM(L24:L24)</f>
        <v>2892574498.6799989</v>
      </c>
      <c r="M25" s="76">
        <f t="shared" si="7"/>
        <v>39954750.149999999</v>
      </c>
      <c r="N25" s="76">
        <f t="shared" si="7"/>
        <v>253892.94</v>
      </c>
      <c r="O25" s="76">
        <f t="shared" si="7"/>
        <v>0</v>
      </c>
      <c r="P25" s="76">
        <f t="shared" si="7"/>
        <v>1066.76</v>
      </c>
      <c r="Q25" s="76">
        <f t="shared" si="7"/>
        <v>0</v>
      </c>
      <c r="R25" s="76">
        <f t="shared" si="7"/>
        <v>0</v>
      </c>
      <c r="S25" s="76">
        <f t="shared" si="0"/>
        <v>2932784208.5299993</v>
      </c>
      <c r="T25" s="99"/>
      <c r="U25" s="71" t="s">
        <v>224</v>
      </c>
      <c r="V25" s="79"/>
      <c r="W25" s="80">
        <f>I25</f>
        <v>4333614169.5</v>
      </c>
      <c r="X25" s="79"/>
      <c r="Y25" s="80">
        <f t="shared" si="1"/>
        <v>2932784208.5299993</v>
      </c>
      <c r="Z25" s="79"/>
      <c r="AA25" s="80">
        <f>SUM(AA24:AA24)</f>
        <v>1400829960.9700007</v>
      </c>
      <c r="AB25" s="102"/>
      <c r="AC25" s="78">
        <f>I25/S25</f>
        <v>1.477645084454454</v>
      </c>
      <c r="AD25" s="80"/>
      <c r="AE25" s="78">
        <f t="shared" si="4"/>
        <v>0.47764508445445397</v>
      </c>
    </row>
    <row r="26" spans="1:31" s="63" customFormat="1" ht="30" customHeight="1" x14ac:dyDescent="0.5">
      <c r="B26" s="72"/>
      <c r="C26" s="72"/>
      <c r="D26" s="72"/>
      <c r="E26" s="72"/>
      <c r="F26" s="72"/>
      <c r="G26" s="72"/>
      <c r="H26" s="72"/>
      <c r="I26" s="72">
        <f t="shared" si="6"/>
        <v>0</v>
      </c>
      <c r="J26" s="62"/>
      <c r="K26" s="62"/>
      <c r="L26" s="72"/>
      <c r="M26" s="72"/>
      <c r="N26" s="72"/>
      <c r="O26" s="72"/>
      <c r="P26" s="72"/>
      <c r="Q26" s="72"/>
      <c r="R26" s="72"/>
      <c r="S26" s="72">
        <f t="shared" si="0"/>
        <v>0</v>
      </c>
      <c r="T26" s="72"/>
      <c r="U26" s="62"/>
      <c r="W26" s="75">
        <f>I26</f>
        <v>0</v>
      </c>
      <c r="Y26" s="75">
        <f t="shared" si="1"/>
        <v>0</v>
      </c>
      <c r="AA26" s="75"/>
      <c r="AB26" s="102"/>
      <c r="AC26" s="74"/>
      <c r="AD26" s="75"/>
      <c r="AE26" s="74"/>
    </row>
    <row r="27" spans="1:31" s="63" customFormat="1" ht="30" customHeight="1" thickBot="1" x14ac:dyDescent="0.55000000000000004">
      <c r="A27" s="70" t="s">
        <v>211</v>
      </c>
      <c r="B27" s="82">
        <f t="shared" ref="B27:H27" si="8">B21-B25</f>
        <v>5082725.3400001526</v>
      </c>
      <c r="C27" s="82">
        <f t="shared" si="8"/>
        <v>1038557.5400000066</v>
      </c>
      <c r="D27" s="82">
        <f t="shared" si="8"/>
        <v>2527364.4700000002</v>
      </c>
      <c r="E27" s="82">
        <f t="shared" si="8"/>
        <v>0</v>
      </c>
      <c r="F27" s="82">
        <f t="shared" si="8"/>
        <v>561003.07000000007</v>
      </c>
      <c r="G27" s="82">
        <f>G21-G25</f>
        <v>0</v>
      </c>
      <c r="H27" s="82">
        <f t="shared" si="8"/>
        <v>0</v>
      </c>
      <c r="I27" s="82">
        <f t="shared" si="6"/>
        <v>9209650.4200001601</v>
      </c>
      <c r="J27" s="62"/>
      <c r="K27" s="71" t="s">
        <v>211</v>
      </c>
      <c r="L27" s="82">
        <f t="shared" ref="L27:R27" si="9">L21-L25</f>
        <v>4787646.3200011253</v>
      </c>
      <c r="M27" s="82">
        <f t="shared" si="9"/>
        <v>658441.66999999434</v>
      </c>
      <c r="N27" s="82">
        <f t="shared" si="9"/>
        <v>1594654.24</v>
      </c>
      <c r="O27" s="82">
        <f t="shared" si="9"/>
        <v>0</v>
      </c>
      <c r="P27" s="82">
        <f t="shared" si="9"/>
        <v>611662.48</v>
      </c>
      <c r="Q27" s="82">
        <f>Q21-Q25</f>
        <v>0</v>
      </c>
      <c r="R27" s="82">
        <f t="shared" si="9"/>
        <v>0</v>
      </c>
      <c r="S27" s="82">
        <f t="shared" si="0"/>
        <v>7652404.7100011203</v>
      </c>
      <c r="T27" s="99"/>
      <c r="U27" s="71" t="s">
        <v>211</v>
      </c>
      <c r="W27" s="83">
        <f>I27</f>
        <v>9209650.4200001601</v>
      </c>
      <c r="Y27" s="83">
        <f t="shared" si="1"/>
        <v>7652404.7100011203</v>
      </c>
      <c r="AA27" s="83">
        <f>I27-S27</f>
        <v>1557245.7099990398</v>
      </c>
      <c r="AB27" s="102"/>
      <c r="AC27" s="84">
        <f>I27/S27</f>
        <v>1.2034975630554192</v>
      </c>
      <c r="AD27" s="83"/>
      <c r="AE27" s="84">
        <f t="shared" si="4"/>
        <v>0.20349756305541922</v>
      </c>
    </row>
    <row r="28" spans="1:31" s="63" customFormat="1" ht="30" customHeight="1" x14ac:dyDescent="0.5">
      <c r="B28" s="72"/>
      <c r="C28" s="72"/>
      <c r="D28" s="72"/>
      <c r="E28" s="72"/>
      <c r="F28" s="72"/>
      <c r="G28" s="72"/>
      <c r="H28" s="72"/>
      <c r="I28" s="72">
        <f t="shared" si="6"/>
        <v>0</v>
      </c>
      <c r="J28" s="62"/>
      <c r="K28" s="62"/>
      <c r="L28" s="72"/>
      <c r="M28" s="72"/>
      <c r="N28" s="72"/>
      <c r="O28" s="72"/>
      <c r="P28" s="72"/>
      <c r="Q28" s="72"/>
      <c r="R28" s="72"/>
      <c r="S28" s="72"/>
      <c r="T28" s="72"/>
      <c r="U28" s="62"/>
      <c r="W28" s="75"/>
      <c r="Y28" s="75"/>
      <c r="AA28" s="75"/>
      <c r="AB28" s="102"/>
      <c r="AC28" s="81"/>
      <c r="AD28" s="75"/>
      <c r="AE28" s="81"/>
    </row>
    <row r="29" spans="1:31" s="63" customFormat="1" ht="30" customHeight="1" x14ac:dyDescent="0.5">
      <c r="A29" s="70" t="s">
        <v>209</v>
      </c>
      <c r="B29" s="72"/>
      <c r="C29" s="72"/>
      <c r="D29" s="72"/>
      <c r="E29" s="72"/>
      <c r="F29" s="72"/>
      <c r="G29" s="72"/>
      <c r="H29" s="72"/>
      <c r="I29" s="72">
        <f t="shared" si="6"/>
        <v>0</v>
      </c>
      <c r="J29" s="62"/>
      <c r="K29" s="71" t="s">
        <v>209</v>
      </c>
      <c r="L29" s="72"/>
      <c r="M29" s="72"/>
      <c r="N29" s="72"/>
      <c r="O29" s="72"/>
      <c r="P29" s="72"/>
      <c r="Q29" s="72"/>
      <c r="R29" s="72"/>
      <c r="S29" s="72"/>
      <c r="T29" s="72"/>
      <c r="U29" s="71" t="s">
        <v>209</v>
      </c>
      <c r="W29" s="75"/>
      <c r="Y29" s="75"/>
      <c r="AA29" s="75"/>
      <c r="AB29" s="102"/>
      <c r="AC29" s="81"/>
      <c r="AD29" s="75"/>
      <c r="AE29" s="81"/>
    </row>
    <row r="30" spans="1:31" s="63" customFormat="1" ht="30" customHeight="1" x14ac:dyDescent="0.5">
      <c r="A30" s="70" t="s">
        <v>225</v>
      </c>
      <c r="B30" s="72">
        <f>'Comp YTD 2018-2017 Oct'!B49</f>
        <v>2620385.2400000002</v>
      </c>
      <c r="C30" s="72">
        <f>'Comp YTD 2018-2017 Oct'!C49</f>
        <v>640532.76</v>
      </c>
      <c r="D30" s="72">
        <f>'Comp YTD 2018-2017 Oct'!D49</f>
        <v>813632.25</v>
      </c>
      <c r="E30" s="72">
        <f>'Comp YTD 2018-2017 Oct'!E49</f>
        <v>0</v>
      </c>
      <c r="F30" s="72">
        <f>'Comp YTD 2018-2017 Oct'!F49</f>
        <v>319906.22000000003</v>
      </c>
      <c r="G30" s="72">
        <f>'Comp YTD 2018-2017 Oct'!G49</f>
        <v>0</v>
      </c>
      <c r="H30" s="72">
        <f>'Comp YTD 2018-2017 Oct'!H49</f>
        <v>0</v>
      </c>
      <c r="I30" s="72">
        <f t="shared" si="6"/>
        <v>4394456.47</v>
      </c>
      <c r="J30" s="62"/>
      <c r="K30" s="71" t="s">
        <v>225</v>
      </c>
      <c r="L30" s="72">
        <f>'Comp YTD 2018-2017 Oct'!M49</f>
        <v>4087225.44</v>
      </c>
      <c r="M30" s="72">
        <f>'Comp YTD 2018-2017 Oct'!N49</f>
        <v>0</v>
      </c>
      <c r="N30" s="72">
        <f>'Comp YTD 2018-2017 Oct'!O49</f>
        <v>181665.58</v>
      </c>
      <c r="O30" s="72">
        <f>'Comp YTD 2018-2017 Oct'!P49</f>
        <v>0</v>
      </c>
      <c r="P30" s="72">
        <f>'Comp YTD 2018-2017 Oct'!Q49</f>
        <v>332498.18</v>
      </c>
      <c r="Q30" s="72">
        <f>'Comp YTD 2018-2017 Oct'!R49</f>
        <v>0</v>
      </c>
      <c r="R30" s="72">
        <f>'Comp YTD 2018-2017 Oct'!S49</f>
        <v>0</v>
      </c>
      <c r="S30" s="72">
        <f>SUM(L30:R30)</f>
        <v>4601389.1999999993</v>
      </c>
      <c r="T30" s="72"/>
      <c r="U30" s="71" t="s">
        <v>225</v>
      </c>
      <c r="W30" s="75">
        <f>I30</f>
        <v>4394456.47</v>
      </c>
      <c r="Y30" s="75">
        <f t="shared" ref="Y30:Y37" si="10">S30</f>
        <v>4601389.1999999993</v>
      </c>
      <c r="AA30" s="75">
        <f>I30-S30</f>
        <v>-206932.72999999952</v>
      </c>
      <c r="AB30" s="102"/>
      <c r="AC30" s="81">
        <f>I30/S30</f>
        <v>0.95502820539501432</v>
      </c>
      <c r="AD30" s="75"/>
      <c r="AE30" s="81">
        <f>AC30-1</f>
        <v>-4.4971794604985682E-2</v>
      </c>
    </row>
    <row r="31" spans="1:31" s="63" customFormat="1" ht="30" customHeight="1" x14ac:dyDescent="0.5">
      <c r="A31" s="70" t="s">
        <v>234</v>
      </c>
      <c r="B31" s="72">
        <f>'Comp YTD 2018-2017 Oct'!B74</f>
        <v>2239577.2599999998</v>
      </c>
      <c r="C31" s="72">
        <f>'Comp YTD 2018-2017 Oct'!C74</f>
        <v>90304.73</v>
      </c>
      <c r="D31" s="72">
        <f>'Comp YTD 2018-2017 Oct'!D74</f>
        <v>954813.77000000025</v>
      </c>
      <c r="E31" s="72">
        <f>'Comp YTD 2018-2017 Oct'!E74</f>
        <v>109</v>
      </c>
      <c r="F31" s="72">
        <f>'Comp YTD 2018-2017 Oct'!F74</f>
        <v>249685.55000000005</v>
      </c>
      <c r="G31" s="72">
        <f>'Comp YTD 2018-2017 Oct'!G74</f>
        <v>93032.700000000026</v>
      </c>
      <c r="H31" s="72">
        <f>'Comp YTD 2018-2017 Oct'!H74</f>
        <v>147655.84</v>
      </c>
      <c r="I31" s="72">
        <f t="shared" si="6"/>
        <v>3775178.8499999996</v>
      </c>
      <c r="J31" s="62"/>
      <c r="K31" s="71" t="s">
        <v>234</v>
      </c>
      <c r="L31" s="72">
        <f>'Comp YTD 2018-2017 Oct'!M74</f>
        <v>1408838.4300000002</v>
      </c>
      <c r="M31" s="72">
        <f>'Comp YTD 2018-2017 Oct'!N74</f>
        <v>14941.33</v>
      </c>
      <c r="N31" s="72">
        <f>'Comp YTD 2018-2017 Oct'!O74</f>
        <v>575293.91999999993</v>
      </c>
      <c r="O31" s="72">
        <f>'Comp YTD 2018-2017 Oct'!P74</f>
        <v>0</v>
      </c>
      <c r="P31" s="72">
        <f>'Comp YTD 2018-2017 Oct'!Q74</f>
        <v>271814.13999999996</v>
      </c>
      <c r="Q31" s="72">
        <f>'Comp YTD 2018-2017 Oct'!R74</f>
        <v>34050.04</v>
      </c>
      <c r="R31" s="72">
        <f>'Comp YTD 2018-2017 Oct'!S74</f>
        <v>520</v>
      </c>
      <c r="S31" s="72">
        <f>SUM(L31:R31)</f>
        <v>2305457.8600000003</v>
      </c>
      <c r="T31" s="72"/>
      <c r="U31" s="71" t="s">
        <v>234</v>
      </c>
      <c r="W31" s="75">
        <f>I31</f>
        <v>3775178.8499999996</v>
      </c>
      <c r="Y31" s="75">
        <f t="shared" si="10"/>
        <v>2305457.8600000003</v>
      </c>
      <c r="AA31" s="75">
        <f>I31-S31</f>
        <v>1469720.9899999993</v>
      </c>
      <c r="AB31" s="102"/>
      <c r="AC31" s="81">
        <f>I31/S31</f>
        <v>1.6374963583155664</v>
      </c>
      <c r="AD31" s="75"/>
      <c r="AE31" s="81">
        <f>AC31-1</f>
        <v>0.63749635831556639</v>
      </c>
    </row>
    <row r="32" spans="1:31" s="63" customFormat="1" ht="30" customHeight="1" x14ac:dyDescent="0.5">
      <c r="A32" s="70" t="s">
        <v>251</v>
      </c>
      <c r="B32" s="72">
        <f>'Comp YTD 2018-2017 Oct'!B96</f>
        <v>694278.08999999985</v>
      </c>
      <c r="C32" s="72">
        <f>'Comp YTD 2018-2017 Oct'!C96</f>
        <v>75519.72</v>
      </c>
      <c r="D32" s="72">
        <f>'Comp YTD 2018-2017 Oct'!D96</f>
        <v>155458.87</v>
      </c>
      <c r="E32" s="72">
        <f>'Comp YTD 2018-2017 Oct'!E96</f>
        <v>18836.190000000002</v>
      </c>
      <c r="F32" s="72">
        <f>'Comp YTD 2018-2017 Oct'!F96</f>
        <v>45283.08</v>
      </c>
      <c r="G32" s="72">
        <f>'Comp YTD 2018-2017 Oct'!G96</f>
        <v>2915</v>
      </c>
      <c r="H32" s="72">
        <f>'Comp YTD 2018-2017 Oct'!H96</f>
        <v>3341.58</v>
      </c>
      <c r="I32" s="72">
        <f>'Comp YTD 2018-2017 Oct'!I96</f>
        <v>995632.5299999998</v>
      </c>
      <c r="J32" s="62"/>
      <c r="K32" s="71" t="s">
        <v>251</v>
      </c>
      <c r="L32" s="72">
        <f>'Comp YTD 2018-2017 Oct'!M96</f>
        <v>676068.00000000012</v>
      </c>
      <c r="M32" s="72">
        <f>'Comp YTD 2018-2017 Oct'!N96</f>
        <v>67553.679999999993</v>
      </c>
      <c r="N32" s="72">
        <f>'Comp YTD 2018-2017 Oct'!O96</f>
        <v>86006.09</v>
      </c>
      <c r="O32" s="72">
        <f>'Comp YTD 2018-2017 Oct'!P96</f>
        <v>4713.43</v>
      </c>
      <c r="P32" s="72">
        <f>'Comp YTD 2018-2017 Oct'!Q96</f>
        <v>52453.54</v>
      </c>
      <c r="Q32" s="72">
        <f>'Comp YTD 2018-2017 Oct'!R96</f>
        <v>13874</v>
      </c>
      <c r="R32" s="72">
        <f>'Comp YTD 2018-2017 Oct'!S96</f>
        <v>2592.0500000000002</v>
      </c>
      <c r="S32" s="72">
        <f>SUM(L32:R32)</f>
        <v>903260.79000000027</v>
      </c>
      <c r="T32" s="72"/>
      <c r="U32" s="71" t="s">
        <v>251</v>
      </c>
      <c r="W32" s="75">
        <f>I32</f>
        <v>995632.5299999998</v>
      </c>
      <c r="Y32" s="75">
        <f t="shared" si="10"/>
        <v>903260.79000000027</v>
      </c>
      <c r="AA32" s="75">
        <f>I32-S32</f>
        <v>92371.739999999525</v>
      </c>
      <c r="AB32" s="102"/>
      <c r="AC32" s="81">
        <f>I32/S32</f>
        <v>1.1022647512464252</v>
      </c>
      <c r="AD32" s="75"/>
      <c r="AE32" s="81">
        <f>AC32-1</f>
        <v>0.1022647512464252</v>
      </c>
    </row>
    <row r="33" spans="1:32" s="63" customFormat="1" ht="30" customHeight="1" thickBot="1" x14ac:dyDescent="0.55000000000000004">
      <c r="A33" s="70" t="s">
        <v>265</v>
      </c>
      <c r="B33" s="82">
        <f>SUM(B30:B32)</f>
        <v>5554240.5899999999</v>
      </c>
      <c r="C33" s="82">
        <f t="shared" ref="C33:I33" si="11">SUM(C30:C32)</f>
        <v>806357.21</v>
      </c>
      <c r="D33" s="82">
        <f t="shared" si="11"/>
        <v>1923904.8900000001</v>
      </c>
      <c r="E33" s="82">
        <f t="shared" si="11"/>
        <v>18945.190000000002</v>
      </c>
      <c r="F33" s="82">
        <f t="shared" si="11"/>
        <v>614874.85</v>
      </c>
      <c r="G33" s="82">
        <f>SUM(G30:G32)</f>
        <v>95947.700000000026</v>
      </c>
      <c r="H33" s="82">
        <f t="shared" si="11"/>
        <v>150997.41999999998</v>
      </c>
      <c r="I33" s="82">
        <f t="shared" si="11"/>
        <v>9165267.8499999996</v>
      </c>
      <c r="J33" s="62"/>
      <c r="K33" s="71" t="s">
        <v>265</v>
      </c>
      <c r="L33" s="82">
        <f>SUM(L30:L32)</f>
        <v>6172131.8700000001</v>
      </c>
      <c r="M33" s="82">
        <f t="shared" ref="M33:R33" si="12">SUM(M30:M32)</f>
        <v>82495.009999999995</v>
      </c>
      <c r="N33" s="82">
        <f t="shared" si="12"/>
        <v>842965.58999999985</v>
      </c>
      <c r="O33" s="82">
        <f t="shared" si="12"/>
        <v>4713.43</v>
      </c>
      <c r="P33" s="82">
        <f t="shared" si="12"/>
        <v>656765.86</v>
      </c>
      <c r="Q33" s="82">
        <f>SUM(Q30:Q32)</f>
        <v>47924.04</v>
      </c>
      <c r="R33" s="82">
        <f t="shared" si="12"/>
        <v>3112.05</v>
      </c>
      <c r="S33" s="82">
        <f>SUM(S30:S32)</f>
        <v>7810107.8499999996</v>
      </c>
      <c r="T33" s="99"/>
      <c r="U33" s="71" t="s">
        <v>265</v>
      </c>
      <c r="W33" s="83">
        <f>I33</f>
        <v>9165267.8499999996</v>
      </c>
      <c r="Y33" s="83">
        <f t="shared" si="10"/>
        <v>7810107.8499999996</v>
      </c>
      <c r="AA33" s="83">
        <f>I33-S33</f>
        <v>1355160</v>
      </c>
      <c r="AB33" s="102"/>
      <c r="AC33" s="85">
        <f>I33/S33</f>
        <v>1.1735136090342209</v>
      </c>
      <c r="AD33" s="83"/>
      <c r="AE33" s="85">
        <f>AC33-1</f>
        <v>0.17351360903422086</v>
      </c>
    </row>
    <row r="34" spans="1:32" s="63" customFormat="1" ht="30" customHeight="1" x14ac:dyDescent="0.5">
      <c r="B34" s="72"/>
      <c r="C34" s="72"/>
      <c r="D34" s="72"/>
      <c r="E34" s="72"/>
      <c r="F34" s="72"/>
      <c r="G34" s="72"/>
      <c r="H34" s="72"/>
      <c r="I34" s="72"/>
      <c r="J34" s="62"/>
      <c r="K34" s="62"/>
      <c r="L34" s="72"/>
      <c r="M34" s="72"/>
      <c r="N34" s="72"/>
      <c r="O34" s="72"/>
      <c r="P34" s="72"/>
      <c r="Q34" s="72"/>
      <c r="R34" s="72"/>
      <c r="S34" s="72"/>
      <c r="T34" s="72"/>
      <c r="U34" s="62"/>
      <c r="W34" s="66"/>
      <c r="Y34" s="66">
        <f t="shared" si="10"/>
        <v>0</v>
      </c>
      <c r="AA34" s="66"/>
      <c r="AB34" s="103"/>
      <c r="AC34" s="81"/>
      <c r="AD34" s="66"/>
      <c r="AE34" s="81"/>
    </row>
    <row r="35" spans="1:32" s="63" customFormat="1" ht="30" customHeight="1" x14ac:dyDescent="0.5">
      <c r="A35" s="70" t="s">
        <v>465</v>
      </c>
      <c r="B35" s="72">
        <f>'Comp YTD 2018-2017 Oct'!B114</f>
        <v>509788.52</v>
      </c>
      <c r="C35" s="72">
        <f>'Comp YTD 2018-2017 Oct'!C114</f>
        <v>-41339.490000000005</v>
      </c>
      <c r="D35" s="72">
        <f>'Comp YTD 2018-2017 Oct'!D114</f>
        <v>152991.04999999999</v>
      </c>
      <c r="E35" s="72">
        <f>'Comp YTD 2018-2017 Oct'!E114</f>
        <v>38876.559999999998</v>
      </c>
      <c r="F35" s="72">
        <f>'Comp YTD 2018-2017 Oct'!F114</f>
        <v>-40783.15</v>
      </c>
      <c r="G35" s="72">
        <f>'Comp YTD 2018-2017 Oct'!G114</f>
        <v>254639.63</v>
      </c>
      <c r="H35" s="72">
        <f>'Comp YTD 2018-2017 Oct'!H114</f>
        <v>174861.11</v>
      </c>
      <c r="I35" s="72">
        <f>SUM(B35:H35)</f>
        <v>1049034.23</v>
      </c>
      <c r="J35" s="62"/>
      <c r="K35" s="70" t="s">
        <v>465</v>
      </c>
      <c r="L35" s="72">
        <f>'Comp YTD 2018-2017 Oct'!M114</f>
        <v>365196.60000000009</v>
      </c>
      <c r="M35" s="72">
        <f>'Comp YTD 2018-2017 Oct'!N114</f>
        <v>-343662.5</v>
      </c>
      <c r="N35" s="72">
        <f>'Comp YTD 2018-2017 Oct'!O114</f>
        <v>-15000</v>
      </c>
      <c r="O35" s="72">
        <f>'Comp YTD 2018-2017 Oct'!P114</f>
        <v>65357.499999999993</v>
      </c>
      <c r="P35" s="72">
        <f>'Comp YTD 2018-2017 Oct'!Q114</f>
        <v>-49923.59</v>
      </c>
      <c r="Q35" s="72">
        <f>'Comp YTD 2018-2017 Oct'!R114</f>
        <v>348310.94</v>
      </c>
      <c r="R35" s="72">
        <f>'Comp YTD 2018-2017 Oct'!S114</f>
        <v>100000</v>
      </c>
      <c r="S35" s="72">
        <f>SUM(L35:R35)</f>
        <v>470278.95000000007</v>
      </c>
      <c r="T35" s="72"/>
      <c r="U35" s="70" t="s">
        <v>465</v>
      </c>
      <c r="W35" s="66">
        <f>I35</f>
        <v>1049034.23</v>
      </c>
      <c r="Y35" s="66">
        <f t="shared" si="10"/>
        <v>470278.95000000007</v>
      </c>
      <c r="AA35" s="66">
        <f>I35-S35</f>
        <v>578755.27999999991</v>
      </c>
      <c r="AB35" s="103"/>
      <c r="AC35" s="81">
        <f>I35/S35</f>
        <v>2.2306638007080686</v>
      </c>
      <c r="AD35" s="67"/>
      <c r="AE35" s="81">
        <f>AC35-1</f>
        <v>1.2306638007080686</v>
      </c>
      <c r="AF35" s="67"/>
    </row>
    <row r="36" spans="1:32" s="63" customFormat="1" ht="30" customHeight="1" x14ac:dyDescent="0.5">
      <c r="A36" s="70"/>
      <c r="B36" s="72"/>
      <c r="C36" s="72"/>
      <c r="D36" s="72"/>
      <c r="E36" s="72"/>
      <c r="F36" s="72"/>
      <c r="G36" s="72"/>
      <c r="H36" s="72"/>
      <c r="I36" s="72">
        <f>SUM(B36:H36)</f>
        <v>0</v>
      </c>
      <c r="J36" s="73"/>
      <c r="K36" s="71"/>
      <c r="L36" s="72"/>
      <c r="M36" s="72"/>
      <c r="N36" s="72"/>
      <c r="O36" s="72"/>
      <c r="P36" s="72"/>
      <c r="Q36" s="72"/>
      <c r="R36" s="72"/>
      <c r="S36" s="72">
        <f>SUM(L36:R36)</f>
        <v>0</v>
      </c>
      <c r="T36" s="72"/>
      <c r="U36" s="71"/>
      <c r="V36" s="74"/>
      <c r="W36" s="75"/>
      <c r="X36" s="74"/>
      <c r="Y36" s="75">
        <f t="shared" si="10"/>
        <v>0</v>
      </c>
      <c r="Z36" s="74"/>
      <c r="AA36" s="75"/>
      <c r="AB36" s="102"/>
      <c r="AC36" s="67"/>
      <c r="AD36" s="67"/>
      <c r="AE36" s="67"/>
      <c r="AF36" s="67"/>
    </row>
    <row r="37" spans="1:32" s="63" customFormat="1" ht="30" customHeight="1" thickBot="1" x14ac:dyDescent="0.55000000000000004">
      <c r="A37" s="70" t="s">
        <v>267</v>
      </c>
      <c r="B37" s="86">
        <f t="shared" ref="B37:I37" si="13">B27-B33+B35</f>
        <v>38273.270000152756</v>
      </c>
      <c r="C37" s="86">
        <f t="shared" si="13"/>
        <v>190860.8400000066</v>
      </c>
      <c r="D37" s="86">
        <f t="shared" si="13"/>
        <v>756450.63000000012</v>
      </c>
      <c r="E37" s="86">
        <f t="shared" si="13"/>
        <v>19931.369999999995</v>
      </c>
      <c r="F37" s="86">
        <f t="shared" si="13"/>
        <v>-94654.929999999906</v>
      </c>
      <c r="G37" s="86">
        <f>G27-G33+G35</f>
        <v>158691.93</v>
      </c>
      <c r="H37" s="86">
        <f t="shared" si="13"/>
        <v>23863.690000000002</v>
      </c>
      <c r="I37" s="86">
        <f t="shared" si="13"/>
        <v>1093416.8000001605</v>
      </c>
      <c r="J37" s="62"/>
      <c r="K37" s="71" t="s">
        <v>267</v>
      </c>
      <c r="L37" s="86">
        <f t="shared" ref="L37:R37" si="14">L27-L33+L35</f>
        <v>-1019288.9499988747</v>
      </c>
      <c r="M37" s="86">
        <f t="shared" si="14"/>
        <v>232284.15999999433</v>
      </c>
      <c r="N37" s="86">
        <f t="shared" si="14"/>
        <v>736688.65000000014</v>
      </c>
      <c r="O37" s="86">
        <f t="shared" si="14"/>
        <v>60644.069999999992</v>
      </c>
      <c r="P37" s="86">
        <f t="shared" si="14"/>
        <v>-95026.97</v>
      </c>
      <c r="Q37" s="86">
        <f>Q27-Q33+Q35</f>
        <v>300386.90000000002</v>
      </c>
      <c r="R37" s="86">
        <f t="shared" si="14"/>
        <v>96887.95</v>
      </c>
      <c r="S37" s="86">
        <f>SUM(L37:R37)</f>
        <v>312575.8100011198</v>
      </c>
      <c r="T37" s="100"/>
      <c r="U37" s="71" t="s">
        <v>267</v>
      </c>
      <c r="W37" s="87">
        <f>W27-W33+W35</f>
        <v>1093416.8000001605</v>
      </c>
      <c r="Y37" s="87">
        <f t="shared" si="10"/>
        <v>312575.8100011198</v>
      </c>
      <c r="AA37" s="87">
        <f>I37-S37</f>
        <v>780840.98999904073</v>
      </c>
      <c r="AB37" s="104"/>
      <c r="AC37" s="84">
        <f>I37/S37</f>
        <v>3.4980851525146597</v>
      </c>
      <c r="AD37" s="83"/>
      <c r="AE37" s="84">
        <f>AC37-1</f>
        <v>2.4980851525146597</v>
      </c>
      <c r="AF37" s="67"/>
    </row>
    <row r="38" spans="1:32" ht="30" customHeight="1" thickTop="1" x14ac:dyDescent="0.25">
      <c r="B38" s="59"/>
      <c r="C38" s="59"/>
      <c r="D38" s="59"/>
      <c r="E38" s="59"/>
      <c r="F38" s="59"/>
      <c r="G38" s="59"/>
      <c r="H38" s="59"/>
      <c r="I38" s="59"/>
      <c r="AB38" s="105"/>
      <c r="AD38" s="49"/>
      <c r="AF38" s="49"/>
    </row>
    <row r="39" spans="1:32" ht="30" customHeight="1" x14ac:dyDescent="0.25">
      <c r="AB39" s="105"/>
      <c r="AD39" s="49"/>
      <c r="AF39" s="49"/>
    </row>
    <row r="40" spans="1:32" s="63" customFormat="1" ht="30" customHeight="1" x14ac:dyDescent="0.5">
      <c r="A40" s="63" t="s">
        <v>332</v>
      </c>
      <c r="B40" s="72">
        <f>CNT!N280</f>
        <v>38273.269999525859</v>
      </c>
      <c r="C40" s="72">
        <v>190860.84</v>
      </c>
      <c r="D40" s="72">
        <v>756450.63</v>
      </c>
      <c r="E40" s="72">
        <v>19931.37</v>
      </c>
      <c r="F40" s="72">
        <v>-94654.93</v>
      </c>
      <c r="G40" s="72">
        <v>158691.93</v>
      </c>
      <c r="H40" s="72">
        <v>23863.69</v>
      </c>
      <c r="I40" s="72">
        <f>SUM(B40:H40)</f>
        <v>1093416.7999995258</v>
      </c>
      <c r="J40" s="73"/>
      <c r="K40" s="62"/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2">
        <v>0</v>
      </c>
      <c r="R40" s="72">
        <v>0</v>
      </c>
      <c r="S40" s="72">
        <f>SUM(L40:R40)</f>
        <v>0</v>
      </c>
      <c r="T40" s="72"/>
      <c r="U40" s="62"/>
      <c r="V40" s="74"/>
      <c r="W40" s="75"/>
      <c r="X40" s="74"/>
      <c r="Y40" s="75"/>
      <c r="Z40" s="74"/>
      <c r="AA40" s="75"/>
      <c r="AB40" s="75"/>
      <c r="AC40" s="67"/>
      <c r="AD40" s="67"/>
      <c r="AE40" s="67"/>
      <c r="AF40" s="67"/>
    </row>
    <row r="41" spans="1:32" s="63" customFormat="1" ht="30" customHeight="1" x14ac:dyDescent="0.5">
      <c r="B41" s="72">
        <f t="shared" ref="B41:I41" si="15">B37-B40</f>
        <v>6.2689650803804398E-7</v>
      </c>
      <c r="C41" s="72">
        <f t="shared" si="15"/>
        <v>6.6065695136785507E-9</v>
      </c>
      <c r="D41" s="72">
        <f t="shared" si="15"/>
        <v>0</v>
      </c>
      <c r="E41" s="72">
        <f t="shared" si="15"/>
        <v>0</v>
      </c>
      <c r="F41" s="72">
        <f t="shared" si="15"/>
        <v>0</v>
      </c>
      <c r="G41" s="72">
        <f t="shared" si="15"/>
        <v>0</v>
      </c>
      <c r="H41" s="72">
        <f t="shared" si="15"/>
        <v>0</v>
      </c>
      <c r="I41" s="72">
        <f t="shared" si="15"/>
        <v>6.3469633460044861E-7</v>
      </c>
      <c r="J41" s="73"/>
      <c r="K41" s="62"/>
      <c r="L41" s="72">
        <f>L37-L40</f>
        <v>-1019288.9499988747</v>
      </c>
      <c r="M41" s="72">
        <f t="shared" ref="M41:R41" si="16">M37-M40</f>
        <v>232284.15999999433</v>
      </c>
      <c r="N41" s="72">
        <f t="shared" si="16"/>
        <v>736688.65000000014</v>
      </c>
      <c r="O41" s="72">
        <f t="shared" si="16"/>
        <v>60644.069999999992</v>
      </c>
      <c r="P41" s="72">
        <f t="shared" si="16"/>
        <v>-95026.97</v>
      </c>
      <c r="Q41" s="72">
        <f>Q37-Q40</f>
        <v>300386.90000000002</v>
      </c>
      <c r="R41" s="72">
        <f t="shared" si="16"/>
        <v>96887.95</v>
      </c>
      <c r="S41" s="72">
        <f>S37-S40</f>
        <v>312575.8100011198</v>
      </c>
      <c r="T41" s="72"/>
      <c r="U41" s="62"/>
      <c r="V41" s="74"/>
      <c r="W41" s="75">
        <f>I37-W37</f>
        <v>0</v>
      </c>
      <c r="X41" s="74"/>
      <c r="Y41" s="75">
        <f>Y37-S37</f>
        <v>0</v>
      </c>
      <c r="Z41" s="74"/>
      <c r="AA41" s="75">
        <f>AA21-AA25-AA33+AA35-AA37</f>
        <v>5.2049290388822556E-7</v>
      </c>
      <c r="AB41" s="75"/>
      <c r="AC41" s="67"/>
      <c r="AD41" s="67"/>
      <c r="AE41" s="67"/>
      <c r="AF41" s="67"/>
    </row>
    <row r="42" spans="1:32" s="63" customFormat="1" ht="30" customHeight="1" x14ac:dyDescent="0.5">
      <c r="B42" s="72"/>
      <c r="C42" s="72"/>
      <c r="D42" s="72"/>
      <c r="E42" s="72"/>
      <c r="F42" s="72"/>
      <c r="G42" s="72"/>
      <c r="H42" s="72"/>
      <c r="I42" s="72"/>
      <c r="J42" s="73"/>
      <c r="K42" s="62"/>
      <c r="L42" s="72"/>
      <c r="M42" s="72"/>
      <c r="N42" s="72"/>
      <c r="O42" s="72"/>
      <c r="P42" s="72"/>
      <c r="Q42" s="72"/>
      <c r="R42" s="72"/>
      <c r="S42" s="72"/>
      <c r="T42" s="72"/>
      <c r="U42" s="62"/>
      <c r="V42" s="74"/>
      <c r="W42" s="75"/>
      <c r="X42" s="74"/>
      <c r="Y42" s="75"/>
      <c r="Z42" s="74"/>
      <c r="AA42" s="75"/>
      <c r="AB42" s="75"/>
      <c r="AC42" s="67"/>
      <c r="AD42" s="67"/>
      <c r="AE42" s="67"/>
      <c r="AF42" s="67"/>
    </row>
    <row r="43" spans="1:32" x14ac:dyDescent="0.25">
      <c r="B43" s="57"/>
      <c r="C43" s="57"/>
      <c r="D43" s="57"/>
      <c r="E43" s="57"/>
    </row>
    <row r="44" spans="1:32" x14ac:dyDescent="0.25">
      <c r="B44" s="57"/>
      <c r="C44" s="57"/>
      <c r="D44" s="57"/>
      <c r="E44" s="57"/>
    </row>
    <row r="45" spans="1:32" x14ac:dyDescent="0.25">
      <c r="B45" s="57"/>
      <c r="C45" s="57"/>
      <c r="D45" s="57"/>
      <c r="E45" s="57"/>
    </row>
    <row r="46" spans="1:32" x14ac:dyDescent="0.25">
      <c r="B46" s="57"/>
      <c r="C46" s="57"/>
      <c r="D46" s="57"/>
      <c r="E46" s="57"/>
    </row>
    <row r="47" spans="1:32" x14ac:dyDescent="0.25">
      <c r="B47" s="57"/>
      <c r="C47" s="57"/>
      <c r="D47" s="57"/>
      <c r="E47" s="57"/>
    </row>
  </sheetData>
  <mergeCells count="12">
    <mergeCell ref="K11:S11"/>
    <mergeCell ref="A12:I12"/>
    <mergeCell ref="K12:S12"/>
    <mergeCell ref="A1:I5"/>
    <mergeCell ref="A6:AE6"/>
    <mergeCell ref="A7:AE7"/>
    <mergeCell ref="A9:I9"/>
    <mergeCell ref="K9:S9"/>
    <mergeCell ref="U9:AE12"/>
    <mergeCell ref="A10:I10"/>
    <mergeCell ref="K10:S10"/>
    <mergeCell ref="A11:I11"/>
  </mergeCells>
  <pageMargins left="0.7" right="0.7" top="0.75" bottom="0.75" header="0.3" footer="0.3"/>
  <pageSetup scale="25" orientation="portrait" r:id="rId1"/>
  <headerFooter>
    <oddFooter>Page &amp;P of &amp;N</oddFooter>
  </headerFooter>
  <colBreaks count="2" manualBreakCount="2">
    <brk id="9" max="1048575" man="1"/>
    <brk id="20" min="8" max="1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2:AG117"/>
  <sheetViews>
    <sheetView view="pageBreakPreview" zoomScale="30" zoomScaleNormal="25" zoomScaleSheetLayoutView="30" workbookViewId="0">
      <pane ySplit="14" topLeftCell="A33" activePane="bottomLeft" state="frozen"/>
      <selection activeCell="C20" sqref="C20"/>
      <selection pane="bottomLeft" activeCell="C20" sqref="C20"/>
    </sheetView>
  </sheetViews>
  <sheetFormatPr defaultRowHeight="57.75" x14ac:dyDescent="0.85"/>
  <cols>
    <col min="1" max="1" width="179.85546875" style="121" customWidth="1"/>
    <col min="2" max="2" width="72.5703125" style="122" customWidth="1"/>
    <col min="3" max="8" width="65.7109375" style="122" customWidth="1"/>
    <col min="9" max="9" width="72.5703125" style="122" customWidth="1"/>
    <col min="10" max="10" width="46.42578125" style="122" customWidth="1"/>
    <col min="11" max="11" width="11.42578125" style="122" customWidth="1"/>
    <col min="12" max="12" width="155.42578125" style="122" bestFit="1" customWidth="1"/>
    <col min="13" max="13" width="78.7109375" style="122" customWidth="1"/>
    <col min="14" max="14" width="73.28515625" style="122" bestFit="1" customWidth="1"/>
    <col min="15" max="15" width="57.7109375" style="122" customWidth="1"/>
    <col min="16" max="16" width="69.7109375" style="122" customWidth="1"/>
    <col min="17" max="17" width="65.28515625" style="122" bestFit="1" customWidth="1"/>
    <col min="18" max="18" width="68.28515625" style="122" customWidth="1"/>
    <col min="19" max="19" width="72.140625" style="122" customWidth="1"/>
    <col min="20" max="20" width="80.7109375" style="122" customWidth="1"/>
    <col min="21" max="21" width="50.140625" style="121" customWidth="1"/>
    <col min="22" max="22" width="155.42578125" style="122" bestFit="1" customWidth="1"/>
    <col min="23" max="23" width="11.42578125" style="121" customWidth="1"/>
    <col min="24" max="24" width="80.7109375" style="121" customWidth="1"/>
    <col min="25" max="25" width="11.42578125" style="121" customWidth="1"/>
    <col min="26" max="26" width="80.7109375" style="121" customWidth="1"/>
    <col min="27" max="27" width="11.42578125" style="121" customWidth="1"/>
    <col min="28" max="28" width="80.7109375" style="123" customWidth="1"/>
    <col min="29" max="29" width="4.28515625" style="123" customWidth="1"/>
    <col min="30" max="30" width="80.7109375" style="124" customWidth="1"/>
    <col min="31" max="31" width="4.28515625" style="123" customWidth="1"/>
    <col min="32" max="32" width="50.7109375" style="124" customWidth="1"/>
  </cols>
  <sheetData>
    <row r="2" spans="1:32" ht="40.5" customHeight="1" x14ac:dyDescent="0.85">
      <c r="A2" s="211" t="s">
        <v>348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</row>
    <row r="3" spans="1:32" ht="40.5" customHeight="1" x14ac:dyDescent="0.85">
      <c r="A3" s="211" t="s">
        <v>485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</row>
    <row r="4" spans="1:32" ht="14.25" customHeight="1" thickBot="1" x14ac:dyDescent="0.9"/>
    <row r="5" spans="1:32" s="54" customFormat="1" ht="54.95" customHeight="1" x14ac:dyDescent="0.85">
      <c r="A5" s="212">
        <v>2018</v>
      </c>
      <c r="B5" s="213"/>
      <c r="C5" s="213"/>
      <c r="D5" s="213"/>
      <c r="E5" s="213"/>
      <c r="F5" s="213"/>
      <c r="G5" s="213"/>
      <c r="H5" s="213"/>
      <c r="I5" s="213"/>
      <c r="J5" s="214"/>
      <c r="K5" s="122"/>
      <c r="L5" s="212">
        <v>2017</v>
      </c>
      <c r="M5" s="213"/>
      <c r="N5" s="213"/>
      <c r="O5" s="213"/>
      <c r="P5" s="213"/>
      <c r="Q5" s="213"/>
      <c r="R5" s="213"/>
      <c r="S5" s="213"/>
      <c r="T5" s="213"/>
      <c r="U5" s="214"/>
      <c r="V5" s="199" t="s">
        <v>407</v>
      </c>
      <c r="W5" s="200"/>
      <c r="X5" s="200"/>
      <c r="Y5" s="200"/>
      <c r="Z5" s="200"/>
      <c r="AA5" s="200"/>
      <c r="AB5" s="200"/>
      <c r="AC5" s="200"/>
      <c r="AD5" s="200"/>
      <c r="AE5" s="200"/>
      <c r="AF5" s="201"/>
    </row>
    <row r="6" spans="1:32" s="54" customFormat="1" ht="54.95" customHeight="1" x14ac:dyDescent="0.85">
      <c r="A6" s="215" t="s">
        <v>408</v>
      </c>
      <c r="B6" s="216"/>
      <c r="C6" s="216"/>
      <c r="D6" s="216"/>
      <c r="E6" s="216"/>
      <c r="F6" s="216"/>
      <c r="G6" s="216"/>
      <c r="H6" s="216"/>
      <c r="I6" s="216"/>
      <c r="J6" s="217"/>
      <c r="K6" s="122"/>
      <c r="L6" s="215" t="s">
        <v>408</v>
      </c>
      <c r="M6" s="216"/>
      <c r="N6" s="216"/>
      <c r="O6" s="216"/>
      <c r="P6" s="216"/>
      <c r="Q6" s="216"/>
      <c r="R6" s="216"/>
      <c r="S6" s="216"/>
      <c r="T6" s="216"/>
      <c r="U6" s="217"/>
      <c r="V6" s="202"/>
      <c r="W6" s="203"/>
      <c r="X6" s="203"/>
      <c r="Y6" s="203"/>
      <c r="Z6" s="203"/>
      <c r="AA6" s="203"/>
      <c r="AB6" s="203"/>
      <c r="AC6" s="203"/>
      <c r="AD6" s="203"/>
      <c r="AE6" s="203"/>
      <c r="AF6" s="204"/>
    </row>
    <row r="7" spans="1:32" s="54" customFormat="1" ht="54.95" customHeight="1" x14ac:dyDescent="0.85">
      <c r="A7" s="215" t="s">
        <v>347</v>
      </c>
      <c r="B7" s="216"/>
      <c r="C7" s="216"/>
      <c r="D7" s="216"/>
      <c r="E7" s="216"/>
      <c r="F7" s="216"/>
      <c r="G7" s="216"/>
      <c r="H7" s="216"/>
      <c r="I7" s="216"/>
      <c r="J7" s="217"/>
      <c r="K7" s="122"/>
      <c r="L7" s="215" t="s">
        <v>347</v>
      </c>
      <c r="M7" s="216"/>
      <c r="N7" s="216"/>
      <c r="O7" s="216"/>
      <c r="P7" s="216"/>
      <c r="Q7" s="216"/>
      <c r="R7" s="216"/>
      <c r="S7" s="216"/>
      <c r="T7" s="216"/>
      <c r="U7" s="217"/>
      <c r="V7" s="202"/>
      <c r="W7" s="203"/>
      <c r="X7" s="203"/>
      <c r="Y7" s="203"/>
      <c r="Z7" s="203"/>
      <c r="AA7" s="203"/>
      <c r="AB7" s="203"/>
      <c r="AC7" s="203"/>
      <c r="AD7" s="203"/>
      <c r="AE7" s="203"/>
      <c r="AF7" s="204"/>
    </row>
    <row r="8" spans="1:32" s="54" customFormat="1" ht="54.95" customHeight="1" thickBot="1" x14ac:dyDescent="0.9">
      <c r="A8" s="208">
        <v>43404</v>
      </c>
      <c r="B8" s="209"/>
      <c r="C8" s="209"/>
      <c r="D8" s="209"/>
      <c r="E8" s="209"/>
      <c r="F8" s="209"/>
      <c r="G8" s="209"/>
      <c r="H8" s="209"/>
      <c r="I8" s="209"/>
      <c r="J8" s="210"/>
      <c r="K8" s="122"/>
      <c r="L8" s="208">
        <v>43039</v>
      </c>
      <c r="M8" s="209"/>
      <c r="N8" s="209"/>
      <c r="O8" s="209"/>
      <c r="P8" s="209"/>
      <c r="Q8" s="209"/>
      <c r="R8" s="209"/>
      <c r="S8" s="209"/>
      <c r="T8" s="209"/>
      <c r="U8" s="210"/>
      <c r="V8" s="205"/>
      <c r="W8" s="206"/>
      <c r="X8" s="206"/>
      <c r="Y8" s="206"/>
      <c r="Z8" s="206"/>
      <c r="AA8" s="206"/>
      <c r="AB8" s="206"/>
      <c r="AC8" s="206"/>
      <c r="AD8" s="206"/>
      <c r="AE8" s="206"/>
      <c r="AF8" s="207"/>
    </row>
    <row r="9" spans="1:32" s="63" customFormat="1" ht="54.95" customHeight="1" x14ac:dyDescent="0.85">
      <c r="A9" s="125"/>
      <c r="B9" s="126"/>
      <c r="C9" s="126"/>
      <c r="D9" s="126"/>
      <c r="E9" s="126"/>
      <c r="F9" s="126"/>
      <c r="G9" s="126"/>
      <c r="H9" s="126"/>
      <c r="I9" s="126"/>
      <c r="J9" s="126"/>
      <c r="K9" s="122"/>
      <c r="L9" s="126"/>
      <c r="M9" s="126"/>
      <c r="N9" s="126"/>
      <c r="O9" s="126"/>
      <c r="P9" s="126"/>
      <c r="Q9" s="126"/>
      <c r="R9" s="126"/>
      <c r="S9" s="126"/>
      <c r="T9" s="126"/>
      <c r="U9" s="125"/>
      <c r="V9" s="126"/>
      <c r="W9" s="121"/>
      <c r="X9" s="127"/>
      <c r="Y9" s="121"/>
      <c r="Z9" s="127"/>
      <c r="AA9" s="121"/>
      <c r="AB9" s="127"/>
      <c r="AC9" s="127"/>
      <c r="AD9" s="127"/>
      <c r="AE9" s="127"/>
      <c r="AF9" s="127"/>
    </row>
    <row r="10" spans="1:32" s="63" customFormat="1" ht="54.95" customHeight="1" x14ac:dyDescent="0.85">
      <c r="A10" s="121"/>
      <c r="B10" s="122"/>
      <c r="C10" s="122"/>
      <c r="D10" s="122"/>
      <c r="E10" s="122"/>
      <c r="F10" s="122"/>
      <c r="G10" s="122"/>
      <c r="H10" s="122"/>
      <c r="I10" s="122"/>
      <c r="J10" s="126">
        <v>2018</v>
      </c>
      <c r="K10" s="126"/>
      <c r="L10" s="128"/>
      <c r="M10" s="128"/>
      <c r="N10" s="128"/>
      <c r="O10" s="128"/>
      <c r="P10" s="128"/>
      <c r="Q10" s="128"/>
      <c r="R10" s="128"/>
      <c r="S10" s="128"/>
      <c r="T10" s="128"/>
      <c r="U10" s="125">
        <v>2017</v>
      </c>
      <c r="V10" s="128"/>
      <c r="W10" s="125"/>
      <c r="X10" s="123"/>
      <c r="Y10" s="125"/>
      <c r="Z10" s="123"/>
      <c r="AA10" s="125"/>
      <c r="AB10" s="123"/>
      <c r="AC10" s="123"/>
      <c r="AD10" s="124"/>
      <c r="AE10" s="123"/>
      <c r="AF10" s="124"/>
    </row>
    <row r="11" spans="1:32" s="63" customFormat="1" ht="54.95" customHeight="1" x14ac:dyDescent="0.85">
      <c r="A11" s="121"/>
      <c r="B11" s="122"/>
      <c r="C11" s="122"/>
      <c r="D11" s="122"/>
      <c r="E11" s="122"/>
      <c r="F11" s="122"/>
      <c r="G11" s="122"/>
      <c r="H11" s="122"/>
      <c r="I11" s="122"/>
      <c r="J11" s="126" t="s">
        <v>346</v>
      </c>
      <c r="K11" s="126"/>
      <c r="L11" s="128"/>
      <c r="M11" s="128"/>
      <c r="N11" s="128"/>
      <c r="O11" s="128"/>
      <c r="P11" s="128"/>
      <c r="Q11" s="128"/>
      <c r="R11" s="128"/>
      <c r="S11" s="128"/>
      <c r="T11" s="128"/>
      <c r="U11" s="125" t="s">
        <v>346</v>
      </c>
      <c r="V11" s="128"/>
      <c r="W11" s="125"/>
      <c r="X11" s="123"/>
      <c r="Y11" s="125"/>
      <c r="Z11" s="123"/>
      <c r="AA11" s="125"/>
      <c r="AB11" s="123"/>
      <c r="AC11" s="123"/>
      <c r="AD11" s="125" t="s">
        <v>341</v>
      </c>
      <c r="AE11" s="123"/>
      <c r="AF11" s="124"/>
    </row>
    <row r="12" spans="1:32" s="63" customFormat="1" ht="54.95" customHeight="1" x14ac:dyDescent="0.85">
      <c r="A12" s="121"/>
      <c r="B12" s="122"/>
      <c r="C12" s="122"/>
      <c r="D12" s="122"/>
      <c r="E12" s="122"/>
      <c r="F12" s="122"/>
      <c r="G12" s="122"/>
      <c r="H12" s="122"/>
      <c r="I12" s="122"/>
      <c r="J12" s="126" t="s">
        <v>344</v>
      </c>
      <c r="K12" s="126"/>
      <c r="L12" s="122"/>
      <c r="M12" s="122"/>
      <c r="N12" s="122"/>
      <c r="O12" s="122"/>
      <c r="P12" s="122"/>
      <c r="Q12" s="122"/>
      <c r="R12" s="122"/>
      <c r="S12" s="122"/>
      <c r="T12" s="122"/>
      <c r="U12" s="125" t="s">
        <v>344</v>
      </c>
      <c r="V12" s="122"/>
      <c r="W12" s="125"/>
      <c r="X12" s="125"/>
      <c r="Y12" s="125"/>
      <c r="Z12" s="125"/>
      <c r="AA12" s="125"/>
      <c r="AB12" s="125" t="s">
        <v>341</v>
      </c>
      <c r="AC12" s="125"/>
      <c r="AD12" s="124" t="s">
        <v>344</v>
      </c>
      <c r="AE12" s="125"/>
      <c r="AF12" s="125" t="s">
        <v>343</v>
      </c>
    </row>
    <row r="13" spans="1:32" s="63" customFormat="1" ht="54.95" customHeight="1" x14ac:dyDescent="0.85">
      <c r="A13" s="121"/>
      <c r="B13" s="122"/>
      <c r="C13" s="122"/>
      <c r="D13" s="122"/>
      <c r="E13" s="122"/>
      <c r="F13" s="122"/>
      <c r="G13" s="122"/>
      <c r="H13" s="122"/>
      <c r="I13" s="126" t="s">
        <v>207</v>
      </c>
      <c r="J13" s="126" t="s">
        <v>207</v>
      </c>
      <c r="K13" s="126"/>
      <c r="L13" s="122"/>
      <c r="M13" s="122"/>
      <c r="N13" s="122"/>
      <c r="O13" s="122"/>
      <c r="P13" s="122"/>
      <c r="Q13" s="122"/>
      <c r="R13" s="122"/>
      <c r="S13" s="122"/>
      <c r="T13" s="126" t="s">
        <v>207</v>
      </c>
      <c r="U13" s="125" t="s">
        <v>207</v>
      </c>
      <c r="V13" s="122"/>
      <c r="W13" s="125"/>
      <c r="X13" s="125">
        <v>2018</v>
      </c>
      <c r="Y13" s="125"/>
      <c r="Z13" s="125">
        <v>2017</v>
      </c>
      <c r="AA13" s="125"/>
      <c r="AB13" s="125" t="s">
        <v>342</v>
      </c>
      <c r="AC13" s="125"/>
      <c r="AD13" s="125" t="s">
        <v>342</v>
      </c>
      <c r="AE13" s="125"/>
      <c r="AF13" s="125" t="s">
        <v>345</v>
      </c>
    </row>
    <row r="14" spans="1:32" s="63" customFormat="1" ht="54.95" customHeight="1" x14ac:dyDescent="0.85">
      <c r="A14" s="121"/>
      <c r="B14" s="129" t="s">
        <v>212</v>
      </c>
      <c r="C14" s="129" t="s">
        <v>214</v>
      </c>
      <c r="D14" s="129" t="s">
        <v>213</v>
      </c>
      <c r="E14" s="129" t="s">
        <v>215</v>
      </c>
      <c r="F14" s="129" t="s">
        <v>216</v>
      </c>
      <c r="G14" s="129" t="s">
        <v>409</v>
      </c>
      <c r="H14" s="129" t="s">
        <v>421</v>
      </c>
      <c r="I14" s="129">
        <v>2018</v>
      </c>
      <c r="J14" s="130" t="s">
        <v>340</v>
      </c>
      <c r="K14" s="130"/>
      <c r="L14" s="122"/>
      <c r="M14" s="129" t="s">
        <v>212</v>
      </c>
      <c r="N14" s="129" t="s">
        <v>214</v>
      </c>
      <c r="O14" s="129" t="s">
        <v>213</v>
      </c>
      <c r="P14" s="129" t="s">
        <v>215</v>
      </c>
      <c r="Q14" s="129" t="s">
        <v>216</v>
      </c>
      <c r="R14" s="129" t="s">
        <v>409</v>
      </c>
      <c r="S14" s="129" t="s">
        <v>421</v>
      </c>
      <c r="T14" s="129">
        <v>2017</v>
      </c>
      <c r="U14" s="130" t="s">
        <v>340</v>
      </c>
      <c r="V14" s="122"/>
      <c r="W14" s="130"/>
      <c r="X14" s="131"/>
      <c r="Y14" s="130"/>
      <c r="Z14" s="131"/>
      <c r="AA14" s="130"/>
      <c r="AB14" s="131" t="s">
        <v>339</v>
      </c>
      <c r="AC14" s="131"/>
      <c r="AD14" s="131" t="s">
        <v>340</v>
      </c>
      <c r="AE14" s="131"/>
      <c r="AF14" s="131" t="s">
        <v>340</v>
      </c>
    </row>
    <row r="15" spans="1:32" s="63" customFormat="1" ht="54.95" customHeight="1" x14ac:dyDescent="0.85">
      <c r="A15" s="132" t="s">
        <v>62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33" t="s">
        <v>62</v>
      </c>
      <c r="M15" s="122"/>
      <c r="N15" s="122"/>
      <c r="O15" s="122"/>
      <c r="P15" s="122"/>
      <c r="Q15" s="122"/>
      <c r="R15" s="122"/>
      <c r="S15" s="122"/>
      <c r="T15" s="122"/>
      <c r="U15" s="121"/>
      <c r="V15" s="133" t="s">
        <v>62</v>
      </c>
      <c r="W15" s="121"/>
      <c r="X15" s="121"/>
      <c r="Y15" s="121"/>
      <c r="Z15" s="121"/>
      <c r="AA15" s="121"/>
      <c r="AB15" s="121"/>
      <c r="AC15" s="121"/>
      <c r="AD15" s="124"/>
      <c r="AE15" s="121"/>
      <c r="AF15" s="124"/>
    </row>
    <row r="16" spans="1:32" s="63" customFormat="1" ht="54.95" customHeight="1" x14ac:dyDescent="0.85">
      <c r="A16" s="122" t="s">
        <v>217</v>
      </c>
      <c r="B16" s="134">
        <f>CNT!N105+CNT!N116</f>
        <v>1071545262.78</v>
      </c>
      <c r="C16" s="134">
        <f>BPM!L8+BPM!L15</f>
        <v>65104200.950000003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f t="shared" ref="I16:I49" si="0">SUM(B16:H16)</f>
        <v>1136649463.73</v>
      </c>
      <c r="J16" s="135">
        <f>I16/$I$23</f>
        <v>0.26173050320768904</v>
      </c>
      <c r="K16" s="135"/>
      <c r="L16" s="122" t="s">
        <v>217</v>
      </c>
      <c r="M16" s="134">
        <f>1468028088.94+-34478505.92</f>
        <v>1433549583.02</v>
      </c>
      <c r="N16" s="134">
        <f>30539313.08+-79187.92</f>
        <v>30460125.159999996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f>SUM(M16:S16)</f>
        <v>1464009708.1800001</v>
      </c>
      <c r="U16" s="136">
        <f>T16/$T$23</f>
        <v>0.49788854539082933</v>
      </c>
      <c r="V16" s="122" t="s">
        <v>217</v>
      </c>
      <c r="W16" s="136"/>
      <c r="X16" s="137">
        <f>I16</f>
        <v>1136649463.73</v>
      </c>
      <c r="Y16" s="136"/>
      <c r="Z16" s="137">
        <f>T16</f>
        <v>1464009708.1800001</v>
      </c>
      <c r="AA16" s="136"/>
      <c r="AB16" s="137">
        <f>I16-T16</f>
        <v>-327360244.45000005</v>
      </c>
      <c r="AC16" s="137"/>
      <c r="AD16" s="136">
        <f>I16/T16</f>
        <v>0.77639475843574723</v>
      </c>
      <c r="AE16" s="137"/>
      <c r="AF16" s="136">
        <f>AD16-1</f>
        <v>-0.22360524156425277</v>
      </c>
    </row>
    <row r="17" spans="1:32" s="63" customFormat="1" ht="54.95" customHeight="1" x14ac:dyDescent="0.85">
      <c r="A17" s="121" t="s">
        <v>218</v>
      </c>
      <c r="B17" s="134">
        <f>CNT!N106+CNT!N117</f>
        <v>3156987093.0100002</v>
      </c>
      <c r="C17" s="134">
        <f>BPM!L9+BPM!L16</f>
        <v>3514989.23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f t="shared" si="0"/>
        <v>3160502082.2400002</v>
      </c>
      <c r="J17" s="135">
        <f t="shared" ref="J17:J22" si="1">I17/$I$23</f>
        <v>0.72775277406906647</v>
      </c>
      <c r="K17" s="135"/>
      <c r="L17" s="122" t="s">
        <v>218</v>
      </c>
      <c r="M17" s="134">
        <f>1448152568.24+-46321821.25</f>
        <v>1401830746.99</v>
      </c>
      <c r="N17" s="134">
        <f>6664692.59+-1431.24</f>
        <v>6663261.3499999996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f t="shared" ref="T17:T93" si="2">SUM(M17:S17)</f>
        <v>1408494008.3399999</v>
      </c>
      <c r="U17" s="136">
        <f t="shared" ref="U17:U22" si="3">T17/$T$23</f>
        <v>0.47900845813098913</v>
      </c>
      <c r="V17" s="122" t="s">
        <v>218</v>
      </c>
      <c r="W17" s="136"/>
      <c r="X17" s="137">
        <f t="shared" ref="X17:X80" si="4">I17</f>
        <v>3160502082.2400002</v>
      </c>
      <c r="Y17" s="136"/>
      <c r="Z17" s="137">
        <f t="shared" ref="Z17:Z80" si="5">T17</f>
        <v>1408494008.3399999</v>
      </c>
      <c r="AA17" s="136"/>
      <c r="AB17" s="137">
        <f t="shared" ref="AB17:AB23" si="6">I17-T17</f>
        <v>1752008073.9000003</v>
      </c>
      <c r="AC17" s="137"/>
      <c r="AD17" s="136">
        <f t="shared" ref="AD17:AD22" si="7">I17/T17</f>
        <v>2.2438874880020636</v>
      </c>
      <c r="AE17" s="137"/>
      <c r="AF17" s="136">
        <f t="shared" ref="AF17:AF89" si="8">AD17-1</f>
        <v>1.2438874880020636</v>
      </c>
    </row>
    <row r="18" spans="1:32" s="63" customFormat="1" ht="54.95" customHeight="1" x14ac:dyDescent="0.85">
      <c r="A18" s="121" t="s">
        <v>219</v>
      </c>
      <c r="B18" s="134">
        <f>CNT!N107+CNT!N118</f>
        <v>13492376.340000002</v>
      </c>
      <c r="C18" s="134">
        <f>BPM!L10</f>
        <v>332892.22000000003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f t="shared" si="0"/>
        <v>13825268.560000002</v>
      </c>
      <c r="J18" s="135">
        <f t="shared" si="1"/>
        <v>3.1834744243100978E-3</v>
      </c>
      <c r="K18" s="135"/>
      <c r="L18" s="122" t="s">
        <v>219</v>
      </c>
      <c r="M18" s="134">
        <f>20958229.49+-16793.1</f>
        <v>20941436.389999997</v>
      </c>
      <c r="N18" s="134">
        <f>1946002.18</f>
        <v>1946002.18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f t="shared" si="2"/>
        <v>22887438.569999997</v>
      </c>
      <c r="U18" s="136">
        <f t="shared" si="3"/>
        <v>7.7836871119560886E-3</v>
      </c>
      <c r="V18" s="122" t="s">
        <v>219</v>
      </c>
      <c r="W18" s="136"/>
      <c r="X18" s="137">
        <f t="shared" si="4"/>
        <v>13825268.560000002</v>
      </c>
      <c r="Y18" s="136"/>
      <c r="Z18" s="137">
        <f t="shared" si="5"/>
        <v>22887438.569999997</v>
      </c>
      <c r="AA18" s="136"/>
      <c r="AB18" s="137">
        <f t="shared" si="6"/>
        <v>-9062170.0099999942</v>
      </c>
      <c r="AC18" s="137"/>
      <c r="AD18" s="136">
        <f t="shared" si="7"/>
        <v>0.60405486257084484</v>
      </c>
      <c r="AE18" s="137"/>
      <c r="AF18" s="136">
        <f t="shared" si="8"/>
        <v>-0.39594513742915516</v>
      </c>
    </row>
    <row r="19" spans="1:32" s="63" customFormat="1" ht="54.95" customHeight="1" x14ac:dyDescent="0.85">
      <c r="A19" s="122" t="s">
        <v>424</v>
      </c>
      <c r="B19" s="134">
        <f>CNT!N108+CNT!N119</f>
        <v>14646066.039999999</v>
      </c>
      <c r="C19" s="134">
        <f>BPM!L11</f>
        <v>21067.5</v>
      </c>
      <c r="D19" s="134">
        <v>0</v>
      </c>
      <c r="E19" s="134">
        <v>0</v>
      </c>
      <c r="F19" s="134">
        <v>0</v>
      </c>
      <c r="G19" s="134">
        <v>0</v>
      </c>
      <c r="H19" s="134">
        <v>0</v>
      </c>
      <c r="I19" s="134">
        <f t="shared" si="0"/>
        <v>14667133.539999999</v>
      </c>
      <c r="J19" s="135">
        <f t="shared" si="1"/>
        <v>3.3773264005607729E-3</v>
      </c>
      <c r="K19" s="135"/>
      <c r="L19" s="122" t="s">
        <v>424</v>
      </c>
      <c r="M19" s="134">
        <f>37662319.73+-269878</f>
        <v>37392441.729999997</v>
      </c>
      <c r="N19" s="134">
        <f>11928.98</f>
        <v>11928.98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f t="shared" si="2"/>
        <v>37404370.709999993</v>
      </c>
      <c r="U19" s="136">
        <f t="shared" si="3"/>
        <v>1.2720685949011148E-2</v>
      </c>
      <c r="V19" s="122" t="s">
        <v>424</v>
      </c>
      <c r="W19" s="136"/>
      <c r="X19" s="137">
        <f t="shared" si="4"/>
        <v>14667133.539999999</v>
      </c>
      <c r="Y19" s="136"/>
      <c r="Z19" s="137">
        <f t="shared" si="5"/>
        <v>37404370.709999993</v>
      </c>
      <c r="AA19" s="136"/>
      <c r="AB19" s="137">
        <f t="shared" si="6"/>
        <v>-22737237.169999994</v>
      </c>
      <c r="AC19" s="137"/>
      <c r="AD19" s="136">
        <f t="shared" si="7"/>
        <v>0.39212352090390246</v>
      </c>
      <c r="AE19" s="137"/>
      <c r="AF19" s="136">
        <f t="shared" si="8"/>
        <v>-0.60787647909609754</v>
      </c>
    </row>
    <row r="20" spans="1:32" s="63" customFormat="1" ht="54.95" customHeight="1" x14ac:dyDescent="0.85">
      <c r="A20" s="121" t="s">
        <v>220</v>
      </c>
      <c r="B20" s="134">
        <f>CNT!N112+CNT!N122</f>
        <v>5687690.9700000007</v>
      </c>
      <c r="C20" s="134">
        <f>0</f>
        <v>0</v>
      </c>
      <c r="D20" s="134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f t="shared" si="0"/>
        <v>5687690.9700000007</v>
      </c>
      <c r="J20" s="135">
        <f t="shared" si="1"/>
        <v>1.3096757330820698E-3</v>
      </c>
      <c r="K20" s="135"/>
      <c r="L20" s="122" t="s">
        <v>220</v>
      </c>
      <c r="M20" s="134">
        <f>1586369+-4425</f>
        <v>1581944</v>
      </c>
      <c r="N20" s="134">
        <f>44398-2300</f>
        <v>42098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f t="shared" si="2"/>
        <v>1624042</v>
      </c>
      <c r="U20" s="136">
        <f t="shared" si="3"/>
        <v>5.5231321521687397E-4</v>
      </c>
      <c r="V20" s="122" t="s">
        <v>220</v>
      </c>
      <c r="W20" s="136"/>
      <c r="X20" s="137">
        <f t="shared" si="4"/>
        <v>5687690.9700000007</v>
      </c>
      <c r="Y20" s="136"/>
      <c r="Z20" s="137">
        <f t="shared" si="5"/>
        <v>1624042</v>
      </c>
      <c r="AA20" s="136"/>
      <c r="AB20" s="137">
        <f t="shared" si="6"/>
        <v>4063648.9700000007</v>
      </c>
      <c r="AC20" s="137"/>
      <c r="AD20" s="136">
        <f t="shared" si="7"/>
        <v>3.5021821911009696</v>
      </c>
      <c r="AE20" s="137"/>
      <c r="AF20" s="136">
        <f t="shared" si="8"/>
        <v>2.5021821911009696</v>
      </c>
    </row>
    <row r="21" spans="1:32" s="63" customFormat="1" ht="54.95" customHeight="1" x14ac:dyDescent="0.85">
      <c r="A21" s="121" t="s">
        <v>221</v>
      </c>
      <c r="B21" s="134">
        <f>CNT!N123+CNT!N125+CNT!N124+CNT!N126</f>
        <v>4232137.5199999996</v>
      </c>
      <c r="C21" s="134">
        <f>BPM!L12</f>
        <v>2039.82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f t="shared" si="0"/>
        <v>4234177.34</v>
      </c>
      <c r="J21" s="135">
        <f t="shared" si="1"/>
        <v>9.7498252647928009E-4</v>
      </c>
      <c r="K21" s="135"/>
      <c r="L21" s="122" t="s">
        <v>221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f t="shared" si="2"/>
        <v>0</v>
      </c>
      <c r="U21" s="136">
        <f t="shared" si="3"/>
        <v>0</v>
      </c>
      <c r="V21" s="122" t="s">
        <v>221</v>
      </c>
      <c r="W21" s="136"/>
      <c r="X21" s="137">
        <f t="shared" si="4"/>
        <v>4234177.34</v>
      </c>
      <c r="Y21" s="136"/>
      <c r="Z21" s="137">
        <f t="shared" si="5"/>
        <v>0</v>
      </c>
      <c r="AA21" s="136"/>
      <c r="AB21" s="137">
        <f t="shared" si="6"/>
        <v>4234177.34</v>
      </c>
      <c r="AC21" s="137"/>
      <c r="AD21" s="138">
        <v>0</v>
      </c>
      <c r="AE21" s="137"/>
      <c r="AF21" s="138">
        <v>0</v>
      </c>
    </row>
    <row r="22" spans="1:32" s="63" customFormat="1" ht="54.95" customHeight="1" x14ac:dyDescent="0.85">
      <c r="A22" s="121" t="s">
        <v>222</v>
      </c>
      <c r="B22" s="134">
        <f>CNT!N110+CNT!N111+CNT!N113+CNT!N114+CNT!N115+CNT!N109+CNT!N121</f>
        <v>818521.39999999991</v>
      </c>
      <c r="C22" s="134">
        <f>BPM!L14+BPM!L13</f>
        <v>2993841</v>
      </c>
      <c r="D22" s="134">
        <f>DEP!L17</f>
        <v>2882989.85</v>
      </c>
      <c r="E22" s="134">
        <v>0</v>
      </c>
      <c r="F22" s="134">
        <f>'BSC (Dome)'!L14</f>
        <v>562651.29</v>
      </c>
      <c r="G22" s="134">
        <v>0</v>
      </c>
      <c r="H22" s="134">
        <v>0</v>
      </c>
      <c r="I22" s="134">
        <f t="shared" si="0"/>
        <v>7258003.54</v>
      </c>
      <c r="J22" s="135">
        <f t="shared" si="1"/>
        <v>1.6712636388122467E-3</v>
      </c>
      <c r="K22" s="135"/>
      <c r="L22" s="122" t="s">
        <v>222</v>
      </c>
      <c r="M22" s="134">
        <f>415+1371970.41+20000+411037.18+54713.58+209664.2-1807.5</f>
        <v>2065992.8699999999</v>
      </c>
      <c r="N22" s="134">
        <f>192+57912.07+1431672.08</f>
        <v>1489776.1500000001</v>
      </c>
      <c r="O22" s="134">
        <f>1848547.18</f>
        <v>1848547.18</v>
      </c>
      <c r="P22" s="134">
        <v>0</v>
      </c>
      <c r="Q22" s="134">
        <v>612729.24</v>
      </c>
      <c r="R22" s="134">
        <v>0</v>
      </c>
      <c r="S22" s="134">
        <v>0</v>
      </c>
      <c r="T22" s="134">
        <f>SUM(M22:S22)</f>
        <v>6017045.4400000004</v>
      </c>
      <c r="U22" s="136">
        <f t="shared" si="3"/>
        <v>2.0463102019975038E-3</v>
      </c>
      <c r="V22" s="122" t="s">
        <v>222</v>
      </c>
      <c r="W22" s="136"/>
      <c r="X22" s="137">
        <f t="shared" si="4"/>
        <v>7258003.54</v>
      </c>
      <c r="Y22" s="136"/>
      <c r="Z22" s="137">
        <f t="shared" si="5"/>
        <v>6017045.4400000004</v>
      </c>
      <c r="AA22" s="136"/>
      <c r="AB22" s="137">
        <f t="shared" si="6"/>
        <v>1240958.0999999996</v>
      </c>
      <c r="AC22" s="137"/>
      <c r="AD22" s="136">
        <f t="shared" si="7"/>
        <v>1.2062404401586171</v>
      </c>
      <c r="AE22" s="137"/>
      <c r="AF22" s="136">
        <f t="shared" si="8"/>
        <v>0.20624044015861709</v>
      </c>
    </row>
    <row r="23" spans="1:32" s="63" customFormat="1" ht="54.95" customHeight="1" x14ac:dyDescent="0.85">
      <c r="A23" s="132" t="s">
        <v>223</v>
      </c>
      <c r="B23" s="139">
        <f>SUM(B16:B22)</f>
        <v>4267409148.0599999</v>
      </c>
      <c r="C23" s="139">
        <f>SUM(C16:C22)</f>
        <v>71969030.719999999</v>
      </c>
      <c r="D23" s="139">
        <f t="shared" ref="D23:H23" si="9">SUM(D16:D22)</f>
        <v>2882989.85</v>
      </c>
      <c r="E23" s="139">
        <f t="shared" si="9"/>
        <v>0</v>
      </c>
      <c r="F23" s="139">
        <f>SUM(F16:F22)</f>
        <v>562651.29</v>
      </c>
      <c r="G23" s="139">
        <f>SUM(G16:G22)</f>
        <v>0</v>
      </c>
      <c r="H23" s="139">
        <f t="shared" si="9"/>
        <v>0</v>
      </c>
      <c r="I23" s="139">
        <f t="shared" si="0"/>
        <v>4342823819.9200001</v>
      </c>
      <c r="J23" s="140">
        <f>SUM(J16:J22)</f>
        <v>0.99999999999999989</v>
      </c>
      <c r="K23" s="141"/>
      <c r="L23" s="133" t="s">
        <v>223</v>
      </c>
      <c r="M23" s="139">
        <f>SUM(M16:M22)</f>
        <v>2897362145</v>
      </c>
      <c r="N23" s="139">
        <f t="shared" ref="N23:S23" si="10">SUM(N16:N22)</f>
        <v>40613191.819999993</v>
      </c>
      <c r="O23" s="139">
        <f t="shared" si="10"/>
        <v>1848547.18</v>
      </c>
      <c r="P23" s="139">
        <f t="shared" si="10"/>
        <v>0</v>
      </c>
      <c r="Q23" s="139">
        <f>SUM(Q16:Q22)</f>
        <v>612729.24</v>
      </c>
      <c r="R23" s="139">
        <f>SUM(R16:R22)</f>
        <v>0</v>
      </c>
      <c r="S23" s="139">
        <f t="shared" si="10"/>
        <v>0</v>
      </c>
      <c r="T23" s="139">
        <f t="shared" si="2"/>
        <v>2940436613.2399998</v>
      </c>
      <c r="U23" s="142">
        <f>SUM(U16:U22)</f>
        <v>1</v>
      </c>
      <c r="V23" s="133" t="s">
        <v>223</v>
      </c>
      <c r="W23" s="143"/>
      <c r="X23" s="144">
        <f t="shared" si="4"/>
        <v>4342823819.9200001</v>
      </c>
      <c r="Y23" s="143"/>
      <c r="Z23" s="144">
        <f t="shared" si="5"/>
        <v>2940436613.2399998</v>
      </c>
      <c r="AA23" s="143"/>
      <c r="AB23" s="144">
        <f t="shared" si="6"/>
        <v>1402387206.6800003</v>
      </c>
      <c r="AC23" s="144"/>
      <c r="AD23" s="142">
        <f>I23/T23</f>
        <v>1.4769316231356342</v>
      </c>
      <c r="AE23" s="144"/>
      <c r="AF23" s="142">
        <f t="shared" si="8"/>
        <v>0.4769316231356342</v>
      </c>
    </row>
    <row r="24" spans="1:32" s="63" customFormat="1" ht="54.95" customHeight="1" x14ac:dyDescent="0.85">
      <c r="A24" s="121"/>
      <c r="B24" s="134"/>
      <c r="C24" s="134"/>
      <c r="D24" s="134"/>
      <c r="E24" s="134"/>
      <c r="F24" s="134"/>
      <c r="G24" s="134"/>
      <c r="H24" s="134"/>
      <c r="I24" s="134">
        <f t="shared" si="0"/>
        <v>0</v>
      </c>
      <c r="J24" s="122"/>
      <c r="K24" s="122"/>
      <c r="L24" s="122"/>
      <c r="M24" s="134"/>
      <c r="N24" s="134"/>
      <c r="O24" s="134"/>
      <c r="P24" s="134"/>
      <c r="Q24" s="134"/>
      <c r="R24" s="134"/>
      <c r="S24" s="134"/>
      <c r="T24" s="134">
        <f t="shared" si="2"/>
        <v>0</v>
      </c>
      <c r="U24" s="121"/>
      <c r="V24" s="122"/>
      <c r="W24" s="121"/>
      <c r="X24" s="137"/>
      <c r="Y24" s="121"/>
      <c r="Z24" s="137">
        <f t="shared" si="5"/>
        <v>0</v>
      </c>
      <c r="AA24" s="121"/>
      <c r="AB24" s="137"/>
      <c r="AC24" s="137"/>
      <c r="AD24" s="145"/>
      <c r="AE24" s="137"/>
      <c r="AF24" s="145"/>
    </row>
    <row r="25" spans="1:32" s="63" customFormat="1" ht="54.95" customHeight="1" x14ac:dyDescent="0.85">
      <c r="A25" s="132" t="s">
        <v>208</v>
      </c>
      <c r="B25" s="134"/>
      <c r="C25" s="134"/>
      <c r="D25" s="134"/>
      <c r="E25" s="134"/>
      <c r="F25" s="134"/>
      <c r="G25" s="134"/>
      <c r="H25" s="134"/>
      <c r="I25" s="134">
        <f t="shared" si="0"/>
        <v>0</v>
      </c>
      <c r="J25" s="122"/>
      <c r="K25" s="122"/>
      <c r="L25" s="133" t="s">
        <v>208</v>
      </c>
      <c r="M25" s="134"/>
      <c r="N25" s="134"/>
      <c r="O25" s="134"/>
      <c r="P25" s="134"/>
      <c r="Q25" s="134"/>
      <c r="R25" s="134"/>
      <c r="S25" s="134"/>
      <c r="T25" s="134">
        <f t="shared" si="2"/>
        <v>0</v>
      </c>
      <c r="U25" s="121"/>
      <c r="V25" s="133" t="s">
        <v>208</v>
      </c>
      <c r="W25" s="121"/>
      <c r="X25" s="137"/>
      <c r="Y25" s="121"/>
      <c r="Z25" s="137">
        <f t="shared" si="5"/>
        <v>0</v>
      </c>
      <c r="AA25" s="121"/>
      <c r="AB25" s="137"/>
      <c r="AC25" s="137"/>
      <c r="AD25" s="145"/>
      <c r="AE25" s="137"/>
      <c r="AF25" s="145"/>
    </row>
    <row r="26" spans="1:32" s="63" customFormat="1" ht="54.95" customHeight="1" x14ac:dyDescent="0.85">
      <c r="A26" s="121" t="s">
        <v>217</v>
      </c>
      <c r="B26" s="134">
        <f>CNT!N131+CNT!N136+CNT!N148+CNT!N152+CNT!N153+CNT!N157+CNT!N161+CNT!N168</f>
        <v>1088006998.04</v>
      </c>
      <c r="C26" s="134">
        <f>BPM!L20+BPM!L31</f>
        <v>64869903.729999997</v>
      </c>
      <c r="D26" s="134">
        <v>0</v>
      </c>
      <c r="E26" s="134">
        <v>0</v>
      </c>
      <c r="F26" s="134">
        <v>0</v>
      </c>
      <c r="G26" s="134">
        <v>0</v>
      </c>
      <c r="H26" s="134">
        <v>0</v>
      </c>
      <c r="I26" s="134">
        <f t="shared" si="0"/>
        <v>1152876901.77</v>
      </c>
      <c r="J26" s="135">
        <f>I26/$I$33</f>
        <v>0.26603127474613542</v>
      </c>
      <c r="K26" s="135"/>
      <c r="L26" s="122" t="s">
        <v>217</v>
      </c>
      <c r="M26" s="134">
        <f>1422726735.28+326838925.99+-2682630093.46+-327586303.8+2674843000.69+-644104.04+7022328.8</f>
        <v>1420570489.46</v>
      </c>
      <c r="N26" s="134">
        <f>30114586.5+606.81+14337.65</f>
        <v>30129530.959999997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f t="shared" si="2"/>
        <v>1450700020.4200001</v>
      </c>
      <c r="U26" s="136">
        <f>T26/$T$33</f>
        <v>0.4946494243254041</v>
      </c>
      <c r="V26" s="122" t="s">
        <v>217</v>
      </c>
      <c r="W26" s="136"/>
      <c r="X26" s="137">
        <f t="shared" si="4"/>
        <v>1152876901.77</v>
      </c>
      <c r="Y26" s="136"/>
      <c r="Z26" s="137">
        <f t="shared" si="5"/>
        <v>1450700020.4200001</v>
      </c>
      <c r="AA26" s="136"/>
      <c r="AB26" s="137">
        <f>I26-T26</f>
        <v>-297823118.6500001</v>
      </c>
      <c r="AC26" s="137"/>
      <c r="AD26" s="136">
        <f>I26/T26</f>
        <v>0.79470385713252023</v>
      </c>
      <c r="AE26" s="137"/>
      <c r="AF26" s="136">
        <f t="shared" si="8"/>
        <v>-0.20529614286747977</v>
      </c>
    </row>
    <row r="27" spans="1:32" s="63" customFormat="1" ht="54.95" customHeight="1" x14ac:dyDescent="0.85">
      <c r="A27" s="121" t="s">
        <v>218</v>
      </c>
      <c r="B27" s="134">
        <f>CNT!N132+CNT!N137+CNT!N149+CNT!N154+CNT!N158+CNT!N162+CNT!N165+CNT!N169</f>
        <v>3151774965.2499995</v>
      </c>
      <c r="C27" s="134">
        <f>BPM!L21+BPM!L32</f>
        <v>3265280.71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f t="shared" si="0"/>
        <v>3155040245.9599996</v>
      </c>
      <c r="J27" s="135">
        <f t="shared" ref="J27:J32" si="11">I27/$I$33</f>
        <v>0.72803902760083949</v>
      </c>
      <c r="K27" s="135"/>
      <c r="L27" s="122" t="s">
        <v>218</v>
      </c>
      <c r="M27" s="134">
        <f>1401642927.31+759572466.01+-757140276.82+7901399487.06+616723.4+-7898596852.51+-2795238.64</f>
        <v>1404699235.8099988</v>
      </c>
      <c r="N27" s="134">
        <f>6561408.29+156.76+-92990.65</f>
        <v>6468574.3999999994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f t="shared" si="2"/>
        <v>1411167810.2099988</v>
      </c>
      <c r="U27" s="136">
        <f t="shared" ref="U27:U32" si="12">T27/$T$33</f>
        <v>0.48117001111285956</v>
      </c>
      <c r="V27" s="122" t="s">
        <v>218</v>
      </c>
      <c r="W27" s="136"/>
      <c r="X27" s="137">
        <f t="shared" si="4"/>
        <v>3155040245.9599996</v>
      </c>
      <c r="Y27" s="136"/>
      <c r="Z27" s="137">
        <f t="shared" si="5"/>
        <v>1411167810.2099988</v>
      </c>
      <c r="AA27" s="136"/>
      <c r="AB27" s="137">
        <f t="shared" ref="AB27:AB32" si="13">I27-T27</f>
        <v>1743872435.7500007</v>
      </c>
      <c r="AC27" s="137"/>
      <c r="AD27" s="136">
        <f t="shared" ref="AD27:AD32" si="14">I27/T27</f>
        <v>2.2357654583195825</v>
      </c>
      <c r="AE27" s="137"/>
      <c r="AF27" s="136">
        <f t="shared" si="8"/>
        <v>1.2357654583195825</v>
      </c>
    </row>
    <row r="28" spans="1:32" s="63" customFormat="1" ht="54.95" customHeight="1" x14ac:dyDescent="0.85">
      <c r="A28" s="121" t="s">
        <v>219</v>
      </c>
      <c r="B28" s="134">
        <f>CNT!N133+CNT!N138+CNT!N150+CNT!N155+CNT!N159+CNT!N163+CNT!N167+CNT!N170</f>
        <v>12797013.260000004</v>
      </c>
      <c r="C28" s="134">
        <f>BPM!L22+BPM!L33</f>
        <v>312230.91000000003</v>
      </c>
      <c r="D28" s="134">
        <v>0</v>
      </c>
      <c r="E28" s="134">
        <v>0</v>
      </c>
      <c r="F28" s="134">
        <v>0</v>
      </c>
      <c r="G28" s="134">
        <v>0</v>
      </c>
      <c r="H28" s="134">
        <v>0</v>
      </c>
      <c r="I28" s="134">
        <f t="shared" si="0"/>
        <v>13109244.170000004</v>
      </c>
      <c r="J28" s="135">
        <f t="shared" si="11"/>
        <v>3.0250141469129704E-3</v>
      </c>
      <c r="K28" s="135"/>
      <c r="L28" s="122" t="s">
        <v>219</v>
      </c>
      <c r="M28" s="134">
        <f>20903294.2+6151280+-6244582.5+7022272.65+-16917.59+-7116883.5+-85064.93</f>
        <v>20613398.330000002</v>
      </c>
      <c r="N28" s="134">
        <f>1872112.77+2641.2</f>
        <v>1874753.97</v>
      </c>
      <c r="O28" s="134">
        <v>0</v>
      </c>
      <c r="P28" s="134">
        <v>0</v>
      </c>
      <c r="Q28" s="134">
        <v>0</v>
      </c>
      <c r="R28" s="134">
        <v>0</v>
      </c>
      <c r="S28" s="134">
        <v>0</v>
      </c>
      <c r="T28" s="134">
        <f t="shared" si="2"/>
        <v>22488152.300000001</v>
      </c>
      <c r="U28" s="136">
        <f t="shared" si="12"/>
        <v>7.6678509910798201E-3</v>
      </c>
      <c r="V28" s="122" t="s">
        <v>219</v>
      </c>
      <c r="W28" s="136"/>
      <c r="X28" s="137">
        <f t="shared" si="4"/>
        <v>13109244.170000004</v>
      </c>
      <c r="Y28" s="136"/>
      <c r="Z28" s="137">
        <f t="shared" si="5"/>
        <v>22488152.300000001</v>
      </c>
      <c r="AA28" s="136"/>
      <c r="AB28" s="137">
        <f>I28-T28</f>
        <v>-9378908.1299999971</v>
      </c>
      <c r="AC28" s="137"/>
      <c r="AD28" s="136">
        <f t="shared" si="14"/>
        <v>0.58294002971511372</v>
      </c>
      <c r="AE28" s="137"/>
      <c r="AF28" s="136">
        <f t="shared" si="8"/>
        <v>-0.41705997028488628</v>
      </c>
    </row>
    <row r="29" spans="1:32" s="63" customFormat="1" ht="54.95" customHeight="1" x14ac:dyDescent="0.85">
      <c r="A29" s="121" t="s">
        <v>424</v>
      </c>
      <c r="B29" s="134">
        <f>CNT!N134+CNT!N139+CNT!N151+CNT!N156+CNT!N160+CNT!N164+CNT!N171+CNT!N172</f>
        <v>14872257.150000002</v>
      </c>
      <c r="C29" s="134">
        <f>BPM!L23</f>
        <v>13142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f t="shared" si="0"/>
        <v>14885399.150000002</v>
      </c>
      <c r="J29" s="135">
        <f t="shared" si="11"/>
        <v>3.4348695033266973E-3</v>
      </c>
      <c r="K29" s="135"/>
      <c r="L29" s="122" t="s">
        <v>424</v>
      </c>
      <c r="M29" s="134">
        <f>36634515.91+153873.75+-157755+5387724.63+-100529.97+1022767.44+-5758878.23</f>
        <v>37181718.530000001</v>
      </c>
      <c r="N29" s="134">
        <f>11092.65+-65</f>
        <v>11027.65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f t="shared" si="2"/>
        <v>37192746.18</v>
      </c>
      <c r="U29" s="136">
        <f t="shared" si="12"/>
        <v>1.2681719327260746E-2</v>
      </c>
      <c r="V29" s="122" t="s">
        <v>424</v>
      </c>
      <c r="W29" s="136"/>
      <c r="X29" s="137">
        <f t="shared" si="4"/>
        <v>14885399.150000002</v>
      </c>
      <c r="Y29" s="136"/>
      <c r="Z29" s="137">
        <f t="shared" si="5"/>
        <v>37192746.18</v>
      </c>
      <c r="AA29" s="136"/>
      <c r="AB29" s="137">
        <f t="shared" si="13"/>
        <v>-22307347.029999997</v>
      </c>
      <c r="AC29" s="137"/>
      <c r="AD29" s="136">
        <f t="shared" si="14"/>
        <v>0.40022318002440127</v>
      </c>
      <c r="AE29" s="137"/>
      <c r="AF29" s="136">
        <f t="shared" si="8"/>
        <v>-0.59977681997559873</v>
      </c>
    </row>
    <row r="30" spans="1:32" s="63" customFormat="1" ht="54.95" customHeight="1" x14ac:dyDescent="0.85">
      <c r="A30" s="121" t="s">
        <v>220</v>
      </c>
      <c r="B30" s="134">
        <f>CNT!N135+CNT!N142+CNT!N166+CNT!N177</f>
        <v>5525253.3999999994</v>
      </c>
      <c r="C30" s="134">
        <f>0</f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f t="shared" si="0"/>
        <v>5525253.3999999994</v>
      </c>
      <c r="J30" s="135">
        <f t="shared" si="11"/>
        <v>1.2749758478469916E-3</v>
      </c>
      <c r="K30" s="135"/>
      <c r="L30" s="122" t="s">
        <v>220</v>
      </c>
      <c r="M30" s="134">
        <f>1495732.19+24000</f>
        <v>1519732.19</v>
      </c>
      <c r="N30" s="134">
        <f>39388+168</f>
        <v>39556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f t="shared" si="2"/>
        <v>1559288.19</v>
      </c>
      <c r="U30" s="136">
        <f t="shared" si="12"/>
        <v>5.3167504975811452E-4</v>
      </c>
      <c r="V30" s="122" t="s">
        <v>220</v>
      </c>
      <c r="W30" s="136"/>
      <c r="X30" s="137">
        <f t="shared" si="4"/>
        <v>5525253.3999999994</v>
      </c>
      <c r="Y30" s="136"/>
      <c r="Z30" s="137">
        <f t="shared" si="5"/>
        <v>1559288.19</v>
      </c>
      <c r="AA30" s="136"/>
      <c r="AB30" s="137">
        <f t="shared" si="13"/>
        <v>3965965.2099999995</v>
      </c>
      <c r="AC30" s="137"/>
      <c r="AD30" s="136">
        <f t="shared" si="14"/>
        <v>3.5434459360588115</v>
      </c>
      <c r="AE30" s="137"/>
      <c r="AF30" s="136">
        <f t="shared" si="8"/>
        <v>2.5434459360588115</v>
      </c>
    </row>
    <row r="31" spans="1:32" s="63" customFormat="1" ht="54.95" customHeight="1" x14ac:dyDescent="0.85">
      <c r="A31" s="121" t="s">
        <v>221</v>
      </c>
      <c r="B31" s="134">
        <f>CNT!N188+CNT!N189+CNT!N190+CNT!N191+CNT!N192+CNT!N193+CNT!N194+CNT!N195</f>
        <v>4091761.1899999995</v>
      </c>
      <c r="C31" s="134">
        <f>BPM!L25</f>
        <v>916.55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f t="shared" si="0"/>
        <v>4092677.7399999993</v>
      </c>
      <c r="J31" s="135">
        <f t="shared" si="11"/>
        <v>9.4440288865683692E-4</v>
      </c>
      <c r="K31" s="135"/>
      <c r="L31" s="122" t="s">
        <v>221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f t="shared" si="2"/>
        <v>0</v>
      </c>
      <c r="U31" s="136">
        <f t="shared" si="12"/>
        <v>0</v>
      </c>
      <c r="V31" s="122" t="s">
        <v>221</v>
      </c>
      <c r="W31" s="136"/>
      <c r="X31" s="137">
        <f t="shared" si="4"/>
        <v>4092677.7399999993</v>
      </c>
      <c r="Y31" s="136"/>
      <c r="Z31" s="137">
        <f t="shared" si="5"/>
        <v>0</v>
      </c>
      <c r="AA31" s="136"/>
      <c r="AB31" s="137">
        <f t="shared" si="13"/>
        <v>4092677.7399999993</v>
      </c>
      <c r="AC31" s="137"/>
      <c r="AD31" s="138">
        <v>0</v>
      </c>
      <c r="AE31" s="137"/>
      <c r="AF31" s="138">
        <v>0</v>
      </c>
    </row>
    <row r="32" spans="1:32" s="63" customFormat="1" ht="54.95" customHeight="1" x14ac:dyDescent="0.85">
      <c r="A32" s="121" t="s">
        <v>222</v>
      </c>
      <c r="B32" s="134">
        <f>CNT!N129+CNT!N140+CNT!N141+CNT!N143+CNT!N146+CNT!N147+CNT!N176+CNT!N174+CNT!N175+CNT!N178+CNT!N179+CNT!N180+CNT!N181+CNT!N182+CNT!N183+CNT!N184+CNT!N185+CNT!N186+CNT!N187+CNT!N173</f>
        <v>-14741825.57</v>
      </c>
      <c r="C32" s="134">
        <f>BPM!L24+BPM!L26+BPM!L27+BPM!L28+BPM!L29+BPM!L30+BPM!L34+BPM!L35</f>
        <v>2468999.2800000003</v>
      </c>
      <c r="D32" s="134">
        <f>DEP!L23</f>
        <v>355625.38000000006</v>
      </c>
      <c r="E32" s="134">
        <v>0</v>
      </c>
      <c r="F32" s="134">
        <f>'BSC (Dome)'!L18</f>
        <v>1648.2199999999998</v>
      </c>
      <c r="G32" s="134">
        <v>0</v>
      </c>
      <c r="H32" s="134">
        <v>0</v>
      </c>
      <c r="I32" s="134">
        <f t="shared" si="0"/>
        <v>-11915552.689999998</v>
      </c>
      <c r="J32" s="135">
        <f t="shared" si="11"/>
        <v>-2.7495647337185025E-3</v>
      </c>
      <c r="K32" s="135"/>
      <c r="L32" s="122" t="s">
        <v>222</v>
      </c>
      <c r="M32" s="134">
        <f>-23556.18+60.6+1244516.39+1458333.87+42225.5+1250+9+61264.58+217187.47+4567386.41+261116.73+4852+28557.75+138949.05+272.72+-12775.54+651.51-377.5</f>
        <v>7989924.3600000003</v>
      </c>
      <c r="N32" s="134">
        <f>57565.44+219591.36+2364.42+2936.98+820.8+732582.23+415445.94</f>
        <v>1431307.17</v>
      </c>
      <c r="O32" s="134">
        <v>253892.94</v>
      </c>
      <c r="P32" s="134">
        <v>0</v>
      </c>
      <c r="Q32" s="134">
        <v>1066.76</v>
      </c>
      <c r="R32" s="134">
        <v>0</v>
      </c>
      <c r="S32" s="134">
        <v>0</v>
      </c>
      <c r="T32" s="134">
        <f t="shared" si="2"/>
        <v>9676191.2300000004</v>
      </c>
      <c r="U32" s="136">
        <f t="shared" si="12"/>
        <v>3.2993191936375034E-3</v>
      </c>
      <c r="V32" s="122" t="s">
        <v>222</v>
      </c>
      <c r="W32" s="136"/>
      <c r="X32" s="137">
        <f t="shared" si="4"/>
        <v>-11915552.689999998</v>
      </c>
      <c r="Y32" s="136"/>
      <c r="Z32" s="137">
        <f t="shared" si="5"/>
        <v>9676191.2300000004</v>
      </c>
      <c r="AA32" s="136"/>
      <c r="AB32" s="137">
        <f t="shared" si="13"/>
        <v>-21591743.919999998</v>
      </c>
      <c r="AC32" s="137"/>
      <c r="AD32" s="136">
        <f t="shared" si="14"/>
        <v>-1.2314300541164478</v>
      </c>
      <c r="AE32" s="137"/>
      <c r="AF32" s="136">
        <f t="shared" si="8"/>
        <v>-2.2314300541164478</v>
      </c>
    </row>
    <row r="33" spans="1:32" s="63" customFormat="1" ht="54.95" customHeight="1" x14ac:dyDescent="0.85">
      <c r="A33" s="132" t="s">
        <v>224</v>
      </c>
      <c r="B33" s="139">
        <f>SUM(B26:B32)</f>
        <v>4262326422.7199998</v>
      </c>
      <c r="C33" s="139">
        <f t="shared" ref="C33:H33" si="15">SUM(C26:C32)</f>
        <v>70930473.179999992</v>
      </c>
      <c r="D33" s="139">
        <f t="shared" si="15"/>
        <v>355625.38000000006</v>
      </c>
      <c r="E33" s="139">
        <f t="shared" si="15"/>
        <v>0</v>
      </c>
      <c r="F33" s="139">
        <f>SUM(F26:F32)</f>
        <v>1648.2199999999998</v>
      </c>
      <c r="G33" s="139">
        <f>SUM(G26:G32)</f>
        <v>0</v>
      </c>
      <c r="H33" s="139">
        <f t="shared" si="15"/>
        <v>0</v>
      </c>
      <c r="I33" s="139">
        <f t="shared" si="0"/>
        <v>4333614169.5</v>
      </c>
      <c r="J33" s="140">
        <f>SUM(J26:J32)</f>
        <v>0.99999999999999989</v>
      </c>
      <c r="K33" s="141"/>
      <c r="L33" s="133" t="s">
        <v>224</v>
      </c>
      <c r="M33" s="139">
        <f>SUM(M26:M32)</f>
        <v>2892574498.6799989</v>
      </c>
      <c r="N33" s="139">
        <f t="shared" ref="N33:S33" si="16">SUM(N26:N32)</f>
        <v>39954750.149999999</v>
      </c>
      <c r="O33" s="139">
        <f t="shared" si="16"/>
        <v>253892.94</v>
      </c>
      <c r="P33" s="139">
        <f t="shared" si="16"/>
        <v>0</v>
      </c>
      <c r="Q33" s="139">
        <f>SUM(Q26:Q32)</f>
        <v>1066.76</v>
      </c>
      <c r="R33" s="139">
        <f>SUM(R26:R32)</f>
        <v>0</v>
      </c>
      <c r="S33" s="139">
        <f t="shared" si="16"/>
        <v>0</v>
      </c>
      <c r="T33" s="139">
        <f t="shared" si="2"/>
        <v>2932784208.5299993</v>
      </c>
      <c r="U33" s="142">
        <f>SUM(U26:U32)</f>
        <v>0.99999999999999978</v>
      </c>
      <c r="V33" s="133" t="s">
        <v>224</v>
      </c>
      <c r="W33" s="143"/>
      <c r="X33" s="144">
        <f t="shared" si="4"/>
        <v>4333614169.5</v>
      </c>
      <c r="Y33" s="143"/>
      <c r="Z33" s="144">
        <f t="shared" si="5"/>
        <v>2932784208.5299993</v>
      </c>
      <c r="AA33" s="143"/>
      <c r="AB33" s="144">
        <f>SUM(AB26:AB32)</f>
        <v>1400829960.9700005</v>
      </c>
      <c r="AC33" s="144"/>
      <c r="AD33" s="142">
        <f>I33/T33</f>
        <v>1.477645084454454</v>
      </c>
      <c r="AE33" s="144"/>
      <c r="AF33" s="142">
        <f t="shared" si="8"/>
        <v>0.47764508445445397</v>
      </c>
    </row>
    <row r="34" spans="1:32" s="63" customFormat="1" ht="54.95" customHeight="1" x14ac:dyDescent="0.85">
      <c r="A34" s="121"/>
      <c r="B34" s="134"/>
      <c r="C34" s="134"/>
      <c r="D34" s="134"/>
      <c r="E34" s="134"/>
      <c r="F34" s="134"/>
      <c r="G34" s="134"/>
      <c r="H34" s="134"/>
      <c r="I34" s="134"/>
      <c r="J34" s="122"/>
      <c r="K34" s="122"/>
      <c r="L34" s="122"/>
      <c r="M34" s="134"/>
      <c r="N34" s="134"/>
      <c r="O34" s="134"/>
      <c r="P34" s="134"/>
      <c r="Q34" s="134"/>
      <c r="R34" s="134"/>
      <c r="S34" s="134"/>
      <c r="T34" s="134"/>
      <c r="U34" s="121"/>
      <c r="V34" s="122"/>
      <c r="W34" s="121"/>
      <c r="X34" s="137"/>
      <c r="Y34" s="121"/>
      <c r="Z34" s="137"/>
      <c r="AA34" s="121"/>
      <c r="AB34" s="137"/>
      <c r="AC34" s="137"/>
      <c r="AD34" s="136"/>
      <c r="AE34" s="137"/>
      <c r="AF34" s="136"/>
    </row>
    <row r="35" spans="1:32" s="63" customFormat="1" ht="54.95" customHeight="1" thickBot="1" x14ac:dyDescent="0.9">
      <c r="A35" s="132" t="s">
        <v>211</v>
      </c>
      <c r="B35" s="146">
        <f>B23-B33</f>
        <v>5082725.3400001526</v>
      </c>
      <c r="C35" s="146">
        <f t="shared" ref="C35:H35" si="17">C23-C33</f>
        <v>1038557.5400000066</v>
      </c>
      <c r="D35" s="146">
        <f t="shared" si="17"/>
        <v>2527364.4700000002</v>
      </c>
      <c r="E35" s="146">
        <f t="shared" si="17"/>
        <v>0</v>
      </c>
      <c r="F35" s="146">
        <f>F23-F33</f>
        <v>561003.07000000007</v>
      </c>
      <c r="G35" s="146">
        <f>G23-G33</f>
        <v>0</v>
      </c>
      <c r="H35" s="146">
        <f t="shared" si="17"/>
        <v>0</v>
      </c>
      <c r="I35" s="146">
        <f t="shared" si="0"/>
        <v>9209650.4200001601</v>
      </c>
      <c r="J35" s="122"/>
      <c r="K35" s="122"/>
      <c r="L35" s="133" t="s">
        <v>211</v>
      </c>
      <c r="M35" s="146">
        <f>M23-M33</f>
        <v>4787646.3200011253</v>
      </c>
      <c r="N35" s="146">
        <f t="shared" ref="N35:S35" si="18">N23-N33</f>
        <v>658441.66999999434</v>
      </c>
      <c r="O35" s="146">
        <f t="shared" si="18"/>
        <v>1594654.24</v>
      </c>
      <c r="P35" s="146">
        <f t="shared" si="18"/>
        <v>0</v>
      </c>
      <c r="Q35" s="146">
        <f>Q23-Q33</f>
        <v>611662.48</v>
      </c>
      <c r="R35" s="146">
        <f>R23-R33</f>
        <v>0</v>
      </c>
      <c r="S35" s="146">
        <f t="shared" si="18"/>
        <v>0</v>
      </c>
      <c r="T35" s="146">
        <f t="shared" si="2"/>
        <v>7652404.7100011203</v>
      </c>
      <c r="U35" s="121"/>
      <c r="V35" s="133" t="s">
        <v>211</v>
      </c>
      <c r="W35" s="121"/>
      <c r="X35" s="147">
        <f t="shared" si="4"/>
        <v>9209650.4200001601</v>
      </c>
      <c r="Y35" s="121"/>
      <c r="Z35" s="147">
        <f t="shared" si="5"/>
        <v>7652404.7100011203</v>
      </c>
      <c r="AA35" s="121"/>
      <c r="AB35" s="147">
        <f>I35-T35</f>
        <v>1557245.7099990398</v>
      </c>
      <c r="AC35" s="147"/>
      <c r="AD35" s="148">
        <f>I35/T35</f>
        <v>1.2034975630554192</v>
      </c>
      <c r="AE35" s="147"/>
      <c r="AF35" s="148">
        <f t="shared" si="8"/>
        <v>0.20349756305541922</v>
      </c>
    </row>
    <row r="36" spans="1:32" s="63" customFormat="1" ht="54.95" customHeight="1" x14ac:dyDescent="0.85">
      <c r="A36" s="121"/>
      <c r="B36" s="134"/>
      <c r="C36" s="134"/>
      <c r="D36" s="134"/>
      <c r="E36" s="134"/>
      <c r="F36" s="134"/>
      <c r="G36" s="134"/>
      <c r="H36" s="134"/>
      <c r="I36" s="134">
        <f t="shared" si="0"/>
        <v>0</v>
      </c>
      <c r="J36" s="122"/>
      <c r="K36" s="122"/>
      <c r="L36" s="122"/>
      <c r="M36" s="134"/>
      <c r="N36" s="134"/>
      <c r="O36" s="134"/>
      <c r="P36" s="134"/>
      <c r="Q36" s="134"/>
      <c r="R36" s="134"/>
      <c r="S36" s="134"/>
      <c r="T36" s="134">
        <f t="shared" si="2"/>
        <v>0</v>
      </c>
      <c r="U36" s="121"/>
      <c r="V36" s="122"/>
      <c r="W36" s="121"/>
      <c r="X36" s="137"/>
      <c r="Y36" s="121"/>
      <c r="Z36" s="137">
        <f t="shared" si="5"/>
        <v>0</v>
      </c>
      <c r="AA36" s="121"/>
      <c r="AB36" s="137"/>
      <c r="AC36" s="137"/>
      <c r="AD36" s="145"/>
      <c r="AE36" s="137"/>
      <c r="AF36" s="145"/>
    </row>
    <row r="37" spans="1:32" s="63" customFormat="1" ht="54.95" customHeight="1" x14ac:dyDescent="0.85">
      <c r="A37" s="132" t="s">
        <v>209</v>
      </c>
      <c r="B37" s="134"/>
      <c r="C37" s="134"/>
      <c r="D37" s="134"/>
      <c r="E37" s="134"/>
      <c r="F37" s="134"/>
      <c r="G37" s="134"/>
      <c r="H37" s="134"/>
      <c r="I37" s="134">
        <f t="shared" si="0"/>
        <v>0</v>
      </c>
      <c r="J37" s="122"/>
      <c r="K37" s="122"/>
      <c r="L37" s="133" t="s">
        <v>209</v>
      </c>
      <c r="M37" s="134"/>
      <c r="N37" s="134"/>
      <c r="O37" s="134"/>
      <c r="P37" s="134"/>
      <c r="Q37" s="134"/>
      <c r="R37" s="134"/>
      <c r="S37" s="134"/>
      <c r="T37" s="134">
        <f t="shared" si="2"/>
        <v>0</v>
      </c>
      <c r="U37" s="121"/>
      <c r="V37" s="133" t="s">
        <v>209</v>
      </c>
      <c r="W37" s="121"/>
      <c r="X37" s="137"/>
      <c r="Y37" s="121"/>
      <c r="Z37" s="137">
        <f t="shared" si="5"/>
        <v>0</v>
      </c>
      <c r="AA37" s="121"/>
      <c r="AB37" s="137"/>
      <c r="AC37" s="137"/>
      <c r="AD37" s="145"/>
      <c r="AE37" s="137"/>
      <c r="AF37" s="145"/>
    </row>
    <row r="38" spans="1:32" s="63" customFormat="1" ht="54.95" customHeight="1" x14ac:dyDescent="0.85">
      <c r="A38" s="121"/>
      <c r="B38" s="134"/>
      <c r="C38" s="134"/>
      <c r="D38" s="134"/>
      <c r="E38" s="134"/>
      <c r="F38" s="134"/>
      <c r="G38" s="134"/>
      <c r="H38" s="134"/>
      <c r="I38" s="134">
        <f t="shared" si="0"/>
        <v>0</v>
      </c>
      <c r="J38" s="122"/>
      <c r="K38" s="122"/>
      <c r="L38" s="122"/>
      <c r="M38" s="134"/>
      <c r="N38" s="134"/>
      <c r="O38" s="134"/>
      <c r="P38" s="134"/>
      <c r="Q38" s="134"/>
      <c r="R38" s="134"/>
      <c r="S38" s="134"/>
      <c r="T38" s="134">
        <f t="shared" si="2"/>
        <v>0</v>
      </c>
      <c r="U38" s="121"/>
      <c r="V38" s="122"/>
      <c r="W38" s="121"/>
      <c r="X38" s="137"/>
      <c r="Y38" s="121"/>
      <c r="Z38" s="137">
        <f t="shared" si="5"/>
        <v>0</v>
      </c>
      <c r="AA38" s="121"/>
      <c r="AB38" s="137"/>
      <c r="AC38" s="137"/>
      <c r="AD38" s="145"/>
      <c r="AE38" s="137"/>
      <c r="AF38" s="145"/>
    </row>
    <row r="39" spans="1:32" s="63" customFormat="1" ht="54.95" customHeight="1" x14ac:dyDescent="0.85">
      <c r="A39" s="132" t="s">
        <v>225</v>
      </c>
      <c r="B39" s="134"/>
      <c r="C39" s="134"/>
      <c r="D39" s="134"/>
      <c r="E39" s="134"/>
      <c r="F39" s="134"/>
      <c r="G39" s="134"/>
      <c r="H39" s="134"/>
      <c r="I39" s="134">
        <f t="shared" si="0"/>
        <v>0</v>
      </c>
      <c r="J39" s="122"/>
      <c r="K39" s="122"/>
      <c r="L39" s="133" t="s">
        <v>225</v>
      </c>
      <c r="M39" s="134"/>
      <c r="N39" s="134"/>
      <c r="O39" s="134"/>
      <c r="P39" s="134"/>
      <c r="Q39" s="134"/>
      <c r="R39" s="134"/>
      <c r="S39" s="134"/>
      <c r="T39" s="134">
        <f t="shared" si="2"/>
        <v>0</v>
      </c>
      <c r="U39" s="121"/>
      <c r="V39" s="133" t="s">
        <v>225</v>
      </c>
      <c r="W39" s="121"/>
      <c r="X39" s="137"/>
      <c r="Y39" s="121"/>
      <c r="Z39" s="137">
        <f t="shared" si="5"/>
        <v>0</v>
      </c>
      <c r="AA39" s="121"/>
      <c r="AB39" s="137"/>
      <c r="AC39" s="137"/>
      <c r="AD39" s="145"/>
      <c r="AE39" s="137"/>
      <c r="AF39" s="145"/>
    </row>
    <row r="40" spans="1:32" s="63" customFormat="1" ht="54.95" customHeight="1" x14ac:dyDescent="0.85">
      <c r="A40" s="121" t="s">
        <v>226</v>
      </c>
      <c r="B40" s="134">
        <f>CNT!N199</f>
        <v>2092743.11</v>
      </c>
      <c r="C40" s="134">
        <f>BPM!L43</f>
        <v>538580.85</v>
      </c>
      <c r="D40" s="134">
        <f>DEP!L29</f>
        <v>639661.62</v>
      </c>
      <c r="E40" s="134">
        <v>0</v>
      </c>
      <c r="F40" s="134">
        <f>'BSC (Dome)'!L24+'BSC (Dome)'!L31</f>
        <v>243744.91999999998</v>
      </c>
      <c r="G40" s="134">
        <v>0</v>
      </c>
      <c r="H40" s="134">
        <v>0</v>
      </c>
      <c r="I40" s="134">
        <f t="shared" si="0"/>
        <v>3514730.5</v>
      </c>
      <c r="J40" s="135">
        <f>I40/$I$49</f>
        <v>0.79981006160700463</v>
      </c>
      <c r="K40" s="135"/>
      <c r="L40" s="122" t="s">
        <v>226</v>
      </c>
      <c r="M40" s="134">
        <v>3191352.84</v>
      </c>
      <c r="N40" s="134">
        <v>0</v>
      </c>
      <c r="O40" s="134">
        <v>120417.37</v>
      </c>
      <c r="P40" s="134">
        <v>0</v>
      </c>
      <c r="Q40" s="134">
        <f>196841.37+47870</f>
        <v>244711.37</v>
      </c>
      <c r="R40" s="134">
        <v>0</v>
      </c>
      <c r="S40" s="134">
        <v>0</v>
      </c>
      <c r="T40" s="134">
        <f t="shared" si="2"/>
        <v>3556481.58</v>
      </c>
      <c r="U40" s="136">
        <f>T40/$T$49</f>
        <v>0.77291474931092563</v>
      </c>
      <c r="V40" s="122" t="s">
        <v>226</v>
      </c>
      <c r="W40" s="136"/>
      <c r="X40" s="137">
        <f t="shared" si="4"/>
        <v>3514730.5</v>
      </c>
      <c r="Y40" s="136"/>
      <c r="Z40" s="137">
        <f t="shared" si="5"/>
        <v>3556481.58</v>
      </c>
      <c r="AA40" s="136"/>
      <c r="AB40" s="137">
        <f>I40-T40</f>
        <v>-41751.080000000075</v>
      </c>
      <c r="AC40" s="137"/>
      <c r="AD40" s="136">
        <f>I40/T40</f>
        <v>0.98826056621949376</v>
      </c>
      <c r="AE40" s="137"/>
      <c r="AF40" s="136">
        <f t="shared" si="8"/>
        <v>-1.1739433780506237E-2</v>
      </c>
    </row>
    <row r="41" spans="1:32" s="63" customFormat="1" ht="54.95" customHeight="1" x14ac:dyDescent="0.85">
      <c r="A41" s="121" t="s">
        <v>227</v>
      </c>
      <c r="B41" s="134">
        <f>CNT!N201</f>
        <v>30105</v>
      </c>
      <c r="C41" s="134">
        <v>0</v>
      </c>
      <c r="D41" s="134">
        <v>0</v>
      </c>
      <c r="E41" s="134">
        <v>0</v>
      </c>
      <c r="F41" s="134">
        <v>0</v>
      </c>
      <c r="G41" s="134">
        <v>0</v>
      </c>
      <c r="H41" s="134">
        <v>0</v>
      </c>
      <c r="I41" s="134">
        <f t="shared" si="0"/>
        <v>30105</v>
      </c>
      <c r="J41" s="135">
        <f t="shared" ref="J41:J48" si="19">I41/$I$49</f>
        <v>6.8506765752534586E-3</v>
      </c>
      <c r="K41" s="135"/>
      <c r="L41" s="122" t="s">
        <v>227</v>
      </c>
      <c r="M41" s="134">
        <v>35293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f t="shared" si="2"/>
        <v>35293</v>
      </c>
      <c r="U41" s="136">
        <f t="shared" ref="U41:U48" si="20">T41/$T$49</f>
        <v>7.6700749417154294E-3</v>
      </c>
      <c r="V41" s="122" t="s">
        <v>227</v>
      </c>
      <c r="W41" s="136"/>
      <c r="X41" s="137">
        <f t="shared" si="4"/>
        <v>30105</v>
      </c>
      <c r="Y41" s="136"/>
      <c r="Z41" s="137">
        <f t="shared" si="5"/>
        <v>35293</v>
      </c>
      <c r="AA41" s="136"/>
      <c r="AB41" s="137">
        <f t="shared" ref="AB41:AB48" si="21">I41-T41</f>
        <v>-5188</v>
      </c>
      <c r="AC41" s="137"/>
      <c r="AD41" s="136">
        <f t="shared" ref="AD41:AD48" si="22">I41/T41</f>
        <v>0.85300201173037149</v>
      </c>
      <c r="AE41" s="137"/>
      <c r="AF41" s="136">
        <f t="shared" si="8"/>
        <v>-0.14699798826962851</v>
      </c>
    </row>
    <row r="42" spans="1:32" s="63" customFormat="1" ht="54.95" customHeight="1" x14ac:dyDescent="0.85">
      <c r="A42" s="121" t="s">
        <v>228</v>
      </c>
      <c r="B42" s="134">
        <f>CNT!N202</f>
        <v>169941.39999999997</v>
      </c>
      <c r="C42" s="134">
        <f>BPM!L44</f>
        <v>44585.64</v>
      </c>
      <c r="D42" s="134">
        <f>DEP!L30</f>
        <v>52994.91</v>
      </c>
      <c r="E42" s="134">
        <v>0</v>
      </c>
      <c r="F42" s="134">
        <f>'BSC (Dome)'!L25</f>
        <v>16190.140000000003</v>
      </c>
      <c r="G42" s="134">
        <v>0</v>
      </c>
      <c r="H42" s="134">
        <v>0</v>
      </c>
      <c r="I42" s="134">
        <f t="shared" si="0"/>
        <v>283712.08999999997</v>
      </c>
      <c r="J42" s="135">
        <f t="shared" si="19"/>
        <v>6.4561360872918139E-2</v>
      </c>
      <c r="K42" s="135"/>
      <c r="L42" s="122" t="s">
        <v>228</v>
      </c>
      <c r="M42" s="134">
        <v>254566.24</v>
      </c>
      <c r="N42" s="134">
        <v>0</v>
      </c>
      <c r="O42" s="134">
        <v>9809.35</v>
      </c>
      <c r="P42" s="134">
        <v>0</v>
      </c>
      <c r="Q42" s="134">
        <v>16485.89</v>
      </c>
      <c r="R42" s="134">
        <v>0</v>
      </c>
      <c r="S42" s="134">
        <v>0</v>
      </c>
      <c r="T42" s="134">
        <f t="shared" si="2"/>
        <v>280861.48</v>
      </c>
      <c r="U42" s="136">
        <f t="shared" si="20"/>
        <v>6.1038409878477577E-2</v>
      </c>
      <c r="V42" s="122" t="s">
        <v>228</v>
      </c>
      <c r="W42" s="136"/>
      <c r="X42" s="137">
        <f t="shared" si="4"/>
        <v>283712.08999999997</v>
      </c>
      <c r="Y42" s="136"/>
      <c r="Z42" s="137">
        <f t="shared" si="5"/>
        <v>280861.48</v>
      </c>
      <c r="AA42" s="136"/>
      <c r="AB42" s="137">
        <f t="shared" si="21"/>
        <v>2850.609999999986</v>
      </c>
      <c r="AC42" s="137"/>
      <c r="AD42" s="136">
        <f t="shared" si="22"/>
        <v>1.0101495228181521</v>
      </c>
      <c r="AE42" s="137"/>
      <c r="AF42" s="136">
        <f t="shared" si="8"/>
        <v>1.0149522818152068E-2</v>
      </c>
    </row>
    <row r="43" spans="1:32" s="63" customFormat="1" ht="54.95" customHeight="1" x14ac:dyDescent="0.85">
      <c r="A43" s="121" t="s">
        <v>229</v>
      </c>
      <c r="B43" s="134">
        <f>CNT!N203</f>
        <v>189890.79</v>
      </c>
      <c r="C43" s="134">
        <f>BPM!L45</f>
        <v>29689.14</v>
      </c>
      <c r="D43" s="134">
        <f>DEP!L31</f>
        <v>85019.94</v>
      </c>
      <c r="E43" s="134">
        <v>0</v>
      </c>
      <c r="F43" s="134">
        <f>'BSC (Dome)'!L26</f>
        <v>49392.33</v>
      </c>
      <c r="G43" s="134">
        <v>0</v>
      </c>
      <c r="H43" s="134">
        <v>0</v>
      </c>
      <c r="I43" s="134">
        <f t="shared" si="0"/>
        <v>353992.2</v>
      </c>
      <c r="J43" s="135">
        <f t="shared" si="19"/>
        <v>8.0554262493354498E-2</v>
      </c>
      <c r="K43" s="135"/>
      <c r="L43" s="122" t="s">
        <v>229</v>
      </c>
      <c r="M43" s="134">
        <v>358700.74</v>
      </c>
      <c r="N43" s="134">
        <v>0</v>
      </c>
      <c r="O43" s="134">
        <v>42362.47</v>
      </c>
      <c r="P43" s="134">
        <v>0</v>
      </c>
      <c r="Q43" s="134">
        <v>48070.92</v>
      </c>
      <c r="R43" s="134">
        <v>0</v>
      </c>
      <c r="S43" s="134">
        <v>0</v>
      </c>
      <c r="T43" s="134">
        <f t="shared" si="2"/>
        <v>449134.12999999995</v>
      </c>
      <c r="U43" s="136">
        <f t="shared" si="20"/>
        <v>9.7608376618087425E-2</v>
      </c>
      <c r="V43" s="122" t="s">
        <v>229</v>
      </c>
      <c r="W43" s="136"/>
      <c r="X43" s="137">
        <f t="shared" si="4"/>
        <v>353992.2</v>
      </c>
      <c r="Y43" s="136"/>
      <c r="Z43" s="137">
        <f t="shared" si="5"/>
        <v>449134.12999999995</v>
      </c>
      <c r="AA43" s="136"/>
      <c r="AB43" s="137">
        <f t="shared" si="21"/>
        <v>-95141.929999999935</v>
      </c>
      <c r="AC43" s="137"/>
      <c r="AD43" s="136">
        <f t="shared" si="22"/>
        <v>0.78816588710370339</v>
      </c>
      <c r="AE43" s="137"/>
      <c r="AF43" s="136">
        <f t="shared" si="8"/>
        <v>-0.21183411289629661</v>
      </c>
    </row>
    <row r="44" spans="1:32" s="63" customFormat="1" ht="54.95" customHeight="1" x14ac:dyDescent="0.85">
      <c r="A44" s="121" t="s">
        <v>230</v>
      </c>
      <c r="B44" s="134">
        <f>CNT!N204</f>
        <v>25951.22</v>
      </c>
      <c r="C44" s="134">
        <f>BPM!L46</f>
        <v>7556.79</v>
      </c>
      <c r="D44" s="134">
        <f>DEP!L32</f>
        <v>2911.85</v>
      </c>
      <c r="E44" s="134">
        <v>0</v>
      </c>
      <c r="F44" s="134">
        <f>'BSC (Dome)'!L27</f>
        <v>3078.51</v>
      </c>
      <c r="G44" s="134">
        <v>0</v>
      </c>
      <c r="H44" s="134">
        <v>0</v>
      </c>
      <c r="I44" s="134">
        <f t="shared" si="0"/>
        <v>39498.370000000003</v>
      </c>
      <c r="J44" s="135">
        <f t="shared" si="19"/>
        <v>8.9882264779835228E-3</v>
      </c>
      <c r="K44" s="135"/>
      <c r="L44" s="122" t="s">
        <v>230</v>
      </c>
      <c r="M44" s="134">
        <v>55416.31</v>
      </c>
      <c r="N44" s="134">
        <v>0</v>
      </c>
      <c r="O44" s="134">
        <v>4423.3</v>
      </c>
      <c r="P44" s="134">
        <v>0</v>
      </c>
      <c r="Q44" s="134">
        <v>0</v>
      </c>
      <c r="R44" s="134">
        <v>0</v>
      </c>
      <c r="S44" s="134">
        <v>0</v>
      </c>
      <c r="T44" s="134">
        <f t="shared" si="2"/>
        <v>59839.61</v>
      </c>
      <c r="U44" s="136">
        <f t="shared" si="20"/>
        <v>1.300468345516176E-2</v>
      </c>
      <c r="V44" s="122" t="s">
        <v>230</v>
      </c>
      <c r="W44" s="136"/>
      <c r="X44" s="137">
        <f t="shared" si="4"/>
        <v>39498.370000000003</v>
      </c>
      <c r="Y44" s="136"/>
      <c r="Z44" s="137">
        <f t="shared" si="5"/>
        <v>59839.61</v>
      </c>
      <c r="AA44" s="136"/>
      <c r="AB44" s="137">
        <f t="shared" si="21"/>
        <v>-20341.239999999998</v>
      </c>
      <c r="AC44" s="137"/>
      <c r="AD44" s="136">
        <f t="shared" si="22"/>
        <v>0.6600706455138996</v>
      </c>
      <c r="AE44" s="137"/>
      <c r="AF44" s="136">
        <f t="shared" si="8"/>
        <v>-0.3399293544861004</v>
      </c>
    </row>
    <row r="45" spans="1:32" s="63" customFormat="1" ht="54.95" customHeight="1" x14ac:dyDescent="0.85">
      <c r="A45" s="121" t="s">
        <v>231</v>
      </c>
      <c r="B45" s="134">
        <f>CNT!N205</f>
        <v>57943.78</v>
      </c>
      <c r="C45" s="134">
        <f>BPM!L47</f>
        <v>15055.47</v>
      </c>
      <c r="D45" s="134">
        <f>DEP!L33</f>
        <v>18835.75</v>
      </c>
      <c r="E45" s="134">
        <v>0</v>
      </c>
      <c r="F45" s="134">
        <f>'BSC (Dome)'!L29</f>
        <v>4750</v>
      </c>
      <c r="G45" s="134">
        <v>0</v>
      </c>
      <c r="H45" s="134">
        <v>0</v>
      </c>
      <c r="I45" s="134">
        <f t="shared" si="0"/>
        <v>96585</v>
      </c>
      <c r="J45" s="135">
        <f t="shared" si="19"/>
        <v>2.1978827338344303E-2</v>
      </c>
      <c r="K45" s="135"/>
      <c r="L45" s="122" t="s">
        <v>231</v>
      </c>
      <c r="M45" s="134">
        <v>114680</v>
      </c>
      <c r="N45" s="134">
        <v>0</v>
      </c>
      <c r="O45" s="134">
        <v>4550</v>
      </c>
      <c r="P45" s="134">
        <v>0</v>
      </c>
      <c r="Q45" s="134">
        <v>23230</v>
      </c>
      <c r="R45" s="134">
        <v>0</v>
      </c>
      <c r="S45" s="134">
        <v>0</v>
      </c>
      <c r="T45" s="134">
        <f t="shared" si="2"/>
        <v>142460</v>
      </c>
      <c r="U45" s="136">
        <f t="shared" si="20"/>
        <v>3.0960215232391126E-2</v>
      </c>
      <c r="V45" s="122" t="s">
        <v>231</v>
      </c>
      <c r="W45" s="136"/>
      <c r="X45" s="137">
        <f t="shared" si="4"/>
        <v>96585</v>
      </c>
      <c r="Y45" s="136"/>
      <c r="Z45" s="137">
        <f t="shared" si="5"/>
        <v>142460</v>
      </c>
      <c r="AA45" s="136"/>
      <c r="AB45" s="137">
        <f t="shared" si="21"/>
        <v>-45875</v>
      </c>
      <c r="AC45" s="137"/>
      <c r="AD45" s="136">
        <f t="shared" si="22"/>
        <v>0.67797978379896107</v>
      </c>
      <c r="AE45" s="137"/>
      <c r="AF45" s="136">
        <f t="shared" si="8"/>
        <v>-0.32202021620103893</v>
      </c>
    </row>
    <row r="46" spans="1:32" s="63" customFormat="1" ht="54.95" customHeight="1" x14ac:dyDescent="0.85">
      <c r="A46" s="121" t="s">
        <v>308</v>
      </c>
      <c r="B46" s="134">
        <f>CNT!N207+CNT!N206</f>
        <v>14146.529999999999</v>
      </c>
      <c r="C46" s="134">
        <v>0</v>
      </c>
      <c r="D46" s="134">
        <f>DEP!L34</f>
        <v>1546</v>
      </c>
      <c r="E46" s="134">
        <v>0</v>
      </c>
      <c r="F46" s="134">
        <f>'BSC (Dome)'!L28+'BSC (Dome)'!L30</f>
        <v>2750.3199999999997</v>
      </c>
      <c r="G46" s="134">
        <v>0</v>
      </c>
      <c r="H46" s="134">
        <v>0</v>
      </c>
      <c r="I46" s="134">
        <f t="shared" si="0"/>
        <v>18442.849999999999</v>
      </c>
      <c r="J46" s="135">
        <f t="shared" si="19"/>
        <v>4.1968443938187423E-3</v>
      </c>
      <c r="K46" s="135"/>
      <c r="L46" s="122" t="s">
        <v>308</v>
      </c>
      <c r="M46" s="134">
        <f>4612.45+22838.35</f>
        <v>27450.799999999999</v>
      </c>
      <c r="N46" s="134">
        <v>0</v>
      </c>
      <c r="O46" s="134">
        <v>103.09</v>
      </c>
      <c r="P46" s="134">
        <v>0</v>
      </c>
      <c r="Q46" s="134">
        <v>0</v>
      </c>
      <c r="R46" s="134">
        <v>0</v>
      </c>
      <c r="S46" s="134">
        <v>0</v>
      </c>
      <c r="T46" s="134">
        <f t="shared" si="2"/>
        <v>27553.89</v>
      </c>
      <c r="U46" s="136">
        <f t="shared" si="20"/>
        <v>5.9881676603231052E-3</v>
      </c>
      <c r="V46" s="122" t="s">
        <v>308</v>
      </c>
      <c r="W46" s="136"/>
      <c r="X46" s="137">
        <f t="shared" si="4"/>
        <v>18442.849999999999</v>
      </c>
      <c r="Y46" s="136"/>
      <c r="Z46" s="137">
        <f t="shared" si="5"/>
        <v>27553.89</v>
      </c>
      <c r="AA46" s="136"/>
      <c r="AB46" s="137">
        <f t="shared" si="21"/>
        <v>-9111.0400000000009</v>
      </c>
      <c r="AC46" s="137"/>
      <c r="AD46" s="136">
        <f t="shared" si="22"/>
        <v>0.66933743293596648</v>
      </c>
      <c r="AE46" s="137"/>
      <c r="AF46" s="136">
        <f t="shared" si="8"/>
        <v>-0.33066256706403352</v>
      </c>
    </row>
    <row r="47" spans="1:32" s="63" customFormat="1" ht="54.95" customHeight="1" x14ac:dyDescent="0.85">
      <c r="A47" s="121" t="s">
        <v>232</v>
      </c>
      <c r="B47" s="134">
        <f>CNT!N208+CNT!N209</f>
        <v>6741.74</v>
      </c>
      <c r="C47" s="134">
        <v>0</v>
      </c>
      <c r="D47" s="134">
        <v>0</v>
      </c>
      <c r="E47" s="134">
        <v>0</v>
      </c>
      <c r="F47" s="134">
        <v>0</v>
      </c>
      <c r="G47" s="134">
        <v>0</v>
      </c>
      <c r="H47" s="134">
        <v>0</v>
      </c>
      <c r="I47" s="134">
        <f t="shared" si="0"/>
        <v>6741.74</v>
      </c>
      <c r="J47" s="135">
        <f t="shared" si="19"/>
        <v>1.5341464970752116E-3</v>
      </c>
      <c r="K47" s="135"/>
      <c r="L47" s="122" t="s">
        <v>232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4">
        <v>0</v>
      </c>
      <c r="T47" s="134">
        <f t="shared" si="2"/>
        <v>0</v>
      </c>
      <c r="U47" s="136">
        <f t="shared" si="20"/>
        <v>0</v>
      </c>
      <c r="V47" s="122" t="s">
        <v>232</v>
      </c>
      <c r="W47" s="136"/>
      <c r="X47" s="137">
        <f t="shared" si="4"/>
        <v>6741.74</v>
      </c>
      <c r="Y47" s="136"/>
      <c r="Z47" s="137">
        <f t="shared" si="5"/>
        <v>0</v>
      </c>
      <c r="AA47" s="136"/>
      <c r="AB47" s="137">
        <f t="shared" si="21"/>
        <v>6741.74</v>
      </c>
      <c r="AC47" s="137"/>
      <c r="AD47" s="136" t="e">
        <f t="shared" si="22"/>
        <v>#DIV/0!</v>
      </c>
      <c r="AE47" s="137"/>
      <c r="AF47" s="136" t="e">
        <f t="shared" si="8"/>
        <v>#DIV/0!</v>
      </c>
    </row>
    <row r="48" spans="1:32" s="63" customFormat="1" ht="54.95" customHeight="1" x14ac:dyDescent="0.85">
      <c r="A48" s="121" t="s">
        <v>247</v>
      </c>
      <c r="B48" s="134">
        <f>CNT!N234</f>
        <v>32921.67</v>
      </c>
      <c r="C48" s="134">
        <f>BPM!L48</f>
        <v>5064.87</v>
      </c>
      <c r="D48" s="134">
        <f>DEP!L35</f>
        <v>12662.18</v>
      </c>
      <c r="E48" s="134">
        <v>0</v>
      </c>
      <c r="F48" s="134">
        <v>0</v>
      </c>
      <c r="G48" s="134">
        <v>0</v>
      </c>
      <c r="H48" s="134">
        <v>0</v>
      </c>
      <c r="I48" s="134">
        <f t="shared" si="0"/>
        <v>50648.72</v>
      </c>
      <c r="J48" s="135">
        <f t="shared" si="19"/>
        <v>1.1525593744247511E-2</v>
      </c>
      <c r="K48" s="135"/>
      <c r="L48" s="122" t="s">
        <v>247</v>
      </c>
      <c r="M48" s="134">
        <v>49765.51</v>
      </c>
      <c r="N48" s="134">
        <v>0</v>
      </c>
      <c r="O48" s="134">
        <v>0</v>
      </c>
      <c r="P48" s="134">
        <v>0</v>
      </c>
      <c r="Q48" s="134">
        <v>0</v>
      </c>
      <c r="R48" s="134">
        <v>0</v>
      </c>
      <c r="S48" s="134">
        <v>0</v>
      </c>
      <c r="T48" s="134">
        <f t="shared" si="2"/>
        <v>49765.51</v>
      </c>
      <c r="U48" s="136">
        <f t="shared" si="20"/>
        <v>1.0815322902918104E-2</v>
      </c>
      <c r="V48" s="122" t="s">
        <v>247</v>
      </c>
      <c r="W48" s="136"/>
      <c r="X48" s="137">
        <f t="shared" si="4"/>
        <v>50648.72</v>
      </c>
      <c r="Y48" s="136"/>
      <c r="Z48" s="137">
        <f t="shared" si="5"/>
        <v>49765.51</v>
      </c>
      <c r="AA48" s="136"/>
      <c r="AB48" s="137">
        <f t="shared" si="21"/>
        <v>883.20999999999913</v>
      </c>
      <c r="AC48" s="137"/>
      <c r="AD48" s="136">
        <f t="shared" si="22"/>
        <v>1.0177474319061535</v>
      </c>
      <c r="AE48" s="137"/>
      <c r="AF48" s="136">
        <f t="shared" si="8"/>
        <v>1.7747431906153466E-2</v>
      </c>
    </row>
    <row r="49" spans="1:32" s="63" customFormat="1" ht="54.95" customHeight="1" x14ac:dyDescent="0.85">
      <c r="A49" s="132" t="s">
        <v>233</v>
      </c>
      <c r="B49" s="139">
        <f t="shared" ref="B49:H49" si="23">SUM(B40:B48)</f>
        <v>2620385.2400000002</v>
      </c>
      <c r="C49" s="139">
        <f t="shared" si="23"/>
        <v>640532.76</v>
      </c>
      <c r="D49" s="139">
        <f t="shared" si="23"/>
        <v>813632.25</v>
      </c>
      <c r="E49" s="139">
        <f t="shared" si="23"/>
        <v>0</v>
      </c>
      <c r="F49" s="139">
        <f>SUM(F40:F48)</f>
        <v>319906.22000000003</v>
      </c>
      <c r="G49" s="139">
        <f t="shared" si="23"/>
        <v>0</v>
      </c>
      <c r="H49" s="139">
        <f t="shared" si="23"/>
        <v>0</v>
      </c>
      <c r="I49" s="139">
        <f t="shared" si="0"/>
        <v>4394456.47</v>
      </c>
      <c r="J49" s="140">
        <f>SUM(J40:J48)</f>
        <v>1</v>
      </c>
      <c r="K49" s="141"/>
      <c r="L49" s="133" t="s">
        <v>233</v>
      </c>
      <c r="M49" s="139">
        <f t="shared" ref="M49:S49" si="24">SUM(M40:M48)</f>
        <v>4087225.44</v>
      </c>
      <c r="N49" s="139">
        <f t="shared" si="24"/>
        <v>0</v>
      </c>
      <c r="O49" s="139">
        <f t="shared" si="24"/>
        <v>181665.58</v>
      </c>
      <c r="P49" s="139">
        <f t="shared" si="24"/>
        <v>0</v>
      </c>
      <c r="Q49" s="139">
        <f t="shared" si="24"/>
        <v>332498.18</v>
      </c>
      <c r="R49" s="139">
        <f>SUM(R40:R48)</f>
        <v>0</v>
      </c>
      <c r="S49" s="139">
        <f t="shared" si="24"/>
        <v>0</v>
      </c>
      <c r="T49" s="139">
        <f t="shared" si="2"/>
        <v>4601389.1999999993</v>
      </c>
      <c r="U49" s="142">
        <f>SUM(U40:U48)</f>
        <v>1.0000000000000002</v>
      </c>
      <c r="V49" s="133" t="s">
        <v>233</v>
      </c>
      <c r="W49" s="143"/>
      <c r="X49" s="144">
        <f t="shared" si="4"/>
        <v>4394456.47</v>
      </c>
      <c r="Y49" s="143"/>
      <c r="Z49" s="144">
        <f t="shared" si="5"/>
        <v>4601389.1999999993</v>
      </c>
      <c r="AA49" s="143"/>
      <c r="AB49" s="144">
        <f>I49-T49</f>
        <v>-206932.72999999952</v>
      </c>
      <c r="AC49" s="144"/>
      <c r="AD49" s="142">
        <f>I49/T49</f>
        <v>0.95502820539501432</v>
      </c>
      <c r="AE49" s="144"/>
      <c r="AF49" s="142">
        <f t="shared" si="8"/>
        <v>-4.4971794604985682E-2</v>
      </c>
    </row>
    <row r="50" spans="1:32" s="63" customFormat="1" ht="54.95" customHeight="1" x14ac:dyDescent="0.85">
      <c r="A50" s="121"/>
      <c r="B50" s="134"/>
      <c r="C50" s="134"/>
      <c r="D50" s="134"/>
      <c r="E50" s="134"/>
      <c r="F50" s="134"/>
      <c r="G50" s="134"/>
      <c r="H50" s="134"/>
      <c r="I50" s="134"/>
      <c r="J50" s="122"/>
      <c r="K50" s="122"/>
      <c r="L50" s="122"/>
      <c r="M50" s="134"/>
      <c r="N50" s="134"/>
      <c r="O50" s="134"/>
      <c r="P50" s="134"/>
      <c r="Q50" s="134"/>
      <c r="R50" s="134"/>
      <c r="S50" s="134"/>
      <c r="T50" s="134"/>
      <c r="U50" s="121"/>
      <c r="V50" s="122"/>
      <c r="W50" s="121"/>
      <c r="X50" s="137"/>
      <c r="Y50" s="121"/>
      <c r="Z50" s="137">
        <f t="shared" si="5"/>
        <v>0</v>
      </c>
      <c r="AA50" s="121"/>
      <c r="AB50" s="137"/>
      <c r="AC50" s="137"/>
      <c r="AD50" s="145"/>
      <c r="AE50" s="137"/>
      <c r="AF50" s="145"/>
    </row>
    <row r="51" spans="1:32" s="63" customFormat="1" ht="54.95" customHeight="1" x14ac:dyDescent="0.85">
      <c r="A51" s="132" t="s">
        <v>234</v>
      </c>
      <c r="B51" s="134"/>
      <c r="C51" s="134"/>
      <c r="D51" s="134"/>
      <c r="E51" s="134"/>
      <c r="F51" s="134"/>
      <c r="G51" s="134"/>
      <c r="H51" s="134"/>
      <c r="I51" s="134"/>
      <c r="J51" s="122"/>
      <c r="K51" s="122"/>
      <c r="L51" s="133" t="s">
        <v>234</v>
      </c>
      <c r="M51" s="134"/>
      <c r="N51" s="134"/>
      <c r="O51" s="134"/>
      <c r="P51" s="134"/>
      <c r="Q51" s="134"/>
      <c r="R51" s="134"/>
      <c r="S51" s="134"/>
      <c r="T51" s="134"/>
      <c r="U51" s="121"/>
      <c r="V51" s="133" t="s">
        <v>234</v>
      </c>
      <c r="W51" s="121"/>
      <c r="X51" s="137"/>
      <c r="Y51" s="121"/>
      <c r="Z51" s="137">
        <f t="shared" si="5"/>
        <v>0</v>
      </c>
      <c r="AA51" s="121"/>
      <c r="AB51" s="137"/>
      <c r="AC51" s="137"/>
      <c r="AD51" s="145"/>
      <c r="AE51" s="137"/>
      <c r="AF51" s="145"/>
    </row>
    <row r="52" spans="1:32" s="63" customFormat="1" ht="54.95" customHeight="1" x14ac:dyDescent="0.85">
      <c r="A52" s="121" t="s">
        <v>235</v>
      </c>
      <c r="B52" s="134">
        <f>CNT!N212+CNT!N213+CNT!N230</f>
        <v>442000</v>
      </c>
      <c r="C52" s="134">
        <f>BPM!L52</f>
        <v>50000</v>
      </c>
      <c r="D52" s="134">
        <f>DEP!L39</f>
        <v>375000</v>
      </c>
      <c r="E52" s="134">
        <v>0</v>
      </c>
      <c r="F52" s="134">
        <f>'BSC (Dome)'!L35</f>
        <v>10000</v>
      </c>
      <c r="G52" s="134">
        <v>0</v>
      </c>
      <c r="H52" s="134">
        <v>0</v>
      </c>
      <c r="I52" s="134">
        <f t="shared" ref="I52:I74" si="25">SUM(B52:H52)</f>
        <v>877000</v>
      </c>
      <c r="J52" s="135">
        <f t="shared" ref="J52:J73" si="26">I52/$I$74</f>
        <v>0.23230687467959302</v>
      </c>
      <c r="K52" s="135"/>
      <c r="L52" s="122" t="s">
        <v>235</v>
      </c>
      <c r="M52" s="134">
        <f>287000</f>
        <v>287000</v>
      </c>
      <c r="N52" s="134">
        <v>0</v>
      </c>
      <c r="O52" s="134">
        <v>250000</v>
      </c>
      <c r="P52" s="134">
        <v>0</v>
      </c>
      <c r="Q52" s="134">
        <v>10000</v>
      </c>
      <c r="R52" s="134">
        <v>0</v>
      </c>
      <c r="S52" s="134">
        <v>0</v>
      </c>
      <c r="T52" s="134">
        <f t="shared" si="2"/>
        <v>547000</v>
      </c>
      <c r="U52" s="136">
        <f t="shared" ref="U52:U69" si="27">T52/$T$74</f>
        <v>0.23726306582762693</v>
      </c>
      <c r="V52" s="122" t="s">
        <v>235</v>
      </c>
      <c r="W52" s="136"/>
      <c r="X52" s="137">
        <f t="shared" si="4"/>
        <v>877000</v>
      </c>
      <c r="Y52" s="136"/>
      <c r="Z52" s="137">
        <f t="shared" si="5"/>
        <v>547000</v>
      </c>
      <c r="AA52" s="136"/>
      <c r="AB52" s="137">
        <f>I52-T52</f>
        <v>330000</v>
      </c>
      <c r="AC52" s="137"/>
      <c r="AD52" s="136">
        <f>I52/T52</f>
        <v>1.6032906764168191</v>
      </c>
      <c r="AE52" s="137"/>
      <c r="AF52" s="136">
        <f t="shared" si="8"/>
        <v>0.6032906764168191</v>
      </c>
    </row>
    <row r="53" spans="1:32" s="63" customFormat="1" ht="54.95" customHeight="1" x14ac:dyDescent="0.85">
      <c r="A53" s="121" t="s">
        <v>236</v>
      </c>
      <c r="B53" s="134">
        <f>CNT!N214</f>
        <v>1731.9000000000015</v>
      </c>
      <c r="C53" s="134">
        <v>0</v>
      </c>
      <c r="D53" s="134">
        <f>DEP!L40</f>
        <v>69462.649999999994</v>
      </c>
      <c r="E53" s="134">
        <v>0</v>
      </c>
      <c r="F53" s="134">
        <f>'BSC (Dome)'!L37</f>
        <v>5749</v>
      </c>
      <c r="G53" s="134">
        <v>0</v>
      </c>
      <c r="H53" s="134">
        <v>0</v>
      </c>
      <c r="I53" s="134">
        <f t="shared" si="25"/>
        <v>76943.549999999988</v>
      </c>
      <c r="J53" s="135">
        <f t="shared" si="26"/>
        <v>2.0381431730049027E-2</v>
      </c>
      <c r="K53" s="135"/>
      <c r="L53" s="122" t="s">
        <v>236</v>
      </c>
      <c r="M53" s="134">
        <v>76888.33</v>
      </c>
      <c r="N53" s="134">
        <v>0</v>
      </c>
      <c r="O53" s="134">
        <v>56406.67</v>
      </c>
      <c r="P53" s="134">
        <v>0</v>
      </c>
      <c r="Q53" s="134">
        <v>35511.370000000003</v>
      </c>
      <c r="R53" s="134">
        <v>0</v>
      </c>
      <c r="S53" s="134">
        <v>0</v>
      </c>
      <c r="T53" s="134">
        <f t="shared" si="2"/>
        <v>168806.37</v>
      </c>
      <c r="U53" s="136">
        <f t="shared" si="27"/>
        <v>7.3220323359109232E-2</v>
      </c>
      <c r="V53" s="122" t="s">
        <v>236</v>
      </c>
      <c r="W53" s="136"/>
      <c r="X53" s="137">
        <f t="shared" si="4"/>
        <v>76943.549999999988</v>
      </c>
      <c r="Y53" s="136"/>
      <c r="Z53" s="137">
        <f t="shared" si="5"/>
        <v>168806.37</v>
      </c>
      <c r="AA53" s="136"/>
      <c r="AB53" s="137">
        <f t="shared" ref="AB53:AB73" si="28">I53-T53</f>
        <v>-91862.82</v>
      </c>
      <c r="AC53" s="137"/>
      <c r="AD53" s="136">
        <f t="shared" ref="AD53:AD71" si="29">I53/T53</f>
        <v>0.45580951714085194</v>
      </c>
      <c r="AE53" s="137"/>
      <c r="AF53" s="136">
        <f t="shared" si="8"/>
        <v>-0.54419048285914806</v>
      </c>
    </row>
    <row r="54" spans="1:32" s="63" customFormat="1" ht="54.95" customHeight="1" x14ac:dyDescent="0.85">
      <c r="A54" s="121" t="s">
        <v>237</v>
      </c>
      <c r="B54" s="134">
        <f>CNT!N215</f>
        <v>8947.9199999999983</v>
      </c>
      <c r="C54" s="134">
        <v>0</v>
      </c>
      <c r="D54" s="134">
        <v>0</v>
      </c>
      <c r="E54" s="134">
        <v>0</v>
      </c>
      <c r="F54" s="134">
        <f>'BSC (Dome)'!L36</f>
        <v>60944.04</v>
      </c>
      <c r="G54" s="134">
        <v>0</v>
      </c>
      <c r="H54" s="134">
        <v>0</v>
      </c>
      <c r="I54" s="134">
        <f t="shared" si="25"/>
        <v>69891.959999999992</v>
      </c>
      <c r="J54" s="135">
        <f t="shared" si="26"/>
        <v>1.8513549364687715E-2</v>
      </c>
      <c r="K54" s="135"/>
      <c r="L54" s="122" t="s">
        <v>237</v>
      </c>
      <c r="M54" s="134">
        <v>7250.48</v>
      </c>
      <c r="N54" s="134">
        <v>0</v>
      </c>
      <c r="O54" s="134">
        <v>0</v>
      </c>
      <c r="P54" s="134">
        <v>0</v>
      </c>
      <c r="Q54" s="134">
        <v>70049.990000000005</v>
      </c>
      <c r="R54" s="134">
        <v>0</v>
      </c>
      <c r="S54" s="134">
        <v>0</v>
      </c>
      <c r="T54" s="134">
        <f t="shared" si="2"/>
        <v>77300.47</v>
      </c>
      <c r="U54" s="136">
        <f t="shared" si="27"/>
        <v>3.3529335470048445E-2</v>
      </c>
      <c r="V54" s="122" t="s">
        <v>237</v>
      </c>
      <c r="W54" s="136"/>
      <c r="X54" s="137">
        <f t="shared" si="4"/>
        <v>69891.959999999992</v>
      </c>
      <c r="Y54" s="136"/>
      <c r="Z54" s="137">
        <f t="shared" si="5"/>
        <v>77300.47</v>
      </c>
      <c r="AA54" s="136"/>
      <c r="AB54" s="137">
        <f t="shared" si="28"/>
        <v>-7408.5100000000093</v>
      </c>
      <c r="AC54" s="137"/>
      <c r="AD54" s="136">
        <f t="shared" si="29"/>
        <v>0.90415957367400213</v>
      </c>
      <c r="AE54" s="137"/>
      <c r="AF54" s="136">
        <f t="shared" si="8"/>
        <v>-9.5840426325997874E-2</v>
      </c>
    </row>
    <row r="55" spans="1:32" s="63" customFormat="1" ht="54.95" customHeight="1" x14ac:dyDescent="0.85">
      <c r="A55" s="121" t="s">
        <v>338</v>
      </c>
      <c r="B55" s="134">
        <f>CNT!N216</f>
        <v>1078.46</v>
      </c>
      <c r="C55" s="134">
        <v>0</v>
      </c>
      <c r="D55" s="134">
        <v>0</v>
      </c>
      <c r="E55" s="134">
        <v>0</v>
      </c>
      <c r="F55" s="134">
        <f>'BSC (Dome)'!L38</f>
        <v>2221.1</v>
      </c>
      <c r="G55" s="134">
        <v>0</v>
      </c>
      <c r="H55" s="134">
        <v>0</v>
      </c>
      <c r="I55" s="134">
        <f t="shared" si="25"/>
        <v>3299.56</v>
      </c>
      <c r="J55" s="135">
        <f t="shared" si="26"/>
        <v>8.7401422054480952E-4</v>
      </c>
      <c r="K55" s="135"/>
      <c r="L55" s="122" t="s">
        <v>338</v>
      </c>
      <c r="M55" s="134">
        <v>1186.8699999999999</v>
      </c>
      <c r="N55" s="134">
        <v>0</v>
      </c>
      <c r="O55" s="134">
        <v>0</v>
      </c>
      <c r="P55" s="134">
        <v>0</v>
      </c>
      <c r="Q55" s="134">
        <v>1412.94</v>
      </c>
      <c r="R55" s="134">
        <v>0</v>
      </c>
      <c r="S55" s="134">
        <v>0</v>
      </c>
      <c r="T55" s="134">
        <f t="shared" si="2"/>
        <v>2599.81</v>
      </c>
      <c r="U55" s="136">
        <f t="shared" si="27"/>
        <v>1.1276762178598222E-3</v>
      </c>
      <c r="V55" s="122" t="s">
        <v>338</v>
      </c>
      <c r="W55" s="136"/>
      <c r="X55" s="137">
        <f t="shared" si="4"/>
        <v>3299.56</v>
      </c>
      <c r="Y55" s="136"/>
      <c r="Z55" s="137">
        <f t="shared" si="5"/>
        <v>2599.81</v>
      </c>
      <c r="AA55" s="136"/>
      <c r="AB55" s="137">
        <f t="shared" si="28"/>
        <v>699.75</v>
      </c>
      <c r="AC55" s="137"/>
      <c r="AD55" s="136">
        <f t="shared" si="29"/>
        <v>1.2691542843515489</v>
      </c>
      <c r="AE55" s="137"/>
      <c r="AF55" s="136">
        <f t="shared" si="8"/>
        <v>0.26915428435154887</v>
      </c>
    </row>
    <row r="56" spans="1:32" s="63" customFormat="1" ht="54.95" customHeight="1" x14ac:dyDescent="0.85">
      <c r="A56" s="121" t="s">
        <v>291</v>
      </c>
      <c r="B56" s="134">
        <f>CNT!N217</f>
        <v>178.45</v>
      </c>
      <c r="C56" s="134">
        <v>0</v>
      </c>
      <c r="D56" s="134">
        <f>DEP!L41</f>
        <v>1500</v>
      </c>
      <c r="E56" s="134">
        <v>0</v>
      </c>
      <c r="F56" s="134">
        <f>'BSC (Dome)'!L39</f>
        <v>6497.05</v>
      </c>
      <c r="G56" s="134">
        <v>0</v>
      </c>
      <c r="H56" s="134">
        <v>0</v>
      </c>
      <c r="I56" s="134">
        <f t="shared" si="25"/>
        <v>8175.5</v>
      </c>
      <c r="J56" s="135">
        <f t="shared" si="26"/>
        <v>2.1655927639030932E-3</v>
      </c>
      <c r="K56" s="135"/>
      <c r="L56" s="122" t="s">
        <v>291</v>
      </c>
      <c r="M56" s="134">
        <v>0</v>
      </c>
      <c r="N56" s="134">
        <v>0</v>
      </c>
      <c r="O56" s="134">
        <v>1293.5</v>
      </c>
      <c r="P56" s="134">
        <v>0</v>
      </c>
      <c r="Q56" s="134">
        <v>5468.1</v>
      </c>
      <c r="R56" s="134">
        <v>0</v>
      </c>
      <c r="S56" s="134">
        <v>0</v>
      </c>
      <c r="T56" s="134">
        <f t="shared" si="2"/>
        <v>6761.6</v>
      </c>
      <c r="U56" s="136">
        <f t="shared" si="27"/>
        <v>2.932866445886805E-3</v>
      </c>
      <c r="V56" s="122" t="s">
        <v>291</v>
      </c>
      <c r="W56" s="136"/>
      <c r="X56" s="137">
        <f t="shared" si="4"/>
        <v>8175.5</v>
      </c>
      <c r="Y56" s="136"/>
      <c r="Z56" s="137">
        <f t="shared" si="5"/>
        <v>6761.6</v>
      </c>
      <c r="AA56" s="136"/>
      <c r="AB56" s="137">
        <f t="shared" si="28"/>
        <v>1413.8999999999996</v>
      </c>
      <c r="AC56" s="137"/>
      <c r="AD56" s="136">
        <f t="shared" si="29"/>
        <v>1.2091073118788451</v>
      </c>
      <c r="AE56" s="137"/>
      <c r="AF56" s="136">
        <f t="shared" si="8"/>
        <v>0.20910731187884513</v>
      </c>
    </row>
    <row r="57" spans="1:32" s="63" customFormat="1" ht="54.95" customHeight="1" x14ac:dyDescent="0.85">
      <c r="A57" s="122" t="s">
        <v>448</v>
      </c>
      <c r="B57" s="170">
        <f>CNT!N218</f>
        <v>25000</v>
      </c>
      <c r="C57" s="134">
        <v>0</v>
      </c>
      <c r="D57" s="134">
        <f>DEP!L42</f>
        <v>26914.2</v>
      </c>
      <c r="E57" s="134">
        <v>0</v>
      </c>
      <c r="F57" s="134">
        <v>0</v>
      </c>
      <c r="G57" s="134">
        <v>0</v>
      </c>
      <c r="H57" s="134">
        <v>0</v>
      </c>
      <c r="I57" s="134">
        <f t="shared" si="25"/>
        <v>51914.2</v>
      </c>
      <c r="J57" s="135">
        <f t="shared" si="26"/>
        <v>1.3751454450959323E-2</v>
      </c>
      <c r="K57" s="135"/>
      <c r="L57" s="122" t="s">
        <v>448</v>
      </c>
      <c r="M57" s="134">
        <v>9589</v>
      </c>
      <c r="N57" s="134">
        <v>0</v>
      </c>
      <c r="O57" s="134">
        <v>5293</v>
      </c>
      <c r="P57" s="134">
        <v>0</v>
      </c>
      <c r="Q57" s="134">
        <v>0</v>
      </c>
      <c r="R57" s="134">
        <v>0</v>
      </c>
      <c r="S57" s="134">
        <v>0</v>
      </c>
      <c r="T57" s="134">
        <f t="shared" si="2"/>
        <v>14882</v>
      </c>
      <c r="U57" s="136">
        <f t="shared" si="27"/>
        <v>6.4551169024620551E-3</v>
      </c>
      <c r="V57" s="122" t="s">
        <v>448</v>
      </c>
      <c r="W57" s="136"/>
      <c r="X57" s="137">
        <f t="shared" si="4"/>
        <v>51914.2</v>
      </c>
      <c r="Y57" s="136"/>
      <c r="Z57" s="137">
        <f t="shared" si="5"/>
        <v>14882</v>
      </c>
      <c r="AA57" s="136"/>
      <c r="AB57" s="137">
        <f t="shared" si="28"/>
        <v>37032.199999999997</v>
      </c>
      <c r="AC57" s="137"/>
      <c r="AD57" s="136">
        <f t="shared" si="29"/>
        <v>3.4883886574385161</v>
      </c>
      <c r="AE57" s="137"/>
      <c r="AF57" s="136">
        <f t="shared" si="8"/>
        <v>2.4883886574385161</v>
      </c>
    </row>
    <row r="58" spans="1:32" s="63" customFormat="1" ht="54.95" customHeight="1" x14ac:dyDescent="0.85">
      <c r="A58" s="121" t="s">
        <v>376</v>
      </c>
      <c r="B58" s="134">
        <f>CNT!N219+CNT!N227</f>
        <v>124303.44</v>
      </c>
      <c r="C58" s="134">
        <v>0</v>
      </c>
      <c r="D58" s="134">
        <f>DEP!L43</f>
        <v>36363.75</v>
      </c>
      <c r="E58" s="134">
        <v>0</v>
      </c>
      <c r="F58" s="134">
        <f>'BSC (Dome)'!L41</f>
        <v>4411.8</v>
      </c>
      <c r="G58" s="134">
        <v>0</v>
      </c>
      <c r="H58" s="134">
        <v>0</v>
      </c>
      <c r="I58" s="134">
        <f t="shared" si="25"/>
        <v>165078.99</v>
      </c>
      <c r="J58" s="135">
        <f t="shared" si="26"/>
        <v>4.3727462077723815E-2</v>
      </c>
      <c r="K58" s="135"/>
      <c r="L58" s="122" t="s">
        <v>238</v>
      </c>
      <c r="M58" s="134">
        <v>137653.20000000001</v>
      </c>
      <c r="N58" s="134">
        <v>0</v>
      </c>
      <c r="O58" s="134">
        <v>0</v>
      </c>
      <c r="P58" s="134">
        <v>0</v>
      </c>
      <c r="Q58" s="134">
        <v>4277.05</v>
      </c>
      <c r="R58" s="134">
        <v>0</v>
      </c>
      <c r="S58" s="134">
        <v>0</v>
      </c>
      <c r="T58" s="134">
        <f t="shared" si="2"/>
        <v>141930.25</v>
      </c>
      <c r="U58" s="136">
        <f t="shared" si="27"/>
        <v>6.1562717090825496E-2</v>
      </c>
      <c r="V58" s="122" t="s">
        <v>238</v>
      </c>
      <c r="W58" s="136"/>
      <c r="X58" s="137">
        <f t="shared" si="4"/>
        <v>165078.99</v>
      </c>
      <c r="Y58" s="136"/>
      <c r="Z58" s="137">
        <f t="shared" si="5"/>
        <v>141930.25</v>
      </c>
      <c r="AA58" s="136"/>
      <c r="AB58" s="137">
        <f t="shared" si="28"/>
        <v>23148.739999999991</v>
      </c>
      <c r="AC58" s="137"/>
      <c r="AD58" s="136">
        <f t="shared" si="29"/>
        <v>1.1630994097452798</v>
      </c>
      <c r="AE58" s="137"/>
      <c r="AF58" s="136">
        <f t="shared" si="8"/>
        <v>0.16309940974527981</v>
      </c>
    </row>
    <row r="59" spans="1:32" s="63" customFormat="1" ht="54.95" customHeight="1" x14ac:dyDescent="0.85">
      <c r="A59" s="121" t="s">
        <v>377</v>
      </c>
      <c r="B59" s="134"/>
      <c r="C59" s="134">
        <f>BPM!L53</f>
        <v>2719.73</v>
      </c>
      <c r="D59" s="134">
        <v>0</v>
      </c>
      <c r="E59" s="134">
        <v>0</v>
      </c>
      <c r="F59" s="134">
        <f>'BSC (Dome)'!L42+'BSC (Dome)'!L48</f>
        <v>14867.78</v>
      </c>
      <c r="G59" s="134">
        <v>0</v>
      </c>
      <c r="H59" s="134">
        <v>0</v>
      </c>
      <c r="I59" s="134">
        <f t="shared" si="25"/>
        <v>17587.510000000002</v>
      </c>
      <c r="J59" s="135">
        <f t="shared" si="26"/>
        <v>4.6587223278176616E-3</v>
      </c>
      <c r="K59" s="135"/>
      <c r="L59" s="122" t="s">
        <v>377</v>
      </c>
      <c r="M59" s="134">
        <v>0</v>
      </c>
      <c r="N59" s="134">
        <v>10164.89</v>
      </c>
      <c r="O59" s="134">
        <v>32151.03</v>
      </c>
      <c r="P59" s="134">
        <v>0</v>
      </c>
      <c r="Q59" s="134">
        <f>6182.53+5100.55+5533.87</f>
        <v>16816.95</v>
      </c>
      <c r="R59" s="134">
        <v>0</v>
      </c>
      <c r="S59" s="134">
        <v>0</v>
      </c>
      <c r="T59" s="134">
        <f t="shared" si="2"/>
        <v>59132.869999999995</v>
      </c>
      <c r="U59" s="136">
        <f t="shared" si="27"/>
        <v>2.5649078660670028E-2</v>
      </c>
      <c r="V59" s="122" t="s">
        <v>377</v>
      </c>
      <c r="W59" s="136"/>
      <c r="X59" s="137">
        <f t="shared" si="4"/>
        <v>17587.510000000002</v>
      </c>
      <c r="Y59" s="136"/>
      <c r="Z59" s="137">
        <f t="shared" si="5"/>
        <v>59132.869999999995</v>
      </c>
      <c r="AA59" s="136"/>
      <c r="AB59" s="137">
        <f>I59-T59</f>
        <v>-41545.359999999993</v>
      </c>
      <c r="AC59" s="137"/>
      <c r="AD59" s="136">
        <f t="shared" si="29"/>
        <v>0.29742358184204493</v>
      </c>
      <c r="AE59" s="137"/>
      <c r="AF59" s="136">
        <f t="shared" si="8"/>
        <v>-0.70257641815795502</v>
      </c>
    </row>
    <row r="60" spans="1:32" s="63" customFormat="1" ht="54.95" customHeight="1" x14ac:dyDescent="0.85">
      <c r="A60" s="121" t="s">
        <v>240</v>
      </c>
      <c r="B60" s="134">
        <f>CNT!N220</f>
        <v>88777.890000000014</v>
      </c>
      <c r="C60" s="134">
        <v>0</v>
      </c>
      <c r="D60" s="134">
        <f>DEP!L44</f>
        <v>52895.720000000016</v>
      </c>
      <c r="E60" s="134">
        <v>0</v>
      </c>
      <c r="F60" s="134">
        <f>'BSC (Dome)'!L44</f>
        <v>739.67</v>
      </c>
      <c r="G60" s="134">
        <v>0</v>
      </c>
      <c r="H60" s="134">
        <v>0</v>
      </c>
      <c r="I60" s="134">
        <f t="shared" si="25"/>
        <v>142413.28000000006</v>
      </c>
      <c r="J60" s="135">
        <f t="shared" si="26"/>
        <v>3.7723584936909693E-2</v>
      </c>
      <c r="K60" s="135"/>
      <c r="L60" s="122" t="s">
        <v>240</v>
      </c>
      <c r="M60" s="134">
        <v>91380.04</v>
      </c>
      <c r="N60" s="134">
        <v>0</v>
      </c>
      <c r="O60" s="134">
        <v>43217.1</v>
      </c>
      <c r="P60" s="134">
        <v>0</v>
      </c>
      <c r="Q60" s="134">
        <v>0</v>
      </c>
      <c r="R60" s="134">
        <v>0</v>
      </c>
      <c r="S60" s="134">
        <v>0</v>
      </c>
      <c r="T60" s="134">
        <f t="shared" si="2"/>
        <v>134597.13999999998</v>
      </c>
      <c r="U60" s="136">
        <f t="shared" si="27"/>
        <v>5.8381956285247373E-2</v>
      </c>
      <c r="V60" s="122" t="s">
        <v>240</v>
      </c>
      <c r="W60" s="136"/>
      <c r="X60" s="137">
        <f t="shared" si="4"/>
        <v>142413.28000000006</v>
      </c>
      <c r="Y60" s="136"/>
      <c r="Z60" s="137">
        <f t="shared" si="5"/>
        <v>134597.13999999998</v>
      </c>
      <c r="AA60" s="136"/>
      <c r="AB60" s="137">
        <f t="shared" si="28"/>
        <v>7816.1400000000722</v>
      </c>
      <c r="AC60" s="137"/>
      <c r="AD60" s="136">
        <f t="shared" si="29"/>
        <v>1.0580706246804359</v>
      </c>
      <c r="AE60" s="137"/>
      <c r="AF60" s="136">
        <f t="shared" si="8"/>
        <v>5.8070624680435889E-2</v>
      </c>
    </row>
    <row r="61" spans="1:32" s="63" customFormat="1" ht="54.95" customHeight="1" x14ac:dyDescent="0.85">
      <c r="A61" s="121" t="s">
        <v>241</v>
      </c>
      <c r="B61" s="134">
        <f>CNT!N221</f>
        <v>38000</v>
      </c>
      <c r="C61" s="134">
        <v>0</v>
      </c>
      <c r="D61" s="134">
        <f>DEP!L45</f>
        <v>12411.92</v>
      </c>
      <c r="E61" s="134">
        <v>0</v>
      </c>
      <c r="F61" s="134">
        <v>0</v>
      </c>
      <c r="G61" s="134">
        <v>0</v>
      </c>
      <c r="H61" s="134">
        <v>0</v>
      </c>
      <c r="I61" s="134">
        <f t="shared" si="25"/>
        <v>50411.92</v>
      </c>
      <c r="J61" s="135">
        <f t="shared" si="26"/>
        <v>1.3353518337283545E-2</v>
      </c>
      <c r="K61" s="135"/>
      <c r="L61" s="122" t="s">
        <v>241</v>
      </c>
      <c r="M61" s="134">
        <v>29684.77</v>
      </c>
      <c r="N61" s="134">
        <v>0</v>
      </c>
      <c r="O61" s="134">
        <v>17104.32</v>
      </c>
      <c r="P61" s="134">
        <v>0</v>
      </c>
      <c r="Q61" s="134">
        <v>0</v>
      </c>
      <c r="R61" s="134">
        <v>0</v>
      </c>
      <c r="S61" s="134">
        <v>0</v>
      </c>
      <c r="T61" s="134">
        <f t="shared" si="2"/>
        <v>46789.09</v>
      </c>
      <c r="U61" s="136">
        <f t="shared" si="27"/>
        <v>2.0294923109112906E-2</v>
      </c>
      <c r="V61" s="122" t="s">
        <v>241</v>
      </c>
      <c r="W61" s="136"/>
      <c r="X61" s="137">
        <f t="shared" si="4"/>
        <v>50411.92</v>
      </c>
      <c r="Y61" s="136"/>
      <c r="Z61" s="137">
        <f t="shared" si="5"/>
        <v>46789.09</v>
      </c>
      <c r="AA61" s="136"/>
      <c r="AB61" s="137">
        <f t="shared" si="28"/>
        <v>3622.8300000000017</v>
      </c>
      <c r="AC61" s="137"/>
      <c r="AD61" s="136">
        <f t="shared" si="29"/>
        <v>1.0774289476457013</v>
      </c>
      <c r="AE61" s="137"/>
      <c r="AF61" s="136">
        <f t="shared" si="8"/>
        <v>7.7428947645701296E-2</v>
      </c>
    </row>
    <row r="62" spans="1:32" s="63" customFormat="1" ht="54.95" customHeight="1" x14ac:dyDescent="0.85">
      <c r="A62" s="121" t="s">
        <v>239</v>
      </c>
      <c r="B62" s="134">
        <f>CNT!N222</f>
        <v>45541.539999999994</v>
      </c>
      <c r="C62" s="134">
        <f>BPM!L54</f>
        <v>5060.17</v>
      </c>
      <c r="D62" s="134">
        <f>DEP!L46</f>
        <v>167056.25</v>
      </c>
      <c r="E62" s="134">
        <v>0</v>
      </c>
      <c r="F62" s="134">
        <f>'BSC (Dome)'!L46</f>
        <v>24234</v>
      </c>
      <c r="G62" s="134">
        <v>0</v>
      </c>
      <c r="H62" s="134">
        <v>0</v>
      </c>
      <c r="I62" s="134">
        <f t="shared" si="25"/>
        <v>241891.96</v>
      </c>
      <c r="J62" s="135">
        <f t="shared" si="26"/>
        <v>6.4074304718040057E-2</v>
      </c>
      <c r="K62" s="135"/>
      <c r="L62" s="122" t="s">
        <v>239</v>
      </c>
      <c r="M62" s="134">
        <v>45586.87</v>
      </c>
      <c r="N62" s="134">
        <v>0</v>
      </c>
      <c r="O62" s="134">
        <v>0</v>
      </c>
      <c r="P62" s="134">
        <v>0</v>
      </c>
      <c r="Q62" s="134">
        <v>23420</v>
      </c>
      <c r="R62" s="134">
        <v>0</v>
      </c>
      <c r="S62" s="134">
        <v>0</v>
      </c>
      <c r="T62" s="134">
        <f t="shared" si="2"/>
        <v>69006.87</v>
      </c>
      <c r="U62" s="136">
        <f t="shared" si="27"/>
        <v>2.993195893851644E-2</v>
      </c>
      <c r="V62" s="122" t="s">
        <v>239</v>
      </c>
      <c r="W62" s="136"/>
      <c r="X62" s="137">
        <f t="shared" si="4"/>
        <v>241891.96</v>
      </c>
      <c r="Y62" s="136"/>
      <c r="Z62" s="137">
        <f t="shared" si="5"/>
        <v>69006.87</v>
      </c>
      <c r="AA62" s="136"/>
      <c r="AB62" s="137">
        <f t="shared" si="28"/>
        <v>172885.09</v>
      </c>
      <c r="AC62" s="137"/>
      <c r="AD62" s="136">
        <f t="shared" si="29"/>
        <v>3.5053315706102888</v>
      </c>
      <c r="AE62" s="137"/>
      <c r="AF62" s="136">
        <f t="shared" si="8"/>
        <v>2.5053315706102888</v>
      </c>
    </row>
    <row r="63" spans="1:32" s="63" customFormat="1" ht="54.95" customHeight="1" x14ac:dyDescent="0.85">
      <c r="A63" s="121" t="s">
        <v>361</v>
      </c>
      <c r="B63" s="134">
        <v>0</v>
      </c>
      <c r="C63" s="134">
        <v>0</v>
      </c>
      <c r="D63" s="134">
        <v>0</v>
      </c>
      <c r="E63" s="134">
        <v>0</v>
      </c>
      <c r="F63" s="134">
        <f>'BSC (Dome)'!L43</f>
        <v>16523.03</v>
      </c>
      <c r="G63" s="134">
        <v>0</v>
      </c>
      <c r="H63" s="134">
        <v>0</v>
      </c>
      <c r="I63" s="134">
        <f t="shared" si="25"/>
        <v>16523.03</v>
      </c>
      <c r="J63" s="135">
        <f t="shared" si="26"/>
        <v>4.3767542298029137E-3</v>
      </c>
      <c r="K63" s="135"/>
      <c r="L63" s="122" t="s">
        <v>361</v>
      </c>
      <c r="M63" s="134">
        <v>0</v>
      </c>
      <c r="N63" s="134">
        <v>0</v>
      </c>
      <c r="O63" s="134">
        <v>0</v>
      </c>
      <c r="P63" s="134">
        <v>0</v>
      </c>
      <c r="Q63" s="134">
        <f>1137.4+9872.78</f>
        <v>11010.18</v>
      </c>
      <c r="R63" s="134">
        <v>0</v>
      </c>
      <c r="S63" s="134">
        <v>0</v>
      </c>
      <c r="T63" s="134">
        <f t="shared" si="2"/>
        <v>11010.18</v>
      </c>
      <c r="U63" s="136">
        <f t="shared" si="27"/>
        <v>4.7757021245228917E-3</v>
      </c>
      <c r="V63" s="122" t="s">
        <v>361</v>
      </c>
      <c r="W63" s="136"/>
      <c r="X63" s="137">
        <f t="shared" si="4"/>
        <v>16523.03</v>
      </c>
      <c r="Y63" s="136"/>
      <c r="Z63" s="137">
        <f t="shared" si="5"/>
        <v>11010.18</v>
      </c>
      <c r="AA63" s="136"/>
      <c r="AB63" s="137">
        <f t="shared" si="28"/>
        <v>5512.8499999999985</v>
      </c>
      <c r="AC63" s="137"/>
      <c r="AD63" s="136">
        <f t="shared" si="29"/>
        <v>1.5007048022829779</v>
      </c>
      <c r="AE63" s="137"/>
      <c r="AF63" s="136">
        <f t="shared" si="8"/>
        <v>0.50070480228297787</v>
      </c>
    </row>
    <row r="64" spans="1:32" s="63" customFormat="1" ht="54.95" customHeight="1" x14ac:dyDescent="0.85">
      <c r="A64" s="121" t="s">
        <v>242</v>
      </c>
      <c r="B64" s="134">
        <f>CNT!N262+CNT!N223</f>
        <v>29064.620000000003</v>
      </c>
      <c r="C64" s="134">
        <v>0</v>
      </c>
      <c r="D64" s="134">
        <f>DEP!L47</f>
        <v>272.42</v>
      </c>
      <c r="E64" s="134">
        <v>0</v>
      </c>
      <c r="F64" s="134">
        <f>'BSC (Dome)'!L49</f>
        <v>1417.5100000000002</v>
      </c>
      <c r="G64" s="134">
        <v>0</v>
      </c>
      <c r="H64" s="134">
        <v>0</v>
      </c>
      <c r="I64" s="134">
        <f t="shared" si="25"/>
        <v>30754.550000000003</v>
      </c>
      <c r="J64" s="135">
        <f t="shared" si="26"/>
        <v>8.1465147008862922E-3</v>
      </c>
      <c r="K64" s="135"/>
      <c r="L64" s="122" t="s">
        <v>242</v>
      </c>
      <c r="M64" s="134">
        <v>22061.78</v>
      </c>
      <c r="N64" s="134">
        <v>0</v>
      </c>
      <c r="O64" s="134">
        <v>3672.75</v>
      </c>
      <c r="P64" s="134">
        <v>0</v>
      </c>
      <c r="Q64" s="134">
        <v>1938.02</v>
      </c>
      <c r="R64" s="134">
        <v>0</v>
      </c>
      <c r="S64" s="134">
        <v>0</v>
      </c>
      <c r="T64" s="134">
        <f t="shared" si="2"/>
        <v>27672.55</v>
      </c>
      <c r="U64" s="136">
        <f t="shared" si="27"/>
        <v>1.2003060424622116E-2</v>
      </c>
      <c r="V64" s="122" t="s">
        <v>242</v>
      </c>
      <c r="W64" s="136"/>
      <c r="X64" s="137">
        <f t="shared" si="4"/>
        <v>30754.550000000003</v>
      </c>
      <c r="Y64" s="136"/>
      <c r="Z64" s="137">
        <f t="shared" si="5"/>
        <v>27672.55</v>
      </c>
      <c r="AA64" s="136"/>
      <c r="AB64" s="137">
        <f t="shared" si="28"/>
        <v>3082.0000000000036</v>
      </c>
      <c r="AC64" s="137"/>
      <c r="AD64" s="136">
        <f t="shared" si="29"/>
        <v>1.1113739066331076</v>
      </c>
      <c r="AE64" s="137"/>
      <c r="AF64" s="136">
        <f t="shared" si="8"/>
        <v>0.11137390663310764</v>
      </c>
    </row>
    <row r="65" spans="1:32" s="63" customFormat="1" ht="54.95" customHeight="1" x14ac:dyDescent="0.85">
      <c r="A65" s="121" t="s">
        <v>243</v>
      </c>
      <c r="B65" s="134">
        <f>CNT!N224</f>
        <v>8554.1299999999992</v>
      </c>
      <c r="C65" s="134">
        <v>0</v>
      </c>
      <c r="D65" s="134">
        <f>DEP!L49</f>
        <v>3721.8099999999995</v>
      </c>
      <c r="E65" s="134">
        <v>0</v>
      </c>
      <c r="F65" s="134">
        <v>0</v>
      </c>
      <c r="G65" s="134">
        <v>0</v>
      </c>
      <c r="H65" s="134">
        <v>0</v>
      </c>
      <c r="I65" s="134">
        <f t="shared" si="25"/>
        <v>12275.939999999999</v>
      </c>
      <c r="J65" s="135">
        <f t="shared" si="26"/>
        <v>3.2517505760025116E-3</v>
      </c>
      <c r="K65" s="135"/>
      <c r="L65" s="122" t="s">
        <v>243</v>
      </c>
      <c r="M65" s="134">
        <v>2953.07</v>
      </c>
      <c r="N65" s="134">
        <v>776.44</v>
      </c>
      <c r="O65" s="134">
        <v>3125.58</v>
      </c>
      <c r="P65" s="134">
        <v>0</v>
      </c>
      <c r="Q65" s="134">
        <v>0</v>
      </c>
      <c r="R65" s="134">
        <v>0</v>
      </c>
      <c r="S65" s="134">
        <v>0</v>
      </c>
      <c r="T65" s="134">
        <f t="shared" si="2"/>
        <v>6855.09</v>
      </c>
      <c r="U65" s="136">
        <f t="shared" si="27"/>
        <v>2.9734180437373074E-3</v>
      </c>
      <c r="V65" s="122" t="s">
        <v>243</v>
      </c>
      <c r="W65" s="136"/>
      <c r="X65" s="137">
        <f t="shared" si="4"/>
        <v>12275.939999999999</v>
      </c>
      <c r="Y65" s="136"/>
      <c r="Z65" s="137">
        <f t="shared" si="5"/>
        <v>6855.09</v>
      </c>
      <c r="AA65" s="136"/>
      <c r="AB65" s="137">
        <f t="shared" si="28"/>
        <v>5420.8499999999985</v>
      </c>
      <c r="AC65" s="137"/>
      <c r="AD65" s="136">
        <f t="shared" si="29"/>
        <v>1.7907773639733393</v>
      </c>
      <c r="AE65" s="137"/>
      <c r="AF65" s="136">
        <f t="shared" si="8"/>
        <v>0.79077736397333931</v>
      </c>
    </row>
    <row r="66" spans="1:32" s="63" customFormat="1" ht="54.95" customHeight="1" x14ac:dyDescent="0.85">
      <c r="A66" s="121" t="s">
        <v>244</v>
      </c>
      <c r="B66" s="134">
        <f>CNT!N225</f>
        <v>3333.2999999999997</v>
      </c>
      <c r="C66" s="134">
        <v>0</v>
      </c>
      <c r="D66" s="134">
        <v>0</v>
      </c>
      <c r="E66" s="134">
        <v>0</v>
      </c>
      <c r="F66" s="134">
        <v>0</v>
      </c>
      <c r="G66" s="134">
        <v>0</v>
      </c>
      <c r="H66" s="134">
        <v>0</v>
      </c>
      <c r="I66" s="134">
        <f t="shared" si="25"/>
        <v>3333.2999999999997</v>
      </c>
      <c r="J66" s="135">
        <f t="shared" si="26"/>
        <v>8.8295154546121708E-4</v>
      </c>
      <c r="K66" s="135"/>
      <c r="L66" s="122" t="s">
        <v>244</v>
      </c>
      <c r="M66" s="134">
        <v>4000</v>
      </c>
      <c r="N66" s="134">
        <v>0</v>
      </c>
      <c r="O66" s="134">
        <v>0</v>
      </c>
      <c r="P66" s="134">
        <v>0</v>
      </c>
      <c r="Q66" s="134">
        <v>0</v>
      </c>
      <c r="R66" s="134">
        <v>0</v>
      </c>
      <c r="S66" s="134">
        <v>0</v>
      </c>
      <c r="T66" s="134">
        <f t="shared" si="2"/>
        <v>4000</v>
      </c>
      <c r="U66" s="136">
        <f t="shared" si="27"/>
        <v>1.7350132784469978E-3</v>
      </c>
      <c r="V66" s="122" t="s">
        <v>244</v>
      </c>
      <c r="W66" s="136"/>
      <c r="X66" s="137">
        <f t="shared" si="4"/>
        <v>3333.2999999999997</v>
      </c>
      <c r="Y66" s="136"/>
      <c r="Z66" s="137">
        <f t="shared" si="5"/>
        <v>4000</v>
      </c>
      <c r="AA66" s="136"/>
      <c r="AB66" s="137">
        <f t="shared" si="28"/>
        <v>-666.70000000000027</v>
      </c>
      <c r="AC66" s="137"/>
      <c r="AD66" s="136">
        <f t="shared" si="29"/>
        <v>0.83332499999999998</v>
      </c>
      <c r="AE66" s="137"/>
      <c r="AF66" s="136">
        <f t="shared" si="8"/>
        <v>-0.16667500000000002</v>
      </c>
    </row>
    <row r="67" spans="1:32" s="63" customFormat="1" ht="54.95" customHeight="1" x14ac:dyDescent="0.85">
      <c r="A67" s="121" t="s">
        <v>245</v>
      </c>
      <c r="B67" s="134">
        <f>CNT!N226+CNT!N229</f>
        <v>1250210.18</v>
      </c>
      <c r="C67" s="134">
        <f>BPM!L55</f>
        <v>3907.0299999999997</v>
      </c>
      <c r="D67" s="134">
        <f>DEP!L50</f>
        <v>104785.78</v>
      </c>
      <c r="E67" s="134">
        <v>0</v>
      </c>
      <c r="F67" s="134">
        <f>'BSC (Dome)'!L52</f>
        <v>93289.06</v>
      </c>
      <c r="G67" s="134">
        <f>'Oliari Co.'!L11</f>
        <v>92512.700000000026</v>
      </c>
      <c r="H67" s="134">
        <f>'722 Bedford St'!L11</f>
        <v>147135.84</v>
      </c>
      <c r="I67" s="134">
        <f t="shared" si="25"/>
        <v>1691840.59</v>
      </c>
      <c r="J67" s="135">
        <f t="shared" si="26"/>
        <v>0.4481484605689609</v>
      </c>
      <c r="K67" s="135"/>
      <c r="L67" s="122" t="s">
        <v>245</v>
      </c>
      <c r="M67" s="134">
        <v>683333</v>
      </c>
      <c r="N67" s="134">
        <v>4000</v>
      </c>
      <c r="O67" s="134">
        <v>95000</v>
      </c>
      <c r="P67" s="134">
        <v>0</v>
      </c>
      <c r="Q67" s="134">
        <v>90000</v>
      </c>
      <c r="R67" s="134">
        <v>35163.4</v>
      </c>
      <c r="S67" s="134">
        <v>0</v>
      </c>
      <c r="T67" s="134">
        <f t="shared" si="2"/>
        <v>907496.4</v>
      </c>
      <c r="U67" s="136">
        <f t="shared" si="27"/>
        <v>0.39362957603571203</v>
      </c>
      <c r="V67" s="122" t="s">
        <v>245</v>
      </c>
      <c r="W67" s="136"/>
      <c r="X67" s="137">
        <f t="shared" si="4"/>
        <v>1691840.59</v>
      </c>
      <c r="Y67" s="136"/>
      <c r="Z67" s="137">
        <f t="shared" si="5"/>
        <v>907496.4</v>
      </c>
      <c r="AA67" s="136"/>
      <c r="AB67" s="137">
        <f t="shared" si="28"/>
        <v>784344.19000000006</v>
      </c>
      <c r="AC67" s="137"/>
      <c r="AD67" s="136">
        <f t="shared" si="29"/>
        <v>1.864294547063768</v>
      </c>
      <c r="AE67" s="137"/>
      <c r="AF67" s="136">
        <f t="shared" si="8"/>
        <v>0.86429454706376796</v>
      </c>
    </row>
    <row r="68" spans="1:32" s="63" customFormat="1" ht="54.95" customHeight="1" x14ac:dyDescent="0.85">
      <c r="A68" s="121" t="s">
        <v>255</v>
      </c>
      <c r="B68" s="134">
        <f>CNT!N245</f>
        <v>1560.6100000000001</v>
      </c>
      <c r="C68" s="134">
        <v>0</v>
      </c>
      <c r="D68" s="134">
        <v>0</v>
      </c>
      <c r="E68" s="134">
        <v>0</v>
      </c>
      <c r="F68" s="134">
        <v>0</v>
      </c>
      <c r="G68" s="134">
        <v>0</v>
      </c>
      <c r="H68" s="134">
        <v>0</v>
      </c>
      <c r="I68" s="134">
        <f t="shared" si="25"/>
        <v>1560.6100000000001</v>
      </c>
      <c r="J68" s="135">
        <f t="shared" si="26"/>
        <v>4.1338703727904181E-4</v>
      </c>
      <c r="K68" s="135"/>
      <c r="L68" s="122" t="s">
        <v>255</v>
      </c>
      <c r="M68" s="134">
        <v>3039.31</v>
      </c>
      <c r="N68" s="134">
        <v>0</v>
      </c>
      <c r="O68" s="134">
        <v>0</v>
      </c>
      <c r="P68" s="134">
        <v>0</v>
      </c>
      <c r="Q68" s="134">
        <f>1016.98+327.56</f>
        <v>1344.54</v>
      </c>
      <c r="R68" s="134">
        <v>-1113.3599999999999</v>
      </c>
      <c r="S68" s="134">
        <v>0</v>
      </c>
      <c r="T68" s="134">
        <f t="shared" si="2"/>
        <v>3270.4900000000007</v>
      </c>
      <c r="U68" s="136">
        <f t="shared" si="27"/>
        <v>1.4185858942570306E-3</v>
      </c>
      <c r="V68" s="122" t="s">
        <v>255</v>
      </c>
      <c r="W68" s="136"/>
      <c r="X68" s="137">
        <f t="shared" si="4"/>
        <v>1560.6100000000001</v>
      </c>
      <c r="Y68" s="136"/>
      <c r="Z68" s="137">
        <f t="shared" si="5"/>
        <v>3270.4900000000007</v>
      </c>
      <c r="AA68" s="136"/>
      <c r="AB68" s="137">
        <f t="shared" si="28"/>
        <v>-1709.8800000000006</v>
      </c>
      <c r="AC68" s="137"/>
      <c r="AD68" s="136">
        <f t="shared" si="29"/>
        <v>0.47717926060009352</v>
      </c>
      <c r="AE68" s="137"/>
      <c r="AF68" s="136">
        <f t="shared" si="8"/>
        <v>-0.52282073939990648</v>
      </c>
    </row>
    <row r="69" spans="1:32" s="63" customFormat="1" ht="54.95" customHeight="1" x14ac:dyDescent="0.85">
      <c r="A69" s="121" t="s">
        <v>358</v>
      </c>
      <c r="B69" s="134">
        <f>CNT!N259</f>
        <v>1753</v>
      </c>
      <c r="C69" s="134">
        <f>BPM!L67</f>
        <v>408.90000000000003</v>
      </c>
      <c r="D69" s="134">
        <f>DEP!L69</f>
        <v>449</v>
      </c>
      <c r="E69" s="134">
        <f>Lending!L10</f>
        <v>109</v>
      </c>
      <c r="F69" s="134">
        <f>'BSC (Dome)'!L47</f>
        <v>965</v>
      </c>
      <c r="G69" s="134">
        <f>'Oliari Co.'!L10</f>
        <v>520</v>
      </c>
      <c r="H69" s="134">
        <f>'722 Bedford St'!L10</f>
        <v>520</v>
      </c>
      <c r="I69" s="134">
        <f t="shared" si="25"/>
        <v>4724.8999999999996</v>
      </c>
      <c r="J69" s="135">
        <f t="shared" si="26"/>
        <v>1.2515698428433397E-3</v>
      </c>
      <c r="K69" s="135"/>
      <c r="L69" s="122" t="s">
        <v>358</v>
      </c>
      <c r="M69" s="134">
        <v>0</v>
      </c>
      <c r="N69" s="134">
        <v>0</v>
      </c>
      <c r="O69" s="134">
        <v>0</v>
      </c>
      <c r="P69" s="134">
        <v>0</v>
      </c>
      <c r="Q69" s="134">
        <v>565</v>
      </c>
      <c r="R69" s="134">
        <v>0</v>
      </c>
      <c r="S69" s="134">
        <v>520</v>
      </c>
      <c r="T69" s="134">
        <f t="shared" si="2"/>
        <v>1085</v>
      </c>
      <c r="U69" s="136">
        <f t="shared" si="27"/>
        <v>4.7062235177874813E-4</v>
      </c>
      <c r="V69" s="122" t="s">
        <v>358</v>
      </c>
      <c r="W69" s="136"/>
      <c r="X69" s="137">
        <f t="shared" si="4"/>
        <v>4724.8999999999996</v>
      </c>
      <c r="Y69" s="136"/>
      <c r="Z69" s="137">
        <f t="shared" si="5"/>
        <v>1085</v>
      </c>
      <c r="AA69" s="136"/>
      <c r="AB69" s="137">
        <f t="shared" si="28"/>
        <v>3639.8999999999996</v>
      </c>
      <c r="AC69" s="137"/>
      <c r="AD69" s="136">
        <f t="shared" si="29"/>
        <v>4.3547465437788011</v>
      </c>
      <c r="AE69" s="137"/>
      <c r="AF69" s="136">
        <f t="shared" si="8"/>
        <v>3.3547465437788011</v>
      </c>
    </row>
    <row r="70" spans="1:32" s="63" customFormat="1" ht="54.95" customHeight="1" x14ac:dyDescent="0.85">
      <c r="A70" s="121" t="s">
        <v>248</v>
      </c>
      <c r="B70" s="134">
        <f>CNT!N244</f>
        <v>14462.27</v>
      </c>
      <c r="C70" s="134">
        <f>BPM!L68</f>
        <v>2458.59</v>
      </c>
      <c r="D70" s="134">
        <f>DEP!L51</f>
        <v>16552.589999999997</v>
      </c>
      <c r="E70" s="134">
        <v>0</v>
      </c>
      <c r="F70" s="134">
        <v>0</v>
      </c>
      <c r="G70" s="134">
        <v>0</v>
      </c>
      <c r="H70" s="134">
        <v>0</v>
      </c>
      <c r="I70" s="134">
        <f t="shared" si="25"/>
        <v>33473.449999999997</v>
      </c>
      <c r="J70" s="135">
        <f t="shared" si="26"/>
        <v>8.8667189900155322E-3</v>
      </c>
      <c r="K70" s="135"/>
      <c r="L70" s="122" t="s">
        <v>248</v>
      </c>
      <c r="M70" s="134">
        <v>5556.71</v>
      </c>
      <c r="N70" s="134">
        <v>0</v>
      </c>
      <c r="O70" s="134">
        <v>6347.95</v>
      </c>
      <c r="P70" s="134">
        <v>0</v>
      </c>
      <c r="Q70" s="134">
        <v>0</v>
      </c>
      <c r="R70" s="134">
        <v>0</v>
      </c>
      <c r="S70" s="134">
        <v>0</v>
      </c>
      <c r="T70" s="134">
        <f t="shared" si="2"/>
        <v>11904.66</v>
      </c>
      <c r="U70" s="136">
        <f>T70/$T$74</f>
        <v>5.1636857938492089E-3</v>
      </c>
      <c r="V70" s="122" t="s">
        <v>248</v>
      </c>
      <c r="W70" s="136"/>
      <c r="X70" s="137">
        <f t="shared" si="4"/>
        <v>33473.449999999997</v>
      </c>
      <c r="Y70" s="136"/>
      <c r="Z70" s="137">
        <f t="shared" si="5"/>
        <v>11904.66</v>
      </c>
      <c r="AA70" s="136"/>
      <c r="AB70" s="137">
        <f t="shared" si="28"/>
        <v>21568.789999999997</v>
      </c>
      <c r="AC70" s="137"/>
      <c r="AD70" s="136">
        <f t="shared" si="29"/>
        <v>2.811793868955518</v>
      </c>
      <c r="AE70" s="137"/>
      <c r="AF70" s="136">
        <f t="shared" si="8"/>
        <v>1.811793868955518</v>
      </c>
    </row>
    <row r="71" spans="1:32" s="63" customFormat="1" ht="54.95" customHeight="1" x14ac:dyDescent="0.85">
      <c r="A71" s="121" t="s">
        <v>249</v>
      </c>
      <c r="B71" s="134">
        <f>CNT!N248+CNT!N228</f>
        <v>111555.28999999998</v>
      </c>
      <c r="C71" s="134">
        <f>BPM!L62</f>
        <v>19617.41</v>
      </c>
      <c r="D71" s="134">
        <f>DEP!L48</f>
        <v>71986.22</v>
      </c>
      <c r="E71" s="134">
        <v>0</v>
      </c>
      <c r="F71" s="134">
        <v>0</v>
      </c>
      <c r="G71" s="134">
        <v>0</v>
      </c>
      <c r="H71" s="134">
        <v>0</v>
      </c>
      <c r="I71" s="134">
        <f t="shared" si="25"/>
        <v>203158.91999999998</v>
      </c>
      <c r="J71" s="135">
        <f t="shared" si="26"/>
        <v>5.3814382860298132E-2</v>
      </c>
      <c r="K71" s="135"/>
      <c r="L71" s="122" t="s">
        <v>249</v>
      </c>
      <c r="M71" s="134">
        <v>1675</v>
      </c>
      <c r="N71" s="134">
        <v>0</v>
      </c>
      <c r="O71" s="134">
        <v>61682.02</v>
      </c>
      <c r="P71" s="134">
        <v>0</v>
      </c>
      <c r="Q71" s="134">
        <v>0</v>
      </c>
      <c r="R71" s="134">
        <v>0</v>
      </c>
      <c r="S71" s="134">
        <v>0</v>
      </c>
      <c r="T71" s="134">
        <f t="shared" si="2"/>
        <v>63357.02</v>
      </c>
      <c r="U71" s="136">
        <f>T71/$T$74</f>
        <v>2.7481317745708E-2</v>
      </c>
      <c r="V71" s="122" t="s">
        <v>249</v>
      </c>
      <c r="W71" s="136"/>
      <c r="X71" s="137">
        <f t="shared" si="4"/>
        <v>203158.91999999998</v>
      </c>
      <c r="Y71" s="136"/>
      <c r="Z71" s="137">
        <f t="shared" si="5"/>
        <v>63357.02</v>
      </c>
      <c r="AA71" s="136"/>
      <c r="AB71" s="137">
        <f t="shared" si="28"/>
        <v>139801.9</v>
      </c>
      <c r="AC71" s="137"/>
      <c r="AD71" s="136">
        <f t="shared" si="29"/>
        <v>3.2065731626897853</v>
      </c>
      <c r="AE71" s="137"/>
      <c r="AF71" s="136">
        <f t="shared" si="8"/>
        <v>2.2065731626897853</v>
      </c>
    </row>
    <row r="72" spans="1:32" s="63" customFormat="1" ht="54.95" customHeight="1" x14ac:dyDescent="0.85">
      <c r="A72" s="121" t="s">
        <v>371</v>
      </c>
      <c r="B72" s="134">
        <f>CNT!N253</f>
        <v>28134.729999999996</v>
      </c>
      <c r="C72" s="134">
        <v>0</v>
      </c>
      <c r="D72" s="134">
        <f>DEP!L52</f>
        <v>7476.93</v>
      </c>
      <c r="E72" s="134">
        <v>0</v>
      </c>
      <c r="F72" s="134">
        <f>'BSC (Dome)'!L54</f>
        <v>2372.79</v>
      </c>
      <c r="G72" s="134">
        <v>0</v>
      </c>
      <c r="H72" s="134">
        <v>0</v>
      </c>
      <c r="I72" s="134">
        <f t="shared" si="25"/>
        <v>37984.449999999997</v>
      </c>
      <c r="J72" s="135">
        <f t="shared" si="26"/>
        <v>1.0061629265590953E-2</v>
      </c>
      <c r="K72" s="135"/>
      <c r="L72" s="122" t="s">
        <v>371</v>
      </c>
      <c r="M72" s="134">
        <v>0</v>
      </c>
      <c r="N72" s="134">
        <v>0</v>
      </c>
      <c r="O72" s="134">
        <v>0</v>
      </c>
      <c r="P72" s="134">
        <v>0</v>
      </c>
      <c r="Q72" s="134">
        <v>0</v>
      </c>
      <c r="R72" s="134">
        <v>0</v>
      </c>
      <c r="S72" s="134">
        <v>0</v>
      </c>
      <c r="T72" s="134">
        <f t="shared" si="2"/>
        <v>0</v>
      </c>
      <c r="U72" s="136">
        <f>T72/$T$74</f>
        <v>0</v>
      </c>
      <c r="V72" s="122" t="s">
        <v>371</v>
      </c>
      <c r="W72" s="136"/>
      <c r="X72" s="137">
        <f t="shared" si="4"/>
        <v>37984.449999999997</v>
      </c>
      <c r="Y72" s="136"/>
      <c r="Z72" s="137">
        <f t="shared" si="5"/>
        <v>0</v>
      </c>
      <c r="AA72" s="136"/>
      <c r="AB72" s="137">
        <f t="shared" si="28"/>
        <v>37984.449999999997</v>
      </c>
      <c r="AC72" s="137"/>
      <c r="AD72" s="149">
        <v>0</v>
      </c>
      <c r="AE72" s="137"/>
      <c r="AF72" s="136">
        <f t="shared" si="8"/>
        <v>-1</v>
      </c>
    </row>
    <row r="73" spans="1:32" s="63" customFormat="1" ht="54.95" customHeight="1" x14ac:dyDescent="0.85">
      <c r="A73" s="121" t="s">
        <v>372</v>
      </c>
      <c r="B73" s="134">
        <f>CNT!N254</f>
        <v>15389.529999999999</v>
      </c>
      <c r="C73" s="134">
        <f>BPM!L61</f>
        <v>6132.9</v>
      </c>
      <c r="D73" s="134">
        <f>DEP!L53</f>
        <v>7964.5299999999988</v>
      </c>
      <c r="E73" s="134">
        <v>0</v>
      </c>
      <c r="F73" s="134">
        <f>'BSC (Dome)'!L55</f>
        <v>5453.7199999999993</v>
      </c>
      <c r="G73" s="134">
        <v>0</v>
      </c>
      <c r="H73" s="134">
        <v>0</v>
      </c>
      <c r="I73" s="134">
        <f t="shared" si="25"/>
        <v>34940.68</v>
      </c>
      <c r="J73" s="135">
        <f t="shared" si="26"/>
        <v>9.2553707753475056E-3</v>
      </c>
      <c r="K73" s="135"/>
      <c r="L73" s="122" t="s">
        <v>372</v>
      </c>
      <c r="M73" s="134">
        <v>0</v>
      </c>
      <c r="N73" s="134">
        <v>0</v>
      </c>
      <c r="O73" s="134">
        <v>0</v>
      </c>
      <c r="P73" s="134">
        <v>0</v>
      </c>
      <c r="Q73" s="134">
        <v>0</v>
      </c>
      <c r="R73" s="134">
        <v>0</v>
      </c>
      <c r="S73" s="134">
        <v>0</v>
      </c>
      <c r="T73" s="134">
        <f t="shared" si="2"/>
        <v>0</v>
      </c>
      <c r="U73" s="136">
        <f>T73/$T$74</f>
        <v>0</v>
      </c>
      <c r="V73" s="122" t="s">
        <v>372</v>
      </c>
      <c r="W73" s="136"/>
      <c r="X73" s="137">
        <f t="shared" si="4"/>
        <v>34940.68</v>
      </c>
      <c r="Y73" s="136"/>
      <c r="Z73" s="137">
        <f t="shared" si="5"/>
        <v>0</v>
      </c>
      <c r="AA73" s="136"/>
      <c r="AB73" s="137">
        <f t="shared" si="28"/>
        <v>34940.68</v>
      </c>
      <c r="AC73" s="137"/>
      <c r="AD73" s="149">
        <v>0</v>
      </c>
      <c r="AE73" s="137"/>
      <c r="AF73" s="150">
        <f t="shared" si="8"/>
        <v>-1</v>
      </c>
    </row>
    <row r="74" spans="1:32" s="63" customFormat="1" ht="54.95" customHeight="1" x14ac:dyDescent="0.85">
      <c r="A74" s="132" t="s">
        <v>250</v>
      </c>
      <c r="B74" s="139">
        <f>SUM(B52:B73)</f>
        <v>2239577.2599999998</v>
      </c>
      <c r="C74" s="139">
        <f t="shared" ref="C74:H74" si="30">SUM(C52:C73)</f>
        <v>90304.73</v>
      </c>
      <c r="D74" s="139">
        <f t="shared" si="30"/>
        <v>954813.77000000025</v>
      </c>
      <c r="E74" s="139">
        <f t="shared" si="30"/>
        <v>109</v>
      </c>
      <c r="F74" s="139">
        <f>SUM(F52:F73)</f>
        <v>249685.55000000005</v>
      </c>
      <c r="G74" s="139">
        <f>SUM(G52:G73)</f>
        <v>93032.700000000026</v>
      </c>
      <c r="H74" s="139">
        <f t="shared" si="30"/>
        <v>147655.84</v>
      </c>
      <c r="I74" s="139">
        <f t="shared" si="25"/>
        <v>3775178.8499999996</v>
      </c>
      <c r="J74" s="140">
        <f>SUM(J52:J73)</f>
        <v>1</v>
      </c>
      <c r="K74" s="141"/>
      <c r="L74" s="133" t="s">
        <v>250</v>
      </c>
      <c r="M74" s="139">
        <f t="shared" ref="M74:S74" si="31">SUM(M52:M73)</f>
        <v>1408838.4300000002</v>
      </c>
      <c r="N74" s="139">
        <f t="shared" si="31"/>
        <v>14941.33</v>
      </c>
      <c r="O74" s="139">
        <f t="shared" si="31"/>
        <v>575293.91999999993</v>
      </c>
      <c r="P74" s="139">
        <f t="shared" si="31"/>
        <v>0</v>
      </c>
      <c r="Q74" s="139">
        <f t="shared" si="31"/>
        <v>271814.13999999996</v>
      </c>
      <c r="R74" s="139">
        <f t="shared" si="31"/>
        <v>34050.04</v>
      </c>
      <c r="S74" s="139">
        <f t="shared" si="31"/>
        <v>520</v>
      </c>
      <c r="T74" s="139">
        <f t="shared" si="2"/>
        <v>2305457.8600000003</v>
      </c>
      <c r="U74" s="142">
        <f>SUM(U52:U73)</f>
        <v>0.99999999999999978</v>
      </c>
      <c r="V74" s="133" t="s">
        <v>250</v>
      </c>
      <c r="W74" s="143"/>
      <c r="X74" s="144">
        <f t="shared" si="4"/>
        <v>3775178.8499999996</v>
      </c>
      <c r="Y74" s="143"/>
      <c r="Z74" s="144">
        <f t="shared" si="5"/>
        <v>2305457.8600000003</v>
      </c>
      <c r="AA74" s="143"/>
      <c r="AB74" s="144">
        <f>I74-T74</f>
        <v>1469720.9899999993</v>
      </c>
      <c r="AC74" s="144"/>
      <c r="AD74" s="142">
        <f>I74/T74</f>
        <v>1.6374963583155664</v>
      </c>
      <c r="AE74" s="144"/>
      <c r="AF74" s="142">
        <f t="shared" si="8"/>
        <v>0.63749635831556639</v>
      </c>
    </row>
    <row r="75" spans="1:32" s="63" customFormat="1" ht="54.95" customHeight="1" x14ac:dyDescent="0.85">
      <c r="A75" s="121"/>
      <c r="B75" s="134"/>
      <c r="C75" s="134"/>
      <c r="D75" s="134"/>
      <c r="E75" s="134"/>
      <c r="F75" s="134"/>
      <c r="G75" s="134"/>
      <c r="H75" s="134"/>
      <c r="I75" s="134"/>
      <c r="J75" s="122"/>
      <c r="K75" s="122"/>
      <c r="L75" s="122"/>
      <c r="M75" s="134"/>
      <c r="N75" s="134"/>
      <c r="O75" s="134"/>
      <c r="P75" s="134"/>
      <c r="Q75" s="134"/>
      <c r="R75" s="134"/>
      <c r="S75" s="134"/>
      <c r="T75" s="134"/>
      <c r="U75" s="121"/>
      <c r="V75" s="122"/>
      <c r="W75" s="121"/>
      <c r="X75" s="137"/>
      <c r="Y75" s="121"/>
      <c r="Z75" s="137">
        <f t="shared" si="5"/>
        <v>0</v>
      </c>
      <c r="AA75" s="121"/>
      <c r="AB75" s="137"/>
      <c r="AC75" s="137"/>
      <c r="AD75" s="136"/>
      <c r="AE75" s="137"/>
      <c r="AF75" s="136"/>
    </row>
    <row r="76" spans="1:32" s="63" customFormat="1" ht="54.95" customHeight="1" x14ac:dyDescent="0.85">
      <c r="A76" s="132" t="s">
        <v>251</v>
      </c>
      <c r="B76" s="134"/>
      <c r="C76" s="134"/>
      <c r="D76" s="134"/>
      <c r="E76" s="134"/>
      <c r="F76" s="134"/>
      <c r="G76" s="134"/>
      <c r="H76" s="134"/>
      <c r="I76" s="134"/>
      <c r="J76" s="122"/>
      <c r="K76" s="122"/>
      <c r="L76" s="133" t="s">
        <v>251</v>
      </c>
      <c r="M76" s="134"/>
      <c r="N76" s="134"/>
      <c r="O76" s="134"/>
      <c r="P76" s="134"/>
      <c r="Q76" s="134"/>
      <c r="R76" s="134"/>
      <c r="S76" s="134"/>
      <c r="T76" s="134"/>
      <c r="U76" s="121"/>
      <c r="V76" s="133" t="s">
        <v>251</v>
      </c>
      <c r="W76" s="121"/>
      <c r="X76" s="137"/>
      <c r="Y76" s="121"/>
      <c r="Z76" s="137">
        <f t="shared" si="5"/>
        <v>0</v>
      </c>
      <c r="AA76" s="121"/>
      <c r="AB76" s="137"/>
      <c r="AC76" s="137"/>
      <c r="AD76" s="136"/>
      <c r="AE76" s="137"/>
      <c r="AF76" s="136"/>
    </row>
    <row r="77" spans="1:32" s="63" customFormat="1" ht="54.95" customHeight="1" x14ac:dyDescent="0.85">
      <c r="A77" s="121" t="s">
        <v>252</v>
      </c>
      <c r="B77" s="134">
        <f>CNT!N235</f>
        <v>8850.92</v>
      </c>
      <c r="C77" s="134">
        <v>0</v>
      </c>
      <c r="D77" s="134">
        <f>DEP!L57</f>
        <v>1549.8</v>
      </c>
      <c r="E77" s="134">
        <v>0</v>
      </c>
      <c r="F77" s="134">
        <f>'BSC (Dome)'!L59</f>
        <v>3133.06</v>
      </c>
      <c r="G77" s="134">
        <v>0</v>
      </c>
      <c r="H77" s="134">
        <v>0</v>
      </c>
      <c r="I77" s="134">
        <f t="shared" ref="I77:I98" si="32">SUM(B77:H77)</f>
        <v>13533.779999999999</v>
      </c>
      <c r="J77" s="135">
        <f t="shared" ref="J77:J95" si="33">I77/$I$96</f>
        <v>1.3593147664630847E-2</v>
      </c>
      <c r="K77" s="135"/>
      <c r="L77" s="122" t="s">
        <v>252</v>
      </c>
      <c r="M77" s="134">
        <v>9880.1200000000008</v>
      </c>
      <c r="N77" s="134">
        <v>0</v>
      </c>
      <c r="O77" s="134">
        <v>1515.22</v>
      </c>
      <c r="P77" s="134">
        <v>0</v>
      </c>
      <c r="Q77" s="134">
        <v>0</v>
      </c>
      <c r="R77" s="134">
        <v>0</v>
      </c>
      <c r="S77" s="134">
        <v>0</v>
      </c>
      <c r="T77" s="134">
        <f t="shared" si="2"/>
        <v>11395.34</v>
      </c>
      <c r="U77" s="136">
        <f t="shared" ref="U77:U95" si="34">T77/$T$96</f>
        <v>1.2615780654001372E-2</v>
      </c>
      <c r="V77" s="122" t="s">
        <v>252</v>
      </c>
      <c r="W77" s="136"/>
      <c r="X77" s="137">
        <f t="shared" si="4"/>
        <v>13533.779999999999</v>
      </c>
      <c r="Y77" s="136"/>
      <c r="Z77" s="137">
        <f t="shared" si="5"/>
        <v>11395.34</v>
      </c>
      <c r="AA77" s="136"/>
      <c r="AB77" s="137">
        <f>I77-T77</f>
        <v>2138.4399999999987</v>
      </c>
      <c r="AC77" s="137"/>
      <c r="AD77" s="136">
        <f>I77/T77</f>
        <v>1.1876591659397613</v>
      </c>
      <c r="AE77" s="137"/>
      <c r="AF77" s="136">
        <f t="shared" si="8"/>
        <v>0.18765916593976129</v>
      </c>
    </row>
    <row r="78" spans="1:32" s="63" customFormat="1" ht="54.95" customHeight="1" x14ac:dyDescent="0.85">
      <c r="A78" s="121" t="s">
        <v>394</v>
      </c>
      <c r="B78" s="134">
        <f>CNT!N233</f>
        <v>4500</v>
      </c>
      <c r="C78" s="134">
        <v>0</v>
      </c>
      <c r="D78" s="134">
        <v>0</v>
      </c>
      <c r="E78" s="134">
        <v>0</v>
      </c>
      <c r="F78" s="134">
        <v>0</v>
      </c>
      <c r="G78" s="134">
        <v>0</v>
      </c>
      <c r="H78" s="134">
        <v>0</v>
      </c>
      <c r="I78" s="134">
        <f t="shared" si="32"/>
        <v>4500</v>
      </c>
      <c r="J78" s="135">
        <f t="shared" si="33"/>
        <v>4.5197398281070639E-3</v>
      </c>
      <c r="K78" s="135"/>
      <c r="L78" s="122" t="s">
        <v>394</v>
      </c>
      <c r="M78" s="134">
        <v>2500</v>
      </c>
      <c r="N78" s="134">
        <v>0</v>
      </c>
      <c r="O78" s="134">
        <v>0</v>
      </c>
      <c r="P78" s="134">
        <v>0</v>
      </c>
      <c r="Q78" s="134">
        <v>0</v>
      </c>
      <c r="R78" s="134">
        <v>0</v>
      </c>
      <c r="S78" s="134">
        <v>0</v>
      </c>
      <c r="T78" s="134">
        <f>SUM(M78:S78)</f>
        <v>2500</v>
      </c>
      <c r="U78" s="136">
        <f t="shared" si="34"/>
        <v>2.7677499429594405E-3</v>
      </c>
      <c r="V78" s="122" t="s">
        <v>394</v>
      </c>
      <c r="W78" s="136"/>
      <c r="X78" s="137">
        <f t="shared" si="4"/>
        <v>4500</v>
      </c>
      <c r="Y78" s="136"/>
      <c r="Z78" s="137">
        <f t="shared" si="5"/>
        <v>2500</v>
      </c>
      <c r="AA78" s="136"/>
      <c r="AB78" s="137">
        <f>I78-T78</f>
        <v>2000</v>
      </c>
      <c r="AC78" s="137"/>
      <c r="AD78" s="136">
        <f>I78/T78</f>
        <v>1.8</v>
      </c>
      <c r="AE78" s="137"/>
      <c r="AF78" s="136">
        <f>AD78-1</f>
        <v>0.8</v>
      </c>
    </row>
    <row r="79" spans="1:32" s="63" customFormat="1" ht="54.95" customHeight="1" x14ac:dyDescent="0.85">
      <c r="A79" s="121" t="s">
        <v>253</v>
      </c>
      <c r="B79" s="134">
        <f>CNT!N236</f>
        <v>102677.48999999999</v>
      </c>
      <c r="C79" s="134">
        <f>BPM!L59</f>
        <v>8558.14</v>
      </c>
      <c r="D79" s="134">
        <f>DEP!L58</f>
        <v>7379.1600000000008</v>
      </c>
      <c r="E79" s="134">
        <f>Lending!L9</f>
        <v>2029.5100000000002</v>
      </c>
      <c r="F79" s="134">
        <f>'BSC (Dome)'!L60</f>
        <v>2538.8799999999992</v>
      </c>
      <c r="G79" s="134">
        <v>0</v>
      </c>
      <c r="H79" s="134">
        <f>'722 Bedford St'!L16</f>
        <v>791.58000000000015</v>
      </c>
      <c r="I79" s="134">
        <f t="shared" si="32"/>
        <v>123974.76</v>
      </c>
      <c r="J79" s="135">
        <f t="shared" si="33"/>
        <v>0.12451859121155877</v>
      </c>
      <c r="K79" s="135"/>
      <c r="L79" s="122" t="s">
        <v>253</v>
      </c>
      <c r="M79" s="134">
        <v>111921.53</v>
      </c>
      <c r="N79" s="134">
        <v>6854.68</v>
      </c>
      <c r="O79" s="134">
        <v>7389.44</v>
      </c>
      <c r="P79" s="134">
        <v>1982.18</v>
      </c>
      <c r="Q79" s="134">
        <v>3480.36</v>
      </c>
      <c r="R79" s="134">
        <v>54</v>
      </c>
      <c r="S79" s="134">
        <v>767.05</v>
      </c>
      <c r="T79" s="134">
        <f t="shared" si="2"/>
        <v>132449.23999999996</v>
      </c>
      <c r="U79" s="136">
        <f t="shared" si="34"/>
        <v>0.14663455058200847</v>
      </c>
      <c r="V79" s="122" t="s">
        <v>253</v>
      </c>
      <c r="W79" s="136"/>
      <c r="X79" s="137">
        <f t="shared" si="4"/>
        <v>123974.76</v>
      </c>
      <c r="Y79" s="136"/>
      <c r="Z79" s="137">
        <f t="shared" si="5"/>
        <v>132449.23999999996</v>
      </c>
      <c r="AA79" s="136"/>
      <c r="AB79" s="137">
        <f t="shared" ref="AB79:AB94" si="35">I79-T79</f>
        <v>-8474.4799999999668</v>
      </c>
      <c r="AC79" s="137"/>
      <c r="AD79" s="136">
        <f t="shared" ref="AD79:AD91" si="36">I79/T79</f>
        <v>0.9360171489092729</v>
      </c>
      <c r="AE79" s="137"/>
      <c r="AF79" s="136">
        <f t="shared" si="8"/>
        <v>-6.39828510907271E-2</v>
      </c>
    </row>
    <row r="80" spans="1:32" s="63" customFormat="1" ht="54.95" customHeight="1" x14ac:dyDescent="0.85">
      <c r="A80" s="121" t="s">
        <v>365</v>
      </c>
      <c r="B80" s="134">
        <v>0</v>
      </c>
      <c r="C80" s="134">
        <v>0</v>
      </c>
      <c r="D80" s="134">
        <v>0</v>
      </c>
      <c r="E80" s="134">
        <v>0</v>
      </c>
      <c r="F80" s="134">
        <f>'BSC (Dome)'!L61</f>
        <v>3885.13</v>
      </c>
      <c r="G80" s="134">
        <v>0</v>
      </c>
      <c r="H80" s="134">
        <v>0</v>
      </c>
      <c r="I80" s="134">
        <f t="shared" si="32"/>
        <v>3885.13</v>
      </c>
      <c r="J80" s="135">
        <f t="shared" si="33"/>
        <v>3.9021726218607992E-3</v>
      </c>
      <c r="K80" s="135"/>
      <c r="L80" s="122" t="s">
        <v>365</v>
      </c>
      <c r="M80" s="134">
        <v>0</v>
      </c>
      <c r="N80" s="134">
        <v>0</v>
      </c>
      <c r="O80" s="134">
        <v>0</v>
      </c>
      <c r="P80" s="134">
        <v>0</v>
      </c>
      <c r="Q80" s="134">
        <v>3279.55</v>
      </c>
      <c r="R80" s="134">
        <v>0</v>
      </c>
      <c r="S80" s="134">
        <v>0</v>
      </c>
      <c r="T80" s="134">
        <f>SUM(M80:S80)</f>
        <v>3279.55</v>
      </c>
      <c r="U80" s="136">
        <f t="shared" si="34"/>
        <v>3.6307897301730537E-3</v>
      </c>
      <c r="V80" s="122" t="s">
        <v>365</v>
      </c>
      <c r="W80" s="136"/>
      <c r="X80" s="137">
        <f t="shared" si="4"/>
        <v>3885.13</v>
      </c>
      <c r="Y80" s="136"/>
      <c r="Z80" s="137">
        <f t="shared" si="5"/>
        <v>3279.55</v>
      </c>
      <c r="AA80" s="136"/>
      <c r="AB80" s="137">
        <f t="shared" si="35"/>
        <v>605.57999999999993</v>
      </c>
      <c r="AC80" s="137"/>
      <c r="AD80" s="136">
        <f t="shared" si="36"/>
        <v>1.1846533823237944</v>
      </c>
      <c r="AE80" s="137"/>
      <c r="AF80" s="136">
        <f t="shared" si="8"/>
        <v>0.18465338232379436</v>
      </c>
    </row>
    <row r="81" spans="1:32" s="63" customFormat="1" ht="54.95" customHeight="1" x14ac:dyDescent="0.85">
      <c r="A81" s="121" t="s">
        <v>254</v>
      </c>
      <c r="B81" s="134">
        <f>CNT!N238</f>
        <v>3869.16</v>
      </c>
      <c r="C81" s="134">
        <v>0</v>
      </c>
      <c r="D81" s="134">
        <f>DEP!L68</f>
        <v>899.5</v>
      </c>
      <c r="E81" s="134">
        <v>0</v>
      </c>
      <c r="F81" s="134">
        <f>'BSC (Dome)'!L65</f>
        <v>1068.2</v>
      </c>
      <c r="G81" s="134">
        <v>0</v>
      </c>
      <c r="H81" s="134">
        <v>0</v>
      </c>
      <c r="I81" s="134">
        <f t="shared" si="32"/>
        <v>5836.86</v>
      </c>
      <c r="J81" s="135">
        <f t="shared" si="33"/>
        <v>5.8624641362411099E-3</v>
      </c>
      <c r="K81" s="135"/>
      <c r="L81" s="122" t="s">
        <v>254</v>
      </c>
      <c r="M81" s="134">
        <v>9684.81</v>
      </c>
      <c r="N81" s="134">
        <v>0</v>
      </c>
      <c r="O81" s="134">
        <v>100</v>
      </c>
      <c r="P81" s="134">
        <v>0</v>
      </c>
      <c r="Q81" s="134">
        <v>4391.9399999999996</v>
      </c>
      <c r="R81" s="134">
        <v>0</v>
      </c>
      <c r="S81" s="134">
        <v>0</v>
      </c>
      <c r="T81" s="134">
        <f t="shared" si="2"/>
        <v>14176.75</v>
      </c>
      <c r="U81" s="136">
        <f t="shared" si="34"/>
        <v>1.56950796015401E-2</v>
      </c>
      <c r="V81" s="122" t="s">
        <v>254</v>
      </c>
      <c r="W81" s="136"/>
      <c r="X81" s="137">
        <f t="shared" ref="X81:X116" si="37">I81</f>
        <v>5836.86</v>
      </c>
      <c r="Y81" s="136"/>
      <c r="Z81" s="137">
        <f t="shared" ref="Z81:Z116" si="38">T81</f>
        <v>14176.75</v>
      </c>
      <c r="AA81" s="136"/>
      <c r="AB81" s="137">
        <f t="shared" si="35"/>
        <v>-8339.89</v>
      </c>
      <c r="AC81" s="137"/>
      <c r="AD81" s="136">
        <f t="shared" si="36"/>
        <v>0.41172059886786461</v>
      </c>
      <c r="AE81" s="137"/>
      <c r="AF81" s="136">
        <f t="shared" si="8"/>
        <v>-0.58827940113213539</v>
      </c>
    </row>
    <row r="82" spans="1:32" s="63" customFormat="1" ht="54.95" customHeight="1" x14ac:dyDescent="0.85">
      <c r="A82" s="121" t="s">
        <v>362</v>
      </c>
      <c r="B82" s="134">
        <f>CNT!N256</f>
        <v>291142.85000000003</v>
      </c>
      <c r="C82" s="134">
        <f>BPM!L64</f>
        <v>10421.75</v>
      </c>
      <c r="D82" s="134">
        <f>DEP!L62</f>
        <v>45000</v>
      </c>
      <c r="E82" s="134">
        <f>Lending!L12</f>
        <v>1806.6800000000003</v>
      </c>
      <c r="F82" s="134">
        <f>'BSC (Dome)'!L66</f>
        <v>4625</v>
      </c>
      <c r="G82" s="134">
        <f>'Oliari Co.'!L15</f>
        <v>2915</v>
      </c>
      <c r="H82" s="134">
        <f>'722 Bedford St'!K15</f>
        <v>2550</v>
      </c>
      <c r="I82" s="134">
        <f t="shared" si="32"/>
        <v>358461.28</v>
      </c>
      <c r="J82" s="135">
        <f t="shared" si="33"/>
        <v>0.3600337164556085</v>
      </c>
      <c r="K82" s="135"/>
      <c r="L82" s="122" t="s">
        <v>362</v>
      </c>
      <c r="M82" s="134">
        <v>363547.83</v>
      </c>
      <c r="N82" s="134">
        <v>59573.25</v>
      </c>
      <c r="O82" s="134">
        <v>75113.679999999993</v>
      </c>
      <c r="P82" s="134">
        <v>0</v>
      </c>
      <c r="Q82" s="134">
        <v>18228.13</v>
      </c>
      <c r="R82" s="134">
        <v>2300</v>
      </c>
      <c r="S82" s="134">
        <v>1825</v>
      </c>
      <c r="T82" s="134">
        <f t="shared" si="2"/>
        <v>520587.89</v>
      </c>
      <c r="U82" s="136">
        <f t="shared" si="34"/>
        <v>0.5763428411411502</v>
      </c>
      <c r="V82" s="122" t="s">
        <v>362</v>
      </c>
      <c r="W82" s="136"/>
      <c r="X82" s="137">
        <f t="shared" si="37"/>
        <v>358461.28</v>
      </c>
      <c r="Y82" s="136"/>
      <c r="Z82" s="137">
        <f t="shared" si="38"/>
        <v>520587.89</v>
      </c>
      <c r="AA82" s="136"/>
      <c r="AB82" s="137">
        <f t="shared" si="35"/>
        <v>-162126.60999999999</v>
      </c>
      <c r="AC82" s="137"/>
      <c r="AD82" s="136">
        <f t="shared" si="36"/>
        <v>0.68857014710810893</v>
      </c>
      <c r="AE82" s="137"/>
      <c r="AF82" s="136">
        <f t="shared" si="8"/>
        <v>-0.31142985289189107</v>
      </c>
    </row>
    <row r="83" spans="1:32" s="63" customFormat="1" ht="54.95" customHeight="1" x14ac:dyDescent="0.85">
      <c r="A83" s="121" t="s">
        <v>363</v>
      </c>
      <c r="B83" s="134">
        <f>CNT!N257</f>
        <v>75500</v>
      </c>
      <c r="C83" s="134">
        <f>BPM!L65</f>
        <v>37500</v>
      </c>
      <c r="D83" s="134">
        <f>DEP!L63</f>
        <v>22500</v>
      </c>
      <c r="E83" s="134">
        <v>0</v>
      </c>
      <c r="F83" s="134">
        <f>'BSC (Dome)'!L67</f>
        <v>15000</v>
      </c>
      <c r="G83" s="134">
        <v>0</v>
      </c>
      <c r="H83" s="134">
        <v>0</v>
      </c>
      <c r="I83" s="134">
        <f t="shared" si="32"/>
        <v>150500</v>
      </c>
      <c r="J83" s="135">
        <f t="shared" si="33"/>
        <v>0.15116018758446959</v>
      </c>
      <c r="K83" s="135"/>
      <c r="L83" s="122" t="s">
        <v>363</v>
      </c>
      <c r="M83" s="134">
        <v>0</v>
      </c>
      <c r="N83" s="134">
        <v>0</v>
      </c>
      <c r="O83" s="134">
        <v>0</v>
      </c>
      <c r="P83" s="134">
        <v>0</v>
      </c>
      <c r="Q83" s="134">
        <v>11580.06</v>
      </c>
      <c r="R83" s="134">
        <v>11520</v>
      </c>
      <c r="S83" s="134">
        <v>0</v>
      </c>
      <c r="T83" s="134">
        <f>SUM(M83:S83)</f>
        <v>23100.059999999998</v>
      </c>
      <c r="U83" s="136">
        <f t="shared" si="34"/>
        <v>2.5574075898943859E-2</v>
      </c>
      <c r="V83" s="122" t="s">
        <v>363</v>
      </c>
      <c r="W83" s="136"/>
      <c r="X83" s="137">
        <f t="shared" si="37"/>
        <v>150500</v>
      </c>
      <c r="Y83" s="136"/>
      <c r="Z83" s="137">
        <f t="shared" si="38"/>
        <v>23100.059999999998</v>
      </c>
      <c r="AA83" s="136"/>
      <c r="AB83" s="137">
        <f t="shared" si="35"/>
        <v>127399.94</v>
      </c>
      <c r="AC83" s="137"/>
      <c r="AD83" s="136">
        <f t="shared" si="36"/>
        <v>6.5151345927240021</v>
      </c>
      <c r="AE83" s="137"/>
      <c r="AF83" s="136">
        <f t="shared" si="8"/>
        <v>5.5151345927240021</v>
      </c>
    </row>
    <row r="84" spans="1:32" s="63" customFormat="1" ht="54.95" customHeight="1" x14ac:dyDescent="0.85">
      <c r="A84" s="121" t="s">
        <v>364</v>
      </c>
      <c r="B84" s="134">
        <f>CNT!N255</f>
        <v>52220.990000000005</v>
      </c>
      <c r="C84" s="134">
        <f>BPM!L63</f>
        <v>6339.7100000000009</v>
      </c>
      <c r="D84" s="134">
        <f>DEP!L61</f>
        <v>-401.22000000000025</v>
      </c>
      <c r="E84" s="134">
        <f>Lending!L11</f>
        <v>15000</v>
      </c>
      <c r="F84" s="134">
        <v>0</v>
      </c>
      <c r="G84" s="134">
        <v>0</v>
      </c>
      <c r="H84" s="134">
        <v>0</v>
      </c>
      <c r="I84" s="134">
        <f t="shared" si="32"/>
        <v>73159.48000000001</v>
      </c>
      <c r="J84" s="135">
        <f t="shared" si="33"/>
        <v>7.3480403457689386E-2</v>
      </c>
      <c r="K84" s="135"/>
      <c r="L84" s="122" t="s">
        <v>364</v>
      </c>
      <c r="M84" s="134">
        <v>0</v>
      </c>
      <c r="N84" s="134">
        <v>0</v>
      </c>
      <c r="O84" s="134">
        <v>0</v>
      </c>
      <c r="P84" s="134">
        <v>2731.25</v>
      </c>
      <c r="Q84" s="134">
        <v>0</v>
      </c>
      <c r="R84" s="134">
        <v>0</v>
      </c>
      <c r="S84" s="134">
        <v>0</v>
      </c>
      <c r="T84" s="134">
        <f>SUM(M84:S84)</f>
        <v>2731.25</v>
      </c>
      <c r="U84" s="136">
        <f t="shared" si="34"/>
        <v>3.0237668126831888E-3</v>
      </c>
      <c r="V84" s="122" t="s">
        <v>364</v>
      </c>
      <c r="W84" s="136"/>
      <c r="X84" s="137">
        <f t="shared" si="37"/>
        <v>73159.48000000001</v>
      </c>
      <c r="Y84" s="136"/>
      <c r="Z84" s="137">
        <f t="shared" si="38"/>
        <v>2731.25</v>
      </c>
      <c r="AA84" s="136"/>
      <c r="AB84" s="137">
        <f t="shared" si="35"/>
        <v>70428.23000000001</v>
      </c>
      <c r="AC84" s="137"/>
      <c r="AD84" s="149">
        <v>0</v>
      </c>
      <c r="AE84" s="137"/>
      <c r="AF84" s="136">
        <f t="shared" si="8"/>
        <v>-1</v>
      </c>
    </row>
    <row r="85" spans="1:32" s="63" customFormat="1" ht="54.95" customHeight="1" x14ac:dyDescent="0.85">
      <c r="A85" s="121" t="s">
        <v>403</v>
      </c>
      <c r="B85" s="134">
        <f>CNT!N258</f>
        <v>30209.390000000003</v>
      </c>
      <c r="C85" s="134">
        <f>BPM!L66</f>
        <v>4647.6000000000004</v>
      </c>
      <c r="D85" s="134">
        <f>DEP!L65</f>
        <v>11619.009999999998</v>
      </c>
      <c r="E85" s="134">
        <v>0</v>
      </c>
      <c r="F85" s="134">
        <v>0</v>
      </c>
      <c r="G85" s="134">
        <v>0</v>
      </c>
      <c r="H85" s="134">
        <v>0</v>
      </c>
      <c r="I85" s="134">
        <f t="shared" si="32"/>
        <v>46476</v>
      </c>
      <c r="J85" s="135">
        <f t="shared" si="33"/>
        <v>4.6679872944689754E-2</v>
      </c>
      <c r="K85" s="135"/>
      <c r="L85" s="122" t="s">
        <v>403</v>
      </c>
      <c r="M85" s="134">
        <v>0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f>SUM(M85:S85)</f>
        <v>0</v>
      </c>
      <c r="U85" s="136">
        <f t="shared" si="34"/>
        <v>0</v>
      </c>
      <c r="V85" s="122" t="s">
        <v>403</v>
      </c>
      <c r="W85" s="136"/>
      <c r="X85" s="137">
        <f t="shared" si="37"/>
        <v>46476</v>
      </c>
      <c r="Y85" s="136"/>
      <c r="Z85" s="137">
        <f t="shared" si="38"/>
        <v>0</v>
      </c>
      <c r="AA85" s="136"/>
      <c r="AB85" s="137">
        <f>I85-T85</f>
        <v>46476</v>
      </c>
      <c r="AC85" s="137"/>
      <c r="AD85" s="149">
        <v>0</v>
      </c>
      <c r="AE85" s="137"/>
      <c r="AF85" s="136">
        <f t="shared" si="8"/>
        <v>-1</v>
      </c>
    </row>
    <row r="86" spans="1:32" s="63" customFormat="1" ht="54.95" customHeight="1" x14ac:dyDescent="0.85">
      <c r="A86" s="121" t="s">
        <v>392</v>
      </c>
      <c r="B86" s="134">
        <v>0</v>
      </c>
      <c r="C86" s="134">
        <v>0</v>
      </c>
      <c r="D86" s="134">
        <f>DEP!L64</f>
        <v>7291.69</v>
      </c>
      <c r="E86" s="134">
        <v>0</v>
      </c>
      <c r="F86" s="134">
        <v>0</v>
      </c>
      <c r="G86" s="134">
        <v>0</v>
      </c>
      <c r="H86" s="134">
        <v>0</v>
      </c>
      <c r="I86" s="134">
        <f t="shared" si="32"/>
        <v>7291.69</v>
      </c>
      <c r="J86" s="135">
        <f t="shared" si="33"/>
        <v>7.3236759349355543E-3</v>
      </c>
      <c r="K86" s="135"/>
      <c r="L86" s="122" t="s">
        <v>392</v>
      </c>
      <c r="M86" s="134">
        <v>0</v>
      </c>
      <c r="N86" s="134">
        <v>0</v>
      </c>
      <c r="O86" s="134">
        <v>0</v>
      </c>
      <c r="P86" s="134">
        <v>0</v>
      </c>
      <c r="Q86" s="134">
        <v>0</v>
      </c>
      <c r="R86" s="134">
        <v>0</v>
      </c>
      <c r="S86" s="134">
        <v>0</v>
      </c>
      <c r="T86" s="134">
        <f>SUM(M86:S86)</f>
        <v>0</v>
      </c>
      <c r="U86" s="136">
        <f t="shared" si="34"/>
        <v>0</v>
      </c>
      <c r="V86" s="122" t="s">
        <v>392</v>
      </c>
      <c r="W86" s="136"/>
      <c r="X86" s="137">
        <f t="shared" si="37"/>
        <v>7291.69</v>
      </c>
      <c r="Y86" s="136"/>
      <c r="Z86" s="137">
        <f t="shared" si="38"/>
        <v>0</v>
      </c>
      <c r="AA86" s="136"/>
      <c r="AB86" s="137">
        <f t="shared" si="35"/>
        <v>7291.69</v>
      </c>
      <c r="AC86" s="137"/>
      <c r="AD86" s="149">
        <v>0</v>
      </c>
      <c r="AE86" s="137"/>
      <c r="AF86" s="136">
        <f t="shared" si="8"/>
        <v>-1</v>
      </c>
    </row>
    <row r="87" spans="1:32" s="63" customFormat="1" ht="54.95" customHeight="1" x14ac:dyDescent="0.85">
      <c r="A87" s="121" t="s">
        <v>256</v>
      </c>
      <c r="B87" s="134">
        <f>CNT!N242+CNT!N260</f>
        <v>16111.960000000006</v>
      </c>
      <c r="C87" s="134">
        <v>0</v>
      </c>
      <c r="D87" s="134">
        <f>DEP!L60</f>
        <v>42934.79</v>
      </c>
      <c r="E87" s="134">
        <v>0</v>
      </c>
      <c r="F87" s="134">
        <f>'BSC (Dome)'!L63:L63</f>
        <v>1460.9099999999996</v>
      </c>
      <c r="G87" s="134">
        <v>0</v>
      </c>
      <c r="H87" s="134">
        <v>0</v>
      </c>
      <c r="I87" s="134">
        <f t="shared" si="32"/>
        <v>60507.66</v>
      </c>
      <c r="J87" s="135">
        <f t="shared" si="33"/>
        <v>6.0773084623902372E-2</v>
      </c>
      <c r="K87" s="135"/>
      <c r="L87" s="122" t="s">
        <v>256</v>
      </c>
      <c r="M87" s="134">
        <v>2562.1999999999998</v>
      </c>
      <c r="N87" s="134">
        <v>0</v>
      </c>
      <c r="O87" s="134">
        <v>0</v>
      </c>
      <c r="P87" s="134">
        <v>0</v>
      </c>
      <c r="Q87" s="134">
        <v>3087.56</v>
      </c>
      <c r="R87" s="134">
        <v>0</v>
      </c>
      <c r="S87" s="134">
        <v>0</v>
      </c>
      <c r="T87" s="134">
        <f t="shared" si="2"/>
        <v>5649.76</v>
      </c>
      <c r="U87" s="136">
        <f t="shared" si="34"/>
        <v>6.2548491670938117E-3</v>
      </c>
      <c r="V87" s="122" t="s">
        <v>256</v>
      </c>
      <c r="W87" s="136"/>
      <c r="X87" s="137">
        <f t="shared" si="37"/>
        <v>60507.66</v>
      </c>
      <c r="Y87" s="136"/>
      <c r="Z87" s="137">
        <f t="shared" si="38"/>
        <v>5649.76</v>
      </c>
      <c r="AA87" s="136"/>
      <c r="AB87" s="137">
        <f t="shared" si="35"/>
        <v>54857.9</v>
      </c>
      <c r="AC87" s="137"/>
      <c r="AD87" s="136">
        <f t="shared" si="36"/>
        <v>10.709775282489876</v>
      </c>
      <c r="AE87" s="137"/>
      <c r="AF87" s="136">
        <f t="shared" si="8"/>
        <v>9.7097752824898755</v>
      </c>
    </row>
    <row r="88" spans="1:32" s="63" customFormat="1" ht="54.95" customHeight="1" x14ac:dyDescent="0.85">
      <c r="A88" s="121" t="s">
        <v>257</v>
      </c>
      <c r="B88" s="134">
        <f>CNT!N246</f>
        <v>29286.44</v>
      </c>
      <c r="C88" s="134">
        <f>BPM!L60</f>
        <v>912.49</v>
      </c>
      <c r="D88" s="134">
        <f>DEP!L70</f>
        <v>2477.5</v>
      </c>
      <c r="E88" s="134">
        <v>0</v>
      </c>
      <c r="F88" s="134">
        <f>'BSC (Dome)'!L69</f>
        <v>642</v>
      </c>
      <c r="G88" s="134">
        <v>0</v>
      </c>
      <c r="H88" s="134">
        <v>0</v>
      </c>
      <c r="I88" s="134">
        <f t="shared" si="32"/>
        <v>33318.43</v>
      </c>
      <c r="J88" s="135">
        <f t="shared" si="33"/>
        <v>3.3464585573554938E-2</v>
      </c>
      <c r="K88" s="135"/>
      <c r="L88" s="122" t="s">
        <v>257</v>
      </c>
      <c r="M88" s="134">
        <v>35228.44</v>
      </c>
      <c r="N88" s="134">
        <v>1125.75</v>
      </c>
      <c r="O88" s="134">
        <v>1887.75</v>
      </c>
      <c r="P88" s="134">
        <v>0</v>
      </c>
      <c r="Q88" s="134">
        <v>623</v>
      </c>
      <c r="R88" s="134">
        <v>0</v>
      </c>
      <c r="S88" s="134">
        <v>0</v>
      </c>
      <c r="T88" s="134">
        <f t="shared" si="2"/>
        <v>38864.94</v>
      </c>
      <c r="U88" s="136">
        <f t="shared" si="34"/>
        <v>4.3027374187248835E-2</v>
      </c>
      <c r="V88" s="122" t="s">
        <v>257</v>
      </c>
      <c r="W88" s="136"/>
      <c r="X88" s="137">
        <f t="shared" si="37"/>
        <v>33318.43</v>
      </c>
      <c r="Y88" s="136"/>
      <c r="Z88" s="137">
        <f t="shared" si="38"/>
        <v>38864.94</v>
      </c>
      <c r="AA88" s="136"/>
      <c r="AB88" s="137">
        <f t="shared" si="35"/>
        <v>-5546.510000000002</v>
      </c>
      <c r="AC88" s="137"/>
      <c r="AD88" s="136">
        <f t="shared" si="36"/>
        <v>0.85728757075142781</v>
      </c>
      <c r="AE88" s="137"/>
      <c r="AF88" s="136">
        <f t="shared" si="8"/>
        <v>-0.14271242924857219</v>
      </c>
    </row>
    <row r="89" spans="1:32" s="63" customFormat="1" ht="54.95" customHeight="1" x14ac:dyDescent="0.85">
      <c r="A89" s="121" t="s">
        <v>258</v>
      </c>
      <c r="B89" s="134">
        <f>CNT!N247</f>
        <v>21781.940000000002</v>
      </c>
      <c r="C89" s="134">
        <f>0</f>
        <v>0</v>
      </c>
      <c r="D89" s="134">
        <f>DEP!L67</f>
        <v>7217.7</v>
      </c>
      <c r="E89" s="134">
        <v>0</v>
      </c>
      <c r="F89" s="134">
        <v>0</v>
      </c>
      <c r="G89" s="134">
        <v>0</v>
      </c>
      <c r="H89" s="134">
        <v>0</v>
      </c>
      <c r="I89" s="134">
        <f t="shared" si="32"/>
        <v>28999.640000000003</v>
      </c>
      <c r="J89" s="135">
        <f t="shared" si="33"/>
        <v>2.9126850646392609E-2</v>
      </c>
      <c r="K89" s="135"/>
      <c r="L89" s="122" t="s">
        <v>258</v>
      </c>
      <c r="M89" s="134">
        <v>23896.31</v>
      </c>
      <c r="N89" s="134">
        <v>0</v>
      </c>
      <c r="O89" s="134">
        <v>0</v>
      </c>
      <c r="P89" s="134">
        <v>0</v>
      </c>
      <c r="Q89" s="134">
        <v>0</v>
      </c>
      <c r="R89" s="134">
        <v>0</v>
      </c>
      <c r="S89" s="134">
        <v>0</v>
      </c>
      <c r="T89" s="134">
        <f t="shared" si="2"/>
        <v>23896.31</v>
      </c>
      <c r="U89" s="136">
        <f t="shared" si="34"/>
        <v>2.6455604255776446E-2</v>
      </c>
      <c r="V89" s="122" t="s">
        <v>258</v>
      </c>
      <c r="W89" s="136"/>
      <c r="X89" s="137">
        <f t="shared" si="37"/>
        <v>28999.640000000003</v>
      </c>
      <c r="Y89" s="136"/>
      <c r="Z89" s="137">
        <f t="shared" si="38"/>
        <v>23896.31</v>
      </c>
      <c r="AA89" s="136"/>
      <c r="AB89" s="137">
        <f t="shared" si="35"/>
        <v>5103.3300000000017</v>
      </c>
      <c r="AC89" s="137"/>
      <c r="AD89" s="149">
        <v>0</v>
      </c>
      <c r="AE89" s="137"/>
      <c r="AF89" s="136">
        <f t="shared" si="8"/>
        <v>-1</v>
      </c>
    </row>
    <row r="90" spans="1:32" s="63" customFormat="1" ht="54.95" customHeight="1" x14ac:dyDescent="0.85">
      <c r="A90" s="121" t="s">
        <v>295</v>
      </c>
      <c r="B90" s="134">
        <f>CNT!N237</f>
        <v>543.67999999999995</v>
      </c>
      <c r="C90" s="134">
        <f>0</f>
        <v>0</v>
      </c>
      <c r="D90" s="134">
        <f>DEP!L59</f>
        <v>300</v>
      </c>
      <c r="E90" s="134">
        <v>0</v>
      </c>
      <c r="F90" s="134">
        <f>'BSC (Dome)'!L62</f>
        <v>2600</v>
      </c>
      <c r="G90" s="134">
        <v>0</v>
      </c>
      <c r="H90" s="134">
        <v>0</v>
      </c>
      <c r="I90" s="134">
        <f t="shared" si="32"/>
        <v>3443.68</v>
      </c>
      <c r="J90" s="135">
        <f t="shared" si="33"/>
        <v>3.4587861447234959E-3</v>
      </c>
      <c r="K90" s="135"/>
      <c r="L90" s="122" t="s">
        <v>295</v>
      </c>
      <c r="M90" s="134">
        <v>0</v>
      </c>
      <c r="N90" s="134">
        <v>0</v>
      </c>
      <c r="O90" s="134">
        <v>0</v>
      </c>
      <c r="P90" s="134">
        <v>0</v>
      </c>
      <c r="Q90" s="134">
        <v>950</v>
      </c>
      <c r="R90" s="134">
        <v>0</v>
      </c>
      <c r="S90" s="134">
        <v>0</v>
      </c>
      <c r="T90" s="134">
        <f>SUM(M90:S90)</f>
        <v>950</v>
      </c>
      <c r="U90" s="136">
        <f t="shared" si="34"/>
        <v>1.0517449783245874E-3</v>
      </c>
      <c r="V90" s="122" t="s">
        <v>295</v>
      </c>
      <c r="W90" s="136"/>
      <c r="X90" s="137">
        <f t="shared" si="37"/>
        <v>3443.68</v>
      </c>
      <c r="Y90" s="136"/>
      <c r="Z90" s="137">
        <f t="shared" si="38"/>
        <v>950</v>
      </c>
      <c r="AA90" s="136"/>
      <c r="AB90" s="137">
        <f t="shared" si="35"/>
        <v>2493.6799999999998</v>
      </c>
      <c r="AC90" s="137"/>
      <c r="AD90" s="149">
        <v>0</v>
      </c>
      <c r="AE90" s="137"/>
      <c r="AF90" s="150">
        <v>0</v>
      </c>
    </row>
    <row r="91" spans="1:32" s="63" customFormat="1" ht="54.95" customHeight="1" x14ac:dyDescent="0.85">
      <c r="A91" s="121" t="s">
        <v>378</v>
      </c>
      <c r="B91" s="134">
        <f>CNT!N243</f>
        <v>397.63</v>
      </c>
      <c r="C91" s="134">
        <v>0</v>
      </c>
      <c r="D91" s="134">
        <v>0</v>
      </c>
      <c r="E91" s="134">
        <v>0</v>
      </c>
      <c r="F91" s="134">
        <f>'BSC (Dome)'!L64</f>
        <v>10329.9</v>
      </c>
      <c r="G91" s="134">
        <v>0</v>
      </c>
      <c r="H91" s="134">
        <v>0</v>
      </c>
      <c r="I91" s="134">
        <f t="shared" si="32"/>
        <v>10727.529999999999</v>
      </c>
      <c r="J91" s="135">
        <f t="shared" si="33"/>
        <v>1.0774587688491859E-2</v>
      </c>
      <c r="K91" s="135"/>
      <c r="L91" s="122" t="s">
        <v>378</v>
      </c>
      <c r="M91" s="134">
        <v>696.89</v>
      </c>
      <c r="N91" s="134">
        <v>0</v>
      </c>
      <c r="O91" s="134">
        <v>0</v>
      </c>
      <c r="P91" s="134">
        <v>0</v>
      </c>
      <c r="Q91" s="134">
        <v>6832.94</v>
      </c>
      <c r="R91" s="134">
        <v>0</v>
      </c>
      <c r="S91" s="134">
        <v>0</v>
      </c>
      <c r="T91" s="134">
        <f>SUM(M91:S91)</f>
        <v>7529.83</v>
      </c>
      <c r="U91" s="136">
        <f t="shared" si="34"/>
        <v>8.3362746211977142E-3</v>
      </c>
      <c r="V91" s="122" t="s">
        <v>378</v>
      </c>
      <c r="W91" s="136"/>
      <c r="X91" s="137">
        <f t="shared" si="37"/>
        <v>10727.529999999999</v>
      </c>
      <c r="Y91" s="136"/>
      <c r="Z91" s="137">
        <f t="shared" si="38"/>
        <v>7529.83</v>
      </c>
      <c r="AA91" s="136"/>
      <c r="AB91" s="137">
        <f t="shared" si="35"/>
        <v>3197.6999999999989</v>
      </c>
      <c r="AC91" s="137"/>
      <c r="AD91" s="136">
        <f t="shared" si="36"/>
        <v>1.4246709421062627</v>
      </c>
      <c r="AE91" s="137"/>
      <c r="AF91" s="150">
        <v>0</v>
      </c>
    </row>
    <row r="92" spans="1:32" s="63" customFormat="1" ht="54.95" customHeight="1" x14ac:dyDescent="0.85">
      <c r="A92" s="121" t="s">
        <v>259</v>
      </c>
      <c r="B92" s="134">
        <f>CNT!N249</f>
        <v>12728.949999999999</v>
      </c>
      <c r="C92" s="134">
        <f>BPM!L69</f>
        <v>7140.03</v>
      </c>
      <c r="D92" s="134">
        <f>DEP!L66</f>
        <v>6690.94</v>
      </c>
      <c r="E92" s="134">
        <v>0</v>
      </c>
      <c r="F92" s="134">
        <v>0</v>
      </c>
      <c r="G92" s="134">
        <v>0</v>
      </c>
      <c r="H92" s="134">
        <v>0</v>
      </c>
      <c r="I92" s="134">
        <f t="shared" si="32"/>
        <v>26559.919999999998</v>
      </c>
      <c r="J92" s="135">
        <f t="shared" si="33"/>
        <v>2.6676428501186077E-2</v>
      </c>
      <c r="K92" s="135"/>
      <c r="L92" s="122" t="s">
        <v>259</v>
      </c>
      <c r="M92" s="134">
        <v>100000</v>
      </c>
      <c r="N92" s="134">
        <v>0</v>
      </c>
      <c r="O92" s="134">
        <v>0</v>
      </c>
      <c r="P92" s="134">
        <v>0</v>
      </c>
      <c r="Q92" s="134">
        <v>0</v>
      </c>
      <c r="R92" s="134">
        <v>0</v>
      </c>
      <c r="S92" s="134">
        <v>0</v>
      </c>
      <c r="T92" s="134">
        <f t="shared" si="2"/>
        <v>100000</v>
      </c>
      <c r="U92" s="136">
        <f t="shared" si="34"/>
        <v>0.11070999771837763</v>
      </c>
      <c r="V92" s="122" t="s">
        <v>259</v>
      </c>
      <c r="W92" s="136"/>
      <c r="X92" s="137">
        <f t="shared" si="37"/>
        <v>26559.919999999998</v>
      </c>
      <c r="Y92" s="136"/>
      <c r="Z92" s="137">
        <f t="shared" si="38"/>
        <v>100000</v>
      </c>
      <c r="AA92" s="136"/>
      <c r="AB92" s="137">
        <f t="shared" si="35"/>
        <v>-73440.08</v>
      </c>
      <c r="AC92" s="137"/>
      <c r="AD92" s="149">
        <v>0</v>
      </c>
      <c r="AE92" s="137"/>
      <c r="AF92" s="136">
        <f>AD92-1</f>
        <v>-1</v>
      </c>
    </row>
    <row r="93" spans="1:32" s="63" customFormat="1" ht="54.95" customHeight="1" x14ac:dyDescent="0.85">
      <c r="A93" s="121" t="s">
        <v>260</v>
      </c>
      <c r="B93" s="134">
        <f>CNT!N250+CNT!G261</f>
        <v>20000.210000000003</v>
      </c>
      <c r="C93" s="134">
        <v>0</v>
      </c>
      <c r="D93" s="134">
        <v>0</v>
      </c>
      <c r="E93" s="134">
        <v>0</v>
      </c>
      <c r="F93" s="134">
        <v>0</v>
      </c>
      <c r="G93" s="134">
        <v>0</v>
      </c>
      <c r="H93" s="134">
        <v>0</v>
      </c>
      <c r="I93" s="134">
        <f t="shared" si="32"/>
        <v>20000.210000000003</v>
      </c>
      <c r="J93" s="135">
        <f t="shared" si="33"/>
        <v>2.008794349055671E-2</v>
      </c>
      <c r="K93" s="135"/>
      <c r="L93" s="122" t="s">
        <v>260</v>
      </c>
      <c r="M93" s="134">
        <v>0</v>
      </c>
      <c r="N93" s="134">
        <v>0</v>
      </c>
      <c r="O93" s="134">
        <v>0</v>
      </c>
      <c r="P93" s="134">
        <v>0</v>
      </c>
      <c r="Q93" s="134">
        <v>0</v>
      </c>
      <c r="R93" s="134">
        <v>0</v>
      </c>
      <c r="S93" s="134">
        <v>0</v>
      </c>
      <c r="T93" s="134">
        <f t="shared" si="2"/>
        <v>0</v>
      </c>
      <c r="U93" s="136">
        <f t="shared" si="34"/>
        <v>0</v>
      </c>
      <c r="V93" s="122" t="s">
        <v>260</v>
      </c>
      <c r="W93" s="136"/>
      <c r="X93" s="137">
        <f t="shared" si="37"/>
        <v>20000.210000000003</v>
      </c>
      <c r="Y93" s="136"/>
      <c r="Z93" s="137">
        <f t="shared" si="38"/>
        <v>0</v>
      </c>
      <c r="AA93" s="136"/>
      <c r="AB93" s="137">
        <f t="shared" si="35"/>
        <v>20000.210000000003</v>
      </c>
      <c r="AC93" s="137"/>
      <c r="AD93" s="149">
        <v>0</v>
      </c>
      <c r="AE93" s="137"/>
      <c r="AF93" s="150">
        <v>0</v>
      </c>
    </row>
    <row r="94" spans="1:32" s="63" customFormat="1" ht="54.95" customHeight="1" x14ac:dyDescent="0.85">
      <c r="A94" s="121" t="s">
        <v>261</v>
      </c>
      <c r="B94" s="134">
        <f>CNT!N251</f>
        <v>5265.96</v>
      </c>
      <c r="C94" s="134">
        <v>0</v>
      </c>
      <c r="D94" s="134">
        <v>0</v>
      </c>
      <c r="E94" s="134">
        <v>0</v>
      </c>
      <c r="F94" s="134">
        <v>0</v>
      </c>
      <c r="G94" s="134">
        <v>0</v>
      </c>
      <c r="H94" s="134">
        <v>0</v>
      </c>
      <c r="I94" s="134">
        <f t="shared" si="32"/>
        <v>5265.96</v>
      </c>
      <c r="J94" s="135">
        <f t="shared" si="33"/>
        <v>5.2890598100485938E-3</v>
      </c>
      <c r="K94" s="135"/>
      <c r="L94" s="122" t="s">
        <v>261</v>
      </c>
      <c r="M94" s="134">
        <v>16149.87</v>
      </c>
      <c r="N94" s="134">
        <v>0</v>
      </c>
      <c r="O94" s="134">
        <v>0</v>
      </c>
      <c r="P94" s="134">
        <v>0</v>
      </c>
      <c r="Q94" s="134">
        <v>0</v>
      </c>
      <c r="R94" s="134">
        <v>0</v>
      </c>
      <c r="S94" s="134">
        <v>0</v>
      </c>
      <c r="T94" s="134">
        <f>SUM(M94:S94)</f>
        <v>16149.87</v>
      </c>
      <c r="U94" s="136">
        <f t="shared" si="34"/>
        <v>1.7879520708520953E-2</v>
      </c>
      <c r="V94" s="122" t="s">
        <v>261</v>
      </c>
      <c r="W94" s="136"/>
      <c r="X94" s="137">
        <f t="shared" si="37"/>
        <v>5265.96</v>
      </c>
      <c r="Y94" s="136"/>
      <c r="Z94" s="137">
        <f t="shared" si="38"/>
        <v>16149.87</v>
      </c>
      <c r="AA94" s="136"/>
      <c r="AB94" s="137">
        <f t="shared" si="35"/>
        <v>-10883.91</v>
      </c>
      <c r="AC94" s="137"/>
      <c r="AD94" s="149">
        <v>0</v>
      </c>
      <c r="AE94" s="137"/>
      <c r="AF94" s="136">
        <f>AD94-1</f>
        <v>-1</v>
      </c>
    </row>
    <row r="95" spans="1:32" s="63" customFormat="1" ht="54.95" customHeight="1" x14ac:dyDescent="0.85">
      <c r="A95" s="121" t="s">
        <v>262</v>
      </c>
      <c r="B95" s="134">
        <f>CNT!N252</f>
        <v>19190.520000000004</v>
      </c>
      <c r="C95" s="134">
        <v>0</v>
      </c>
      <c r="D95" s="134">
        <v>0</v>
      </c>
      <c r="E95" s="134">
        <v>0</v>
      </c>
      <c r="F95" s="134">
        <v>0</v>
      </c>
      <c r="G95" s="134">
        <v>0</v>
      </c>
      <c r="H95" s="134">
        <v>0</v>
      </c>
      <c r="I95" s="134">
        <f t="shared" si="32"/>
        <v>19190.520000000004</v>
      </c>
      <c r="J95" s="135">
        <f t="shared" si="33"/>
        <v>1.9274701681352265E-2</v>
      </c>
      <c r="K95" s="135"/>
      <c r="L95" s="122" t="s">
        <v>262</v>
      </c>
      <c r="M95" s="134">
        <v>0</v>
      </c>
      <c r="N95" s="134">
        <v>0</v>
      </c>
      <c r="O95" s="134">
        <v>0</v>
      </c>
      <c r="P95" s="134">
        <v>0</v>
      </c>
      <c r="Q95" s="134">
        <v>0</v>
      </c>
      <c r="R95" s="134">
        <v>0</v>
      </c>
      <c r="S95" s="134">
        <v>0</v>
      </c>
      <c r="T95" s="134">
        <f>SUM(M95:S95)</f>
        <v>0</v>
      </c>
      <c r="U95" s="136">
        <f t="shared" si="34"/>
        <v>0</v>
      </c>
      <c r="V95" s="122" t="s">
        <v>262</v>
      </c>
      <c r="W95" s="136"/>
      <c r="X95" s="137">
        <f t="shared" si="37"/>
        <v>19190.520000000004</v>
      </c>
      <c r="Y95" s="136"/>
      <c r="Z95" s="137">
        <f t="shared" si="38"/>
        <v>0</v>
      </c>
      <c r="AA95" s="136"/>
      <c r="AB95" s="137">
        <f>I95-T95</f>
        <v>19190.520000000004</v>
      </c>
      <c r="AC95" s="137"/>
      <c r="AD95" s="138">
        <v>0</v>
      </c>
      <c r="AE95" s="137"/>
      <c r="AF95" s="150">
        <v>0</v>
      </c>
    </row>
    <row r="96" spans="1:32" s="63" customFormat="1" ht="54.95" customHeight="1" x14ac:dyDescent="0.85">
      <c r="A96" s="132" t="s">
        <v>264</v>
      </c>
      <c r="B96" s="139">
        <f>SUM(B77:B95)</f>
        <v>694278.08999999985</v>
      </c>
      <c r="C96" s="139">
        <f t="shared" ref="C96:H96" si="39">SUM(C77:C95)</f>
        <v>75519.72</v>
      </c>
      <c r="D96" s="139">
        <f t="shared" si="39"/>
        <v>155458.87</v>
      </c>
      <c r="E96" s="139">
        <f t="shared" si="39"/>
        <v>18836.190000000002</v>
      </c>
      <c r="F96" s="139">
        <f>SUM(F77:F95)</f>
        <v>45283.08</v>
      </c>
      <c r="G96" s="139">
        <f t="shared" si="39"/>
        <v>2915</v>
      </c>
      <c r="H96" s="139">
        <f t="shared" si="39"/>
        <v>3341.58</v>
      </c>
      <c r="I96" s="139">
        <f t="shared" si="32"/>
        <v>995632.5299999998</v>
      </c>
      <c r="J96" s="140">
        <f>SUM(J77:J95)</f>
        <v>1.0000000000000004</v>
      </c>
      <c r="K96" s="141"/>
      <c r="L96" s="133" t="s">
        <v>264</v>
      </c>
      <c r="M96" s="139">
        <f t="shared" ref="M96:S96" si="40">SUM(M77:M95)</f>
        <v>676068.00000000012</v>
      </c>
      <c r="N96" s="139">
        <f t="shared" si="40"/>
        <v>67553.679999999993</v>
      </c>
      <c r="O96" s="139">
        <f t="shared" si="40"/>
        <v>86006.09</v>
      </c>
      <c r="P96" s="139">
        <f t="shared" si="40"/>
        <v>4713.43</v>
      </c>
      <c r="Q96" s="139">
        <f t="shared" si="40"/>
        <v>52453.54</v>
      </c>
      <c r="R96" s="139">
        <f t="shared" si="40"/>
        <v>13874</v>
      </c>
      <c r="S96" s="139">
        <f t="shared" si="40"/>
        <v>2592.0500000000002</v>
      </c>
      <c r="T96" s="139">
        <f>SUM(M96:S96)</f>
        <v>903260.79000000027</v>
      </c>
      <c r="U96" s="142">
        <f>SUM(U77:U95)</f>
        <v>0.99999999999999967</v>
      </c>
      <c r="V96" s="133" t="s">
        <v>264</v>
      </c>
      <c r="W96" s="143"/>
      <c r="X96" s="144">
        <f t="shared" si="37"/>
        <v>995632.5299999998</v>
      </c>
      <c r="Y96" s="143"/>
      <c r="Z96" s="144">
        <f t="shared" si="38"/>
        <v>903260.79000000027</v>
      </c>
      <c r="AA96" s="143"/>
      <c r="AB96" s="144">
        <f>I96-T96</f>
        <v>92371.739999999525</v>
      </c>
      <c r="AC96" s="144"/>
      <c r="AD96" s="151">
        <f>I96/T96</f>
        <v>1.1022647512464252</v>
      </c>
      <c r="AE96" s="144"/>
      <c r="AF96" s="142">
        <f>AD96-1</f>
        <v>0.1022647512464252</v>
      </c>
    </row>
    <row r="97" spans="1:33" s="63" customFormat="1" ht="54.95" customHeight="1" x14ac:dyDescent="0.85">
      <c r="A97" s="121"/>
      <c r="B97" s="134"/>
      <c r="C97" s="134"/>
      <c r="D97" s="134"/>
      <c r="E97" s="134"/>
      <c r="F97" s="134"/>
      <c r="G97" s="134"/>
      <c r="H97" s="134"/>
      <c r="I97" s="134">
        <f t="shared" si="32"/>
        <v>0</v>
      </c>
      <c r="J97" s="122"/>
      <c r="K97" s="122"/>
      <c r="L97" s="122"/>
      <c r="M97" s="134"/>
      <c r="N97" s="134"/>
      <c r="O97" s="134"/>
      <c r="P97" s="134"/>
      <c r="Q97" s="134"/>
      <c r="R97" s="134"/>
      <c r="S97" s="134"/>
      <c r="T97" s="134">
        <f>SUM(M97:S97)</f>
        <v>0</v>
      </c>
      <c r="U97" s="121"/>
      <c r="V97" s="122"/>
      <c r="W97" s="121"/>
      <c r="X97" s="137"/>
      <c r="Y97" s="121"/>
      <c r="Z97" s="137">
        <f t="shared" si="38"/>
        <v>0</v>
      </c>
      <c r="AA97" s="121"/>
      <c r="AB97" s="137"/>
      <c r="AC97" s="137"/>
      <c r="AD97" s="145"/>
      <c r="AE97" s="137"/>
      <c r="AF97" s="136"/>
    </row>
    <row r="98" spans="1:33" s="63" customFormat="1" ht="54.95" customHeight="1" thickBot="1" x14ac:dyDescent="0.9">
      <c r="A98" s="132" t="s">
        <v>265</v>
      </c>
      <c r="B98" s="146">
        <f t="shared" ref="B98:F98" si="41">B49+B74+B96</f>
        <v>5554240.5899999999</v>
      </c>
      <c r="C98" s="146">
        <f t="shared" si="41"/>
        <v>806357.21</v>
      </c>
      <c r="D98" s="146">
        <f t="shared" si="41"/>
        <v>1923904.8900000001</v>
      </c>
      <c r="E98" s="146">
        <f t="shared" si="41"/>
        <v>18945.190000000002</v>
      </c>
      <c r="F98" s="146">
        <f t="shared" si="41"/>
        <v>614874.85</v>
      </c>
      <c r="G98" s="146">
        <f>G49+G74+G96</f>
        <v>95947.700000000026</v>
      </c>
      <c r="H98" s="146">
        <f>H49+H74+H96</f>
        <v>150997.41999999998</v>
      </c>
      <c r="I98" s="146">
        <f t="shared" si="32"/>
        <v>9165267.8499999996</v>
      </c>
      <c r="J98" s="134">
        <f>SUM(I40:I48)+SUM(I52:I73)+SUM(I77:I95)-I98</f>
        <v>0</v>
      </c>
      <c r="K98" s="122"/>
      <c r="L98" s="133" t="s">
        <v>265</v>
      </c>
      <c r="M98" s="146">
        <f t="shared" ref="M98:S98" si="42">M49+M74+M96</f>
        <v>6172131.8700000001</v>
      </c>
      <c r="N98" s="146">
        <f t="shared" si="42"/>
        <v>82495.009999999995</v>
      </c>
      <c r="O98" s="146">
        <f t="shared" si="42"/>
        <v>842965.58999999985</v>
      </c>
      <c r="P98" s="146">
        <f t="shared" si="42"/>
        <v>4713.43</v>
      </c>
      <c r="Q98" s="146">
        <f t="shared" si="42"/>
        <v>656765.86</v>
      </c>
      <c r="R98" s="146">
        <f>R49+R74+R96</f>
        <v>47924.04</v>
      </c>
      <c r="S98" s="146">
        <f t="shared" si="42"/>
        <v>3112.05</v>
      </c>
      <c r="T98" s="146">
        <f>SUM(M98:S98)</f>
        <v>7810107.8499999996</v>
      </c>
      <c r="U98" s="137">
        <f>SUM(T40:T48)+SUM(T52:T73)+SUM(T77:T95)-T98</f>
        <v>0</v>
      </c>
      <c r="V98" s="133" t="s">
        <v>265</v>
      </c>
      <c r="W98" s="121"/>
      <c r="X98" s="147">
        <f t="shared" si="37"/>
        <v>9165267.8499999996</v>
      </c>
      <c r="Y98" s="121"/>
      <c r="Z98" s="147">
        <f t="shared" si="38"/>
        <v>7810107.8499999996</v>
      </c>
      <c r="AA98" s="121"/>
      <c r="AB98" s="147">
        <f>I98-T98</f>
        <v>1355160</v>
      </c>
      <c r="AC98" s="147"/>
      <c r="AD98" s="152">
        <f>I98/T98</f>
        <v>1.1735136090342209</v>
      </c>
      <c r="AE98" s="147"/>
      <c r="AF98" s="148">
        <v>0</v>
      </c>
    </row>
    <row r="99" spans="1:33" s="63" customFormat="1" ht="54.95" customHeight="1" x14ac:dyDescent="0.85">
      <c r="A99" s="121"/>
      <c r="B99" s="134"/>
      <c r="C99" s="134"/>
      <c r="D99" s="134"/>
      <c r="E99" s="134"/>
      <c r="F99" s="134"/>
      <c r="G99" s="134"/>
      <c r="H99" s="134"/>
      <c r="I99" s="134"/>
      <c r="J99" s="122"/>
      <c r="K99" s="122"/>
      <c r="L99" s="122"/>
      <c r="M99" s="134"/>
      <c r="N99" s="134"/>
      <c r="O99" s="134"/>
      <c r="P99" s="134"/>
      <c r="Q99" s="134"/>
      <c r="R99" s="134"/>
      <c r="S99" s="134"/>
      <c r="T99" s="134"/>
      <c r="U99" s="121"/>
      <c r="V99" s="122"/>
      <c r="W99" s="121"/>
      <c r="X99" s="123"/>
      <c r="Y99" s="121"/>
      <c r="Z99" s="123">
        <f t="shared" si="38"/>
        <v>0</v>
      </c>
      <c r="AA99" s="121"/>
      <c r="AB99" s="123"/>
      <c r="AC99" s="123"/>
      <c r="AD99" s="145"/>
      <c r="AE99" s="123"/>
      <c r="AF99" s="145"/>
    </row>
    <row r="100" spans="1:33" s="63" customFormat="1" ht="54.95" customHeight="1" x14ac:dyDescent="0.85">
      <c r="A100" s="132" t="s">
        <v>465</v>
      </c>
      <c r="B100" s="134"/>
      <c r="C100" s="134"/>
      <c r="D100" s="134"/>
      <c r="E100" s="134"/>
      <c r="F100" s="134"/>
      <c r="G100" s="134"/>
      <c r="H100" s="134"/>
      <c r="I100" s="134"/>
      <c r="J100" s="122"/>
      <c r="K100" s="122"/>
      <c r="L100" s="132" t="s">
        <v>465</v>
      </c>
      <c r="M100" s="134"/>
      <c r="N100" s="134"/>
      <c r="O100" s="134"/>
      <c r="P100" s="134"/>
      <c r="Q100" s="134"/>
      <c r="R100" s="134"/>
      <c r="S100" s="134"/>
      <c r="T100" s="134"/>
      <c r="U100" s="121"/>
      <c r="V100" s="132" t="s">
        <v>465</v>
      </c>
      <c r="W100" s="121"/>
      <c r="X100" s="123"/>
      <c r="Y100" s="121"/>
      <c r="Z100" s="123">
        <f t="shared" si="38"/>
        <v>0</v>
      </c>
      <c r="AA100" s="121"/>
      <c r="AB100" s="123"/>
      <c r="AC100" s="123"/>
      <c r="AD100" s="124"/>
      <c r="AE100" s="124"/>
      <c r="AF100" s="124"/>
      <c r="AG100" s="67"/>
    </row>
    <row r="101" spans="1:33" s="63" customFormat="1" ht="54.95" customHeight="1" x14ac:dyDescent="0.85">
      <c r="A101" s="121" t="s">
        <v>268</v>
      </c>
      <c r="B101" s="134">
        <f>CNT!N266</f>
        <v>125000</v>
      </c>
      <c r="C101" s="134">
        <v>0</v>
      </c>
      <c r="D101" s="134">
        <f>DEP!L76</f>
        <v>125000</v>
      </c>
      <c r="E101" s="134">
        <v>0</v>
      </c>
      <c r="F101" s="134">
        <f>'BSC (Dome)'!L75+'BSC (Dome)'!L76</f>
        <v>54000</v>
      </c>
      <c r="G101" s="134">
        <f>'Oliari Co.'!L21+'Oliari Co.'!L22+'Oliari Co.'!L23</f>
        <v>227000</v>
      </c>
      <c r="H101" s="134">
        <f>'722 Bedford St'!L22+'722 Bedford St'!L23</f>
        <v>175000</v>
      </c>
      <c r="I101" s="134">
        <f t="shared" ref="I101:I116" si="43">SUM(B101:H101)</f>
        <v>706000</v>
      </c>
      <c r="J101" s="135"/>
      <c r="K101" s="135"/>
      <c r="L101" s="122" t="s">
        <v>268</v>
      </c>
      <c r="M101" s="134">
        <v>0</v>
      </c>
      <c r="N101" s="134">
        <v>0</v>
      </c>
      <c r="O101" s="134">
        <v>0</v>
      </c>
      <c r="P101" s="134">
        <v>0</v>
      </c>
      <c r="Q101" s="134">
        <f>2200+50425.61</f>
        <v>52625.61</v>
      </c>
      <c r="R101" s="134">
        <f>10000+323600</f>
        <v>333600</v>
      </c>
      <c r="S101" s="134">
        <v>100000</v>
      </c>
      <c r="T101" s="134">
        <f>SUM(M101:S101)</f>
        <v>486225.61</v>
      </c>
      <c r="U101" s="136"/>
      <c r="V101" s="122" t="s">
        <v>268</v>
      </c>
      <c r="W101" s="136"/>
      <c r="X101" s="137">
        <f t="shared" si="37"/>
        <v>706000</v>
      </c>
      <c r="Y101" s="136"/>
      <c r="Z101" s="137">
        <f t="shared" si="38"/>
        <v>486225.61</v>
      </c>
      <c r="AA101" s="136"/>
      <c r="AB101" s="137">
        <f>I101-T101</f>
        <v>219774.39</v>
      </c>
      <c r="AC101" s="137"/>
      <c r="AD101" s="124"/>
      <c r="AE101" s="124"/>
      <c r="AF101" s="124"/>
      <c r="AG101" s="67"/>
    </row>
    <row r="102" spans="1:33" s="63" customFormat="1" ht="54.95" customHeight="1" x14ac:dyDescent="0.85">
      <c r="A102" s="121" t="s">
        <v>269</v>
      </c>
      <c r="B102" s="134">
        <f>CNT!N267</f>
        <v>0</v>
      </c>
      <c r="C102" s="134">
        <v>0</v>
      </c>
      <c r="D102" s="134">
        <v>0</v>
      </c>
      <c r="E102" s="134">
        <v>0</v>
      </c>
      <c r="F102" s="134">
        <v>0</v>
      </c>
      <c r="G102" s="134">
        <v>0</v>
      </c>
      <c r="H102" s="134">
        <v>0</v>
      </c>
      <c r="I102" s="134">
        <f t="shared" si="43"/>
        <v>0</v>
      </c>
      <c r="J102" s="135"/>
      <c r="K102" s="135"/>
      <c r="L102" s="122" t="s">
        <v>269</v>
      </c>
      <c r="M102" s="134">
        <v>343662.5</v>
      </c>
      <c r="N102" s="134">
        <v>0</v>
      </c>
      <c r="O102" s="134">
        <v>0</v>
      </c>
      <c r="P102" s="134">
        <v>0</v>
      </c>
      <c r="Q102" s="134">
        <v>0</v>
      </c>
      <c r="R102" s="134">
        <v>0</v>
      </c>
      <c r="S102" s="134">
        <v>0</v>
      </c>
      <c r="T102" s="134">
        <f>SUM(M102:S102)</f>
        <v>343662.5</v>
      </c>
      <c r="U102" s="136"/>
      <c r="V102" s="122" t="s">
        <v>269</v>
      </c>
      <c r="W102" s="136"/>
      <c r="X102" s="137">
        <f t="shared" si="37"/>
        <v>0</v>
      </c>
      <c r="Y102" s="136"/>
      <c r="Z102" s="137">
        <f t="shared" si="38"/>
        <v>343662.5</v>
      </c>
      <c r="AA102" s="136"/>
      <c r="AB102" s="137">
        <f t="shared" ref="AB102:AB111" si="44">I102-T102</f>
        <v>-343662.5</v>
      </c>
      <c r="AC102" s="137"/>
      <c r="AD102" s="124"/>
      <c r="AE102" s="124"/>
      <c r="AF102" s="124"/>
      <c r="AG102" s="67"/>
    </row>
    <row r="103" spans="1:33" s="63" customFormat="1" ht="54.95" customHeight="1" x14ac:dyDescent="0.85">
      <c r="A103" s="121" t="s">
        <v>327</v>
      </c>
      <c r="B103" s="134">
        <v>0</v>
      </c>
      <c r="C103" s="134">
        <f>-BPM!L73</f>
        <v>0</v>
      </c>
      <c r="D103" s="134">
        <v>0</v>
      </c>
      <c r="E103" s="134">
        <v>0</v>
      </c>
      <c r="F103" s="134">
        <v>0</v>
      </c>
      <c r="G103" s="134">
        <v>0</v>
      </c>
      <c r="H103" s="134">
        <v>0</v>
      </c>
      <c r="I103" s="134">
        <f t="shared" si="43"/>
        <v>0</v>
      </c>
      <c r="J103" s="135"/>
      <c r="K103" s="135"/>
      <c r="L103" s="122" t="s">
        <v>327</v>
      </c>
      <c r="M103" s="134">
        <v>0</v>
      </c>
      <c r="N103" s="134">
        <v>-343662.5</v>
      </c>
      <c r="O103" s="134">
        <v>-15000</v>
      </c>
      <c r="P103" s="134">
        <v>0</v>
      </c>
      <c r="Q103" s="134">
        <v>0</v>
      </c>
      <c r="R103" s="134">
        <v>0</v>
      </c>
      <c r="S103" s="134">
        <v>0</v>
      </c>
      <c r="T103" s="134">
        <f>SUM(M103:S103)</f>
        <v>-358662.5</v>
      </c>
      <c r="U103" s="136"/>
      <c r="V103" s="122" t="s">
        <v>327</v>
      </c>
      <c r="W103" s="136"/>
      <c r="X103" s="137">
        <f t="shared" si="37"/>
        <v>0</v>
      </c>
      <c r="Y103" s="136"/>
      <c r="Z103" s="137">
        <f t="shared" si="38"/>
        <v>-358662.5</v>
      </c>
      <c r="AA103" s="136"/>
      <c r="AB103" s="137">
        <f t="shared" si="44"/>
        <v>358662.5</v>
      </c>
      <c r="AC103" s="137"/>
      <c r="AD103" s="124"/>
      <c r="AE103" s="124"/>
      <c r="AF103" s="124"/>
      <c r="AG103" s="67"/>
    </row>
    <row r="104" spans="1:33" s="63" customFormat="1" ht="54.95" customHeight="1" x14ac:dyDescent="0.85">
      <c r="A104" s="121" t="s">
        <v>389</v>
      </c>
      <c r="B104" s="134">
        <f>CNT!N268</f>
        <v>52442.54</v>
      </c>
      <c r="C104" s="134">
        <f>-BPM!L74</f>
        <v>-52442.54</v>
      </c>
      <c r="D104" s="134">
        <v>0</v>
      </c>
      <c r="E104" s="134">
        <v>0</v>
      </c>
      <c r="F104" s="134">
        <v>0</v>
      </c>
      <c r="G104" s="134">
        <v>0</v>
      </c>
      <c r="H104" s="134">
        <v>0</v>
      </c>
      <c r="I104" s="134">
        <f t="shared" si="43"/>
        <v>0</v>
      </c>
      <c r="J104" s="135"/>
      <c r="K104" s="135"/>
      <c r="L104" s="122" t="s">
        <v>389</v>
      </c>
      <c r="M104" s="134">
        <v>0</v>
      </c>
      <c r="N104" s="134">
        <v>0</v>
      </c>
      <c r="O104" s="134">
        <v>0</v>
      </c>
      <c r="P104" s="134">
        <v>0</v>
      </c>
      <c r="Q104" s="134">
        <v>0</v>
      </c>
      <c r="R104" s="134">
        <v>0</v>
      </c>
      <c r="S104" s="134">
        <v>0</v>
      </c>
      <c r="T104" s="134">
        <v>0</v>
      </c>
      <c r="U104" s="136"/>
      <c r="V104" s="122" t="s">
        <v>389</v>
      </c>
      <c r="W104" s="136"/>
      <c r="X104" s="137">
        <f t="shared" si="37"/>
        <v>0</v>
      </c>
      <c r="Y104" s="136"/>
      <c r="Z104" s="137">
        <f t="shared" si="38"/>
        <v>0</v>
      </c>
      <c r="AA104" s="136"/>
      <c r="AB104" s="137">
        <f t="shared" si="44"/>
        <v>0</v>
      </c>
      <c r="AC104" s="137"/>
      <c r="AD104" s="124"/>
      <c r="AE104" s="124"/>
      <c r="AF104" s="124"/>
      <c r="AG104" s="67"/>
    </row>
    <row r="105" spans="1:33" s="63" customFormat="1" ht="54.95" customHeight="1" x14ac:dyDescent="0.85">
      <c r="A105" s="121" t="s">
        <v>270</v>
      </c>
      <c r="B105" s="134">
        <f>CNT!N269</f>
        <v>173621.05</v>
      </c>
      <c r="C105" s="134">
        <v>0</v>
      </c>
      <c r="D105" s="134">
        <v>0</v>
      </c>
      <c r="E105" s="134">
        <v>0</v>
      </c>
      <c r="F105" s="134">
        <v>0</v>
      </c>
      <c r="G105" s="134">
        <v>0</v>
      </c>
      <c r="H105" s="134">
        <v>0</v>
      </c>
      <c r="I105" s="134">
        <f t="shared" si="43"/>
        <v>173621.05</v>
      </c>
      <c r="J105" s="135"/>
      <c r="K105" s="135"/>
      <c r="L105" s="122" t="s">
        <v>270</v>
      </c>
      <c r="M105" s="134">
        <v>0</v>
      </c>
      <c r="N105" s="134">
        <v>0</v>
      </c>
      <c r="O105" s="134">
        <v>0</v>
      </c>
      <c r="P105" s="134">
        <v>0</v>
      </c>
      <c r="Q105" s="134">
        <v>0</v>
      </c>
      <c r="R105" s="134">
        <v>0</v>
      </c>
      <c r="S105" s="134">
        <v>0</v>
      </c>
      <c r="T105" s="134">
        <f t="shared" ref="T105:T116" si="45">SUM(M105:S105)</f>
        <v>0</v>
      </c>
      <c r="U105" s="136"/>
      <c r="V105" s="122" t="s">
        <v>270</v>
      </c>
      <c r="W105" s="136"/>
      <c r="X105" s="137">
        <f t="shared" si="37"/>
        <v>173621.05</v>
      </c>
      <c r="Y105" s="136"/>
      <c r="Z105" s="137">
        <f t="shared" si="38"/>
        <v>0</v>
      </c>
      <c r="AA105" s="136"/>
      <c r="AB105" s="137">
        <f t="shared" si="44"/>
        <v>173621.05</v>
      </c>
      <c r="AC105" s="137"/>
      <c r="AD105" s="124"/>
      <c r="AE105" s="124"/>
      <c r="AF105" s="124"/>
      <c r="AG105" s="67"/>
    </row>
    <row r="106" spans="1:33" s="63" customFormat="1" ht="54.95" customHeight="1" x14ac:dyDescent="0.85">
      <c r="A106" s="121" t="s">
        <v>271</v>
      </c>
      <c r="B106" s="134">
        <f>CNT!N270</f>
        <v>205536.41</v>
      </c>
      <c r="C106" s="134">
        <f>-BPM!L75</f>
        <v>11103.05</v>
      </c>
      <c r="D106" s="134">
        <f>DEP!L77</f>
        <v>27991.05</v>
      </c>
      <c r="E106" s="134">
        <f>Lending!L16</f>
        <v>43817.899999999994</v>
      </c>
      <c r="F106" s="134">
        <v>0</v>
      </c>
      <c r="G106" s="134">
        <f>'Oliari Co.'!L25</f>
        <v>36247.920000000006</v>
      </c>
      <c r="H106" s="134">
        <v>0</v>
      </c>
      <c r="I106" s="134">
        <f t="shared" si="43"/>
        <v>324696.32999999996</v>
      </c>
      <c r="J106" s="135"/>
      <c r="K106" s="135"/>
      <c r="L106" s="122" t="s">
        <v>271</v>
      </c>
      <c r="M106" s="134">
        <v>199328.06</v>
      </c>
      <c r="N106" s="134">
        <v>0</v>
      </c>
      <c r="O106" s="134">
        <v>0</v>
      </c>
      <c r="P106" s="134">
        <v>79178.009999999995</v>
      </c>
      <c r="Q106" s="134">
        <v>0</v>
      </c>
      <c r="R106" s="134">
        <v>42107.02</v>
      </c>
      <c r="S106" s="134">
        <v>0</v>
      </c>
      <c r="T106" s="134">
        <f t="shared" si="45"/>
        <v>320613.09000000003</v>
      </c>
      <c r="U106" s="136"/>
      <c r="V106" s="122" t="s">
        <v>271</v>
      </c>
      <c r="W106" s="136"/>
      <c r="X106" s="137">
        <f t="shared" si="37"/>
        <v>324696.32999999996</v>
      </c>
      <c r="Y106" s="136"/>
      <c r="Z106" s="137">
        <f t="shared" si="38"/>
        <v>320613.09000000003</v>
      </c>
      <c r="AA106" s="136"/>
      <c r="AB106" s="137">
        <f t="shared" si="44"/>
        <v>4083.2399999999325</v>
      </c>
      <c r="AC106" s="137"/>
      <c r="AD106" s="124"/>
      <c r="AE106" s="124"/>
      <c r="AF106" s="124"/>
      <c r="AG106" s="67"/>
    </row>
    <row r="107" spans="1:33" s="63" customFormat="1" ht="54.95" customHeight="1" x14ac:dyDescent="0.85">
      <c r="A107" s="121" t="s">
        <v>272</v>
      </c>
      <c r="B107" s="134">
        <f>CNT!N271</f>
        <v>-154193.69999999998</v>
      </c>
      <c r="C107" s="134">
        <v>0</v>
      </c>
      <c r="D107" s="134">
        <v>0</v>
      </c>
      <c r="E107" s="134">
        <f>Lending!L17</f>
        <v>-4941.34</v>
      </c>
      <c r="F107" s="134">
        <f>'BSC (Dome)'!L78+'BSC (Dome)'!L79</f>
        <v>-96696.13</v>
      </c>
      <c r="G107" s="134">
        <f>'Oliari Co.'!L26</f>
        <v>-8609.3000000000011</v>
      </c>
      <c r="H107" s="134">
        <f>'722 Bedford St'!L26</f>
        <v>-138.88999999999999</v>
      </c>
      <c r="I107" s="134">
        <f t="shared" si="43"/>
        <v>-264579.36</v>
      </c>
      <c r="J107" s="135"/>
      <c r="K107" s="135"/>
      <c r="L107" s="122" t="s">
        <v>272</v>
      </c>
      <c r="M107" s="134">
        <v>-177793.96</v>
      </c>
      <c r="N107" s="134">
        <v>0</v>
      </c>
      <c r="O107" s="134">
        <v>0</v>
      </c>
      <c r="P107" s="134">
        <v>-13820.51</v>
      </c>
      <c r="Q107" s="134">
        <f>-41962.1-60587.1</f>
        <v>-102549.2</v>
      </c>
      <c r="R107" s="134">
        <f>-16173.41-9500.81-1721.86</f>
        <v>-27396.080000000002</v>
      </c>
      <c r="S107" s="134">
        <v>0</v>
      </c>
      <c r="T107" s="134">
        <f t="shared" si="45"/>
        <v>-321559.75</v>
      </c>
      <c r="U107" s="136"/>
      <c r="V107" s="122" t="s">
        <v>272</v>
      </c>
      <c r="W107" s="136"/>
      <c r="X107" s="137">
        <f t="shared" si="37"/>
        <v>-264579.36</v>
      </c>
      <c r="Y107" s="136"/>
      <c r="Z107" s="137">
        <f t="shared" si="38"/>
        <v>-321559.75</v>
      </c>
      <c r="AA107" s="136"/>
      <c r="AB107" s="137">
        <f t="shared" si="44"/>
        <v>56980.390000000014</v>
      </c>
      <c r="AC107" s="137"/>
      <c r="AD107" s="124"/>
      <c r="AE107" s="124"/>
      <c r="AF107" s="124"/>
      <c r="AG107" s="67"/>
    </row>
    <row r="108" spans="1:33" s="63" customFormat="1" ht="54.95" customHeight="1" x14ac:dyDescent="0.85">
      <c r="A108" s="121" t="s">
        <v>273</v>
      </c>
      <c r="B108" s="134">
        <f>CNT!N272</f>
        <v>49.6</v>
      </c>
      <c r="C108" s="134">
        <v>0</v>
      </c>
      <c r="D108" s="134">
        <v>0</v>
      </c>
      <c r="E108" s="134">
        <v>0</v>
      </c>
      <c r="F108" s="134">
        <f>'BSC (Dome)'!L77</f>
        <v>1912.98</v>
      </c>
      <c r="G108" s="134">
        <f>'Oliari Co.'!L24</f>
        <v>1.01</v>
      </c>
      <c r="H108" s="134">
        <v>0</v>
      </c>
      <c r="I108" s="134">
        <f t="shared" si="43"/>
        <v>1963.59</v>
      </c>
      <c r="J108" s="135"/>
      <c r="K108" s="135"/>
      <c r="L108" s="122" t="s">
        <v>273</v>
      </c>
      <c r="M108" s="134">
        <v>0</v>
      </c>
      <c r="N108" s="134">
        <v>0</v>
      </c>
      <c r="O108" s="134">
        <v>0</v>
      </c>
      <c r="P108" s="134">
        <v>0</v>
      </c>
      <c r="Q108" s="134">
        <v>0</v>
      </c>
      <c r="R108" s="134">
        <v>0</v>
      </c>
      <c r="S108" s="134">
        <v>0</v>
      </c>
      <c r="T108" s="134">
        <f t="shared" si="45"/>
        <v>0</v>
      </c>
      <c r="U108" s="136"/>
      <c r="V108" s="122" t="s">
        <v>273</v>
      </c>
      <c r="W108" s="136"/>
      <c r="X108" s="137">
        <f t="shared" si="37"/>
        <v>1963.59</v>
      </c>
      <c r="Y108" s="136"/>
      <c r="Z108" s="137">
        <f t="shared" si="38"/>
        <v>0</v>
      </c>
      <c r="AA108" s="136"/>
      <c r="AB108" s="137">
        <f t="shared" si="44"/>
        <v>1963.59</v>
      </c>
      <c r="AC108" s="137"/>
      <c r="AD108" s="124"/>
      <c r="AE108" s="124"/>
      <c r="AF108" s="124"/>
      <c r="AG108" s="67"/>
    </row>
    <row r="109" spans="1:33" s="63" customFormat="1" ht="54.95" customHeight="1" x14ac:dyDescent="0.85">
      <c r="A109" s="121" t="s">
        <v>404</v>
      </c>
      <c r="B109" s="134">
        <f>CNT!N273</f>
        <v>37657.369999999995</v>
      </c>
      <c r="C109" s="134">
        <v>0</v>
      </c>
      <c r="D109" s="134">
        <v>0</v>
      </c>
      <c r="E109" s="134">
        <v>0</v>
      </c>
      <c r="F109" s="134">
        <v>0</v>
      </c>
      <c r="G109" s="134">
        <v>0</v>
      </c>
      <c r="H109" s="134">
        <v>0</v>
      </c>
      <c r="I109" s="134">
        <f t="shared" si="43"/>
        <v>37657.369999999995</v>
      </c>
      <c r="J109" s="135"/>
      <c r="K109" s="135"/>
      <c r="L109" s="121" t="s">
        <v>404</v>
      </c>
      <c r="M109" s="134">
        <v>0</v>
      </c>
      <c r="N109" s="134">
        <v>0</v>
      </c>
      <c r="O109" s="134">
        <v>0</v>
      </c>
      <c r="P109" s="134">
        <v>0</v>
      </c>
      <c r="Q109" s="134">
        <v>0</v>
      </c>
      <c r="R109" s="134">
        <v>0</v>
      </c>
      <c r="S109" s="134">
        <v>0</v>
      </c>
      <c r="T109" s="134">
        <f t="shared" si="45"/>
        <v>0</v>
      </c>
      <c r="U109" s="136"/>
      <c r="V109" s="121" t="s">
        <v>404</v>
      </c>
      <c r="W109" s="136"/>
      <c r="X109" s="137">
        <f t="shared" si="37"/>
        <v>37657.369999999995</v>
      </c>
      <c r="Y109" s="136"/>
      <c r="Z109" s="137">
        <f t="shared" si="38"/>
        <v>0</v>
      </c>
      <c r="AA109" s="136"/>
      <c r="AB109" s="137">
        <f t="shared" si="44"/>
        <v>37657.369999999995</v>
      </c>
      <c r="AC109" s="137"/>
      <c r="AD109" s="124"/>
      <c r="AE109" s="124"/>
      <c r="AF109" s="124"/>
      <c r="AG109" s="67"/>
    </row>
    <row r="110" spans="1:33" s="63" customFormat="1" ht="54.95" customHeight="1" x14ac:dyDescent="0.85">
      <c r="A110" s="121" t="s">
        <v>441</v>
      </c>
      <c r="B110" s="134">
        <f>CNT!N274</f>
        <v>6381.6</v>
      </c>
      <c r="C110" s="134">
        <v>0</v>
      </c>
      <c r="D110" s="134">
        <v>0</v>
      </c>
      <c r="E110" s="134">
        <v>0</v>
      </c>
      <c r="F110" s="134">
        <v>0</v>
      </c>
      <c r="G110" s="134">
        <v>0</v>
      </c>
      <c r="H110" s="134">
        <v>0</v>
      </c>
      <c r="I110" s="134">
        <f t="shared" si="43"/>
        <v>6381.6</v>
      </c>
      <c r="J110" s="135"/>
      <c r="K110" s="135"/>
      <c r="L110" s="121" t="s">
        <v>441</v>
      </c>
      <c r="M110" s="134">
        <v>0</v>
      </c>
      <c r="N110" s="134">
        <v>0</v>
      </c>
      <c r="O110" s="134">
        <v>0</v>
      </c>
      <c r="P110" s="134">
        <v>0</v>
      </c>
      <c r="Q110" s="134">
        <v>0</v>
      </c>
      <c r="R110" s="134">
        <v>0</v>
      </c>
      <c r="S110" s="134">
        <v>0</v>
      </c>
      <c r="T110" s="134">
        <f t="shared" si="45"/>
        <v>0</v>
      </c>
      <c r="U110" s="136"/>
      <c r="V110" s="121" t="s">
        <v>441</v>
      </c>
      <c r="W110" s="136"/>
      <c r="X110" s="137"/>
      <c r="Y110" s="136"/>
      <c r="Z110" s="137">
        <f t="shared" si="38"/>
        <v>0</v>
      </c>
      <c r="AA110" s="136"/>
      <c r="AB110" s="137">
        <f t="shared" si="44"/>
        <v>6381.6</v>
      </c>
      <c r="AC110" s="137"/>
      <c r="AD110" s="124"/>
      <c r="AE110" s="124"/>
      <c r="AF110" s="124"/>
      <c r="AG110" s="67"/>
    </row>
    <row r="111" spans="1:33" s="63" customFormat="1" ht="54.95" customHeight="1" x14ac:dyDescent="0.85">
      <c r="A111" s="121" t="s">
        <v>442</v>
      </c>
      <c r="B111" s="134">
        <f>CNT!N276</f>
        <v>35989.14</v>
      </c>
      <c r="C111" s="134">
        <v>0</v>
      </c>
      <c r="D111" s="134">
        <v>0</v>
      </c>
      <c r="E111" s="134">
        <v>0</v>
      </c>
      <c r="F111" s="134">
        <v>0</v>
      </c>
      <c r="G111" s="134">
        <v>0</v>
      </c>
      <c r="H111" s="134">
        <v>0</v>
      </c>
      <c r="I111" s="134">
        <f t="shared" si="43"/>
        <v>35989.14</v>
      </c>
      <c r="J111" s="135"/>
      <c r="K111" s="135"/>
      <c r="L111" s="121" t="s">
        <v>442</v>
      </c>
      <c r="M111" s="134">
        <v>0</v>
      </c>
      <c r="N111" s="134">
        <v>0</v>
      </c>
      <c r="O111" s="134">
        <v>0</v>
      </c>
      <c r="P111" s="134">
        <v>0</v>
      </c>
      <c r="Q111" s="134">
        <v>0</v>
      </c>
      <c r="R111" s="134">
        <v>0</v>
      </c>
      <c r="S111" s="134">
        <v>0</v>
      </c>
      <c r="T111" s="134">
        <f t="shared" si="45"/>
        <v>0</v>
      </c>
      <c r="U111" s="136"/>
      <c r="V111" s="121" t="s">
        <v>442</v>
      </c>
      <c r="W111" s="136"/>
      <c r="X111" s="137"/>
      <c r="Y111" s="136"/>
      <c r="Z111" s="137">
        <f t="shared" si="38"/>
        <v>0</v>
      </c>
      <c r="AA111" s="136"/>
      <c r="AB111" s="137">
        <f t="shared" si="44"/>
        <v>35989.14</v>
      </c>
      <c r="AC111" s="137"/>
      <c r="AD111" s="124"/>
      <c r="AE111" s="124"/>
      <c r="AF111" s="124"/>
      <c r="AG111" s="67"/>
    </row>
    <row r="112" spans="1:33" s="63" customFormat="1" ht="54.95" customHeight="1" x14ac:dyDescent="0.85">
      <c r="A112" s="121" t="s">
        <v>406</v>
      </c>
      <c r="B112" s="134">
        <f>CNT!N275</f>
        <v>24206.230000000003</v>
      </c>
      <c r="C112" s="134">
        <v>0</v>
      </c>
      <c r="D112" s="134">
        <v>0</v>
      </c>
      <c r="E112" s="134">
        <v>0</v>
      </c>
      <c r="F112" s="134">
        <v>0</v>
      </c>
      <c r="G112" s="134">
        <v>0</v>
      </c>
      <c r="H112" s="134">
        <v>0</v>
      </c>
      <c r="I112" s="134">
        <f t="shared" si="43"/>
        <v>24206.230000000003</v>
      </c>
      <c r="J112" s="135"/>
      <c r="K112" s="135"/>
      <c r="L112" s="121" t="s">
        <v>406</v>
      </c>
      <c r="M112" s="134">
        <v>0</v>
      </c>
      <c r="N112" s="134">
        <v>0</v>
      </c>
      <c r="O112" s="134">
        <v>0</v>
      </c>
      <c r="P112" s="134">
        <v>0</v>
      </c>
      <c r="Q112" s="134">
        <v>0</v>
      </c>
      <c r="R112" s="134">
        <v>0</v>
      </c>
      <c r="S112" s="134">
        <v>0</v>
      </c>
      <c r="T112" s="134">
        <v>0</v>
      </c>
      <c r="U112" s="136"/>
      <c r="V112" s="121" t="s">
        <v>406</v>
      </c>
      <c r="W112" s="136"/>
      <c r="X112" s="137">
        <f t="shared" si="37"/>
        <v>24206.230000000003</v>
      </c>
      <c r="Y112" s="136"/>
      <c r="Z112" s="137">
        <f t="shared" si="38"/>
        <v>0</v>
      </c>
      <c r="AA112" s="136"/>
      <c r="AB112" s="137"/>
      <c r="AC112" s="137"/>
      <c r="AD112" s="124"/>
      <c r="AE112" s="124"/>
      <c r="AF112" s="124"/>
      <c r="AG112" s="67"/>
    </row>
    <row r="113" spans="1:33" s="63" customFormat="1" ht="54.95" customHeight="1" x14ac:dyDescent="0.85">
      <c r="A113" s="121" t="s">
        <v>452</v>
      </c>
      <c r="B113" s="134">
        <f>CNT!N277</f>
        <v>3098.28</v>
      </c>
      <c r="C113" s="134">
        <v>0</v>
      </c>
      <c r="D113" s="134">
        <v>0</v>
      </c>
      <c r="E113" s="134">
        <v>0</v>
      </c>
      <c r="F113" s="134">
        <v>0</v>
      </c>
      <c r="G113" s="134">
        <v>0</v>
      </c>
      <c r="H113" s="134">
        <v>0</v>
      </c>
      <c r="I113" s="134">
        <f t="shared" si="43"/>
        <v>3098.28</v>
      </c>
      <c r="J113" s="135"/>
      <c r="K113" s="135"/>
      <c r="L113" s="121" t="s">
        <v>452</v>
      </c>
      <c r="M113" s="134">
        <v>0</v>
      </c>
      <c r="N113" s="134">
        <v>0</v>
      </c>
      <c r="O113" s="134">
        <v>0</v>
      </c>
      <c r="P113" s="134">
        <v>0</v>
      </c>
      <c r="Q113" s="134">
        <v>0</v>
      </c>
      <c r="R113" s="134">
        <v>0</v>
      </c>
      <c r="S113" s="134">
        <v>0</v>
      </c>
      <c r="T113" s="134">
        <v>0</v>
      </c>
      <c r="U113" s="136"/>
      <c r="V113" s="121" t="s">
        <v>452</v>
      </c>
      <c r="W113" s="136"/>
      <c r="X113" s="137"/>
      <c r="Y113" s="136"/>
      <c r="Z113" s="137">
        <f t="shared" si="38"/>
        <v>0</v>
      </c>
      <c r="AA113" s="136"/>
      <c r="AB113" s="137"/>
      <c r="AC113" s="137"/>
      <c r="AD113" s="124"/>
      <c r="AE113" s="124"/>
      <c r="AF113" s="124"/>
      <c r="AG113" s="67"/>
    </row>
    <row r="114" spans="1:33" s="63" customFormat="1" ht="54.95" customHeight="1" x14ac:dyDescent="0.85">
      <c r="A114" s="132" t="s">
        <v>466</v>
      </c>
      <c r="B114" s="139">
        <f t="shared" ref="B114:I114" si="46">SUM(B101:B113)</f>
        <v>509788.52</v>
      </c>
      <c r="C114" s="139">
        <f t="shared" si="46"/>
        <v>-41339.490000000005</v>
      </c>
      <c r="D114" s="139">
        <f t="shared" si="46"/>
        <v>152991.04999999999</v>
      </c>
      <c r="E114" s="139">
        <f t="shared" si="46"/>
        <v>38876.559999999998</v>
      </c>
      <c r="F114" s="139">
        <f t="shared" si="46"/>
        <v>-40783.15</v>
      </c>
      <c r="G114" s="139">
        <f t="shared" si="46"/>
        <v>254639.63</v>
      </c>
      <c r="H114" s="139">
        <f t="shared" si="46"/>
        <v>174861.11</v>
      </c>
      <c r="I114" s="139">
        <f t="shared" si="46"/>
        <v>1049034.2299999997</v>
      </c>
      <c r="J114" s="153">
        <f>SUM(I101:I113)-I114</f>
        <v>0</v>
      </c>
      <c r="K114" s="135"/>
      <c r="L114" s="132" t="s">
        <v>466</v>
      </c>
      <c r="M114" s="139">
        <f>SUM(M101:M113)</f>
        <v>365196.60000000009</v>
      </c>
      <c r="N114" s="139">
        <f>SUM(N101:N108)</f>
        <v>-343662.5</v>
      </c>
      <c r="O114" s="139">
        <f>SUM(O101:O108)</f>
        <v>-15000</v>
      </c>
      <c r="P114" s="139">
        <f>SUM(P101:P113)</f>
        <v>65357.499999999993</v>
      </c>
      <c r="Q114" s="139">
        <f>SUM(Q101:Q113)</f>
        <v>-49923.59</v>
      </c>
      <c r="R114" s="139">
        <f>SUM(R101:R113)</f>
        <v>348310.94</v>
      </c>
      <c r="S114" s="139">
        <f>SUM(S101:S113)</f>
        <v>100000</v>
      </c>
      <c r="T114" s="139">
        <f>SUM(M114:S114)</f>
        <v>470278.95000000007</v>
      </c>
      <c r="U114" s="149">
        <f>SUM(T101:T112)-T114</f>
        <v>0</v>
      </c>
      <c r="V114" s="132" t="s">
        <v>466</v>
      </c>
      <c r="W114" s="136"/>
      <c r="X114" s="144">
        <f t="shared" si="37"/>
        <v>1049034.2299999997</v>
      </c>
      <c r="Y114" s="136"/>
      <c r="Z114" s="144">
        <f t="shared" si="38"/>
        <v>470278.95000000007</v>
      </c>
      <c r="AA114" s="136"/>
      <c r="AB114" s="144">
        <f>I114-T114</f>
        <v>578755.27999999968</v>
      </c>
      <c r="AC114" s="144"/>
      <c r="AD114" s="124"/>
      <c r="AE114" s="124"/>
      <c r="AF114" s="124"/>
      <c r="AG114" s="67"/>
    </row>
    <row r="115" spans="1:33" s="63" customFormat="1" ht="54.95" customHeight="1" x14ac:dyDescent="0.85">
      <c r="A115" s="132"/>
      <c r="B115" s="134"/>
      <c r="C115" s="134"/>
      <c r="D115" s="134"/>
      <c r="E115" s="134"/>
      <c r="F115" s="134"/>
      <c r="G115" s="134"/>
      <c r="H115" s="134"/>
      <c r="I115" s="134">
        <f t="shared" si="43"/>
        <v>0</v>
      </c>
      <c r="J115" s="135"/>
      <c r="K115" s="135"/>
      <c r="L115" s="133"/>
      <c r="M115" s="134"/>
      <c r="N115" s="134"/>
      <c r="O115" s="134"/>
      <c r="P115" s="134"/>
      <c r="Q115" s="134"/>
      <c r="R115" s="134"/>
      <c r="S115" s="134"/>
      <c r="T115" s="134">
        <f t="shared" si="45"/>
        <v>0</v>
      </c>
      <c r="U115" s="136"/>
      <c r="V115" s="133"/>
      <c r="W115" s="136"/>
      <c r="X115" s="137"/>
      <c r="Y115" s="136"/>
      <c r="Z115" s="137">
        <f t="shared" si="38"/>
        <v>0</v>
      </c>
      <c r="AA115" s="136"/>
      <c r="AB115" s="137"/>
      <c r="AC115" s="137"/>
      <c r="AD115" s="124"/>
      <c r="AE115" s="124"/>
      <c r="AF115" s="124"/>
      <c r="AG115" s="67"/>
    </row>
    <row r="116" spans="1:33" s="160" customFormat="1" ht="69.95" customHeight="1" thickBot="1" x14ac:dyDescent="1.1000000000000001">
      <c r="A116" s="163" t="s">
        <v>267</v>
      </c>
      <c r="B116" s="164">
        <f>B35-B98+B114</f>
        <v>38273.270000152756</v>
      </c>
      <c r="C116" s="164">
        <f t="shared" ref="C116:H116" si="47">C35-C98+C114</f>
        <v>190860.8400000066</v>
      </c>
      <c r="D116" s="164">
        <f t="shared" si="47"/>
        <v>756450.63000000012</v>
      </c>
      <c r="E116" s="164">
        <f>E35-E98+E114</f>
        <v>19931.369999999995</v>
      </c>
      <c r="F116" s="164">
        <f t="shared" si="47"/>
        <v>-94654.929999999906</v>
      </c>
      <c r="G116" s="164">
        <f>G35-G98+G114</f>
        <v>158691.93</v>
      </c>
      <c r="H116" s="164">
        <f t="shared" si="47"/>
        <v>23863.690000000002</v>
      </c>
      <c r="I116" s="164">
        <f t="shared" si="43"/>
        <v>1093416.8000001595</v>
      </c>
      <c r="J116" s="162"/>
      <c r="K116" s="162"/>
      <c r="L116" s="165" t="s">
        <v>267</v>
      </c>
      <c r="M116" s="164">
        <f t="shared" ref="M116:S116" si="48">M35-M98+M114</f>
        <v>-1019288.9499988747</v>
      </c>
      <c r="N116" s="164">
        <f t="shared" si="48"/>
        <v>232284.15999999433</v>
      </c>
      <c r="O116" s="164">
        <f t="shared" si="48"/>
        <v>736688.65000000014</v>
      </c>
      <c r="P116" s="164">
        <f t="shared" si="48"/>
        <v>60644.069999999992</v>
      </c>
      <c r="Q116" s="164">
        <f>Q35-Q98+Q114</f>
        <v>-95026.97</v>
      </c>
      <c r="R116" s="164">
        <f>R35-R98+R114</f>
        <v>300386.90000000002</v>
      </c>
      <c r="S116" s="164">
        <f t="shared" si="48"/>
        <v>96887.95</v>
      </c>
      <c r="T116" s="164">
        <f t="shared" si="45"/>
        <v>312575.8100011198</v>
      </c>
      <c r="V116" s="165" t="s">
        <v>267</v>
      </c>
      <c r="X116" s="166">
        <f t="shared" si="37"/>
        <v>1093416.8000001595</v>
      </c>
      <c r="Z116" s="166">
        <f t="shared" si="38"/>
        <v>312575.8100011198</v>
      </c>
      <c r="AB116" s="166">
        <f>I116-T116</f>
        <v>780840.9899990398</v>
      </c>
      <c r="AC116" s="167"/>
      <c r="AD116" s="161"/>
      <c r="AE116" s="161"/>
      <c r="AF116" s="161"/>
      <c r="AG116" s="161"/>
    </row>
    <row r="117" spans="1:33" ht="58.5" thickTop="1" x14ac:dyDescent="0.85">
      <c r="B117" s="134">
        <f>CNT!N280-B116</f>
        <v>-6.2689650803804398E-7</v>
      </c>
      <c r="C117" s="134">
        <f>BPM!L80-C116</f>
        <v>0</v>
      </c>
      <c r="D117" s="134">
        <f>DEP!L82-D116</f>
        <v>0</v>
      </c>
      <c r="E117" s="134">
        <f>Lending!L20-E116</f>
        <v>0</v>
      </c>
      <c r="F117" s="134">
        <f>'BSC (Dome)'!L84-F116</f>
        <v>0</v>
      </c>
      <c r="G117" s="134">
        <f>'Oliari Co.'!L29-G116</f>
        <v>0</v>
      </c>
      <c r="H117" s="134">
        <f>'722 Bedford St'!L29-H116</f>
        <v>0</v>
      </c>
      <c r="I117" s="134">
        <f>B117+C117+D117+E117+F117+G117+H117</f>
        <v>-6.2689650803804398E-7</v>
      </c>
    </row>
  </sheetData>
  <mergeCells count="11">
    <mergeCell ref="V5:AF8"/>
    <mergeCell ref="L8:U8"/>
    <mergeCell ref="A2:AF2"/>
    <mergeCell ref="A3:AF3"/>
    <mergeCell ref="A5:J5"/>
    <mergeCell ref="L5:U5"/>
    <mergeCell ref="A6:J6"/>
    <mergeCell ref="L6:U6"/>
    <mergeCell ref="A7:J7"/>
    <mergeCell ref="L7:U7"/>
    <mergeCell ref="A8:J8"/>
  </mergeCells>
  <pageMargins left="0.7" right="0.7" top="0.75" bottom="0.75" header="0.3" footer="0.3"/>
  <pageSetup scale="15" fitToWidth="3" fitToHeight="3" orientation="landscape" r:id="rId1"/>
  <headerFooter>
    <oddFooter>&amp;C&amp;16Page &amp;P of &amp;N</oddFooter>
  </headerFooter>
  <rowBreaks count="2" manualBreakCount="2">
    <brk id="50" max="31" man="1"/>
    <brk id="99" max="31" man="1"/>
  </rowBreaks>
  <colBreaks count="2" manualBreakCount="2">
    <brk id="10" min="4" max="115" man="1"/>
    <brk id="21" min="4" max="1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83"/>
  <sheetViews>
    <sheetView zoomScaleNormal="100" workbookViewId="0">
      <pane ySplit="6" topLeftCell="A29" activePane="bottomLeft" state="frozen"/>
      <selection activeCell="C20" sqref="C20"/>
      <selection pane="bottomLeft" activeCell="C20" sqref="C20"/>
    </sheetView>
  </sheetViews>
  <sheetFormatPr defaultRowHeight="15" x14ac:dyDescent="0.25"/>
  <cols>
    <col min="1" max="1" width="44.42578125" bestFit="1" customWidth="1"/>
    <col min="2" max="2" width="13" style="48" bestFit="1" customWidth="1"/>
    <col min="3" max="3" width="11.5703125" style="48" bestFit="1" customWidth="1"/>
    <col min="4" max="4" width="13.42578125" style="48" bestFit="1" customWidth="1"/>
    <col min="5" max="11" width="13" style="48" bestFit="1" customWidth="1"/>
    <col min="12" max="12" width="13.42578125" style="48" bestFit="1" customWidth="1"/>
    <col min="13" max="13" width="8.85546875" style="48"/>
  </cols>
  <sheetData>
    <row r="1" spans="1:12" x14ac:dyDescent="0.25">
      <c r="A1" s="218" t="s">
        <v>274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x14ac:dyDescent="0.25">
      <c r="A2" s="218" t="s">
        <v>275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x14ac:dyDescent="0.25">
      <c r="A3" s="218">
        <v>2018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7" spans="1:12" x14ac:dyDescent="0.25">
      <c r="A7" s="47" t="s">
        <v>62</v>
      </c>
    </row>
    <row r="8" spans="1:12" x14ac:dyDescent="0.25">
      <c r="A8" t="s">
        <v>276</v>
      </c>
      <c r="B8" s="48">
        <v>1007.48</v>
      </c>
      <c r="C8" s="48">
        <v>2880.98</v>
      </c>
      <c r="D8" s="48">
        <v>11848.57</v>
      </c>
      <c r="E8" s="48">
        <v>8277.67</v>
      </c>
      <c r="F8" s="48">
        <v>59.53</v>
      </c>
      <c r="G8" s="48">
        <f>1079.75-0.03</f>
        <v>1079.72</v>
      </c>
      <c r="H8" s="48">
        <f>1171.63+9</f>
        <v>1180.6300000000001</v>
      </c>
      <c r="I8" s="48">
        <v>294.82</v>
      </c>
      <c r="J8" s="48">
        <v>425.67</v>
      </c>
      <c r="K8" s="48">
        <v>497.99</v>
      </c>
      <c r="L8" s="48">
        <f t="shared" ref="L8:L16" si="0">SUM(B8:K8)</f>
        <v>27553.059999999998</v>
      </c>
    </row>
    <row r="9" spans="1:12" x14ac:dyDescent="0.25">
      <c r="A9" t="s">
        <v>277</v>
      </c>
      <c r="B9" s="48">
        <v>1315</v>
      </c>
      <c r="C9" s="48">
        <v>690</v>
      </c>
      <c r="D9" s="48">
        <v>380</v>
      </c>
      <c r="E9" s="48">
        <v>0</v>
      </c>
      <c r="F9" s="48">
        <v>0</v>
      </c>
      <c r="G9" s="48">
        <v>0</v>
      </c>
      <c r="H9" s="48">
        <v>540</v>
      </c>
      <c r="I9" s="48">
        <v>830</v>
      </c>
      <c r="J9" s="48">
        <v>605</v>
      </c>
      <c r="K9" s="48">
        <v>530</v>
      </c>
      <c r="L9" s="48">
        <f t="shared" si="0"/>
        <v>4890</v>
      </c>
    </row>
    <row r="10" spans="1:12" x14ac:dyDescent="0.25">
      <c r="A10" t="s">
        <v>334</v>
      </c>
      <c r="B10" s="48">
        <v>150</v>
      </c>
      <c r="C10" s="48">
        <v>100</v>
      </c>
      <c r="D10" s="48">
        <v>150</v>
      </c>
      <c r="E10" s="48">
        <v>0</v>
      </c>
      <c r="F10" s="48">
        <v>100</v>
      </c>
      <c r="G10" s="48">
        <v>50</v>
      </c>
      <c r="H10" s="48">
        <v>150</v>
      </c>
      <c r="I10" s="48">
        <v>50</v>
      </c>
      <c r="J10" s="48">
        <v>50</v>
      </c>
      <c r="K10" s="48">
        <v>150</v>
      </c>
      <c r="L10" s="48">
        <f t="shared" si="0"/>
        <v>950</v>
      </c>
    </row>
    <row r="11" spans="1:12" x14ac:dyDescent="0.25">
      <c r="A11" t="s">
        <v>278</v>
      </c>
      <c r="B11" s="48">
        <v>74672.5</v>
      </c>
      <c r="C11" s="48">
        <v>77307.5</v>
      </c>
      <c r="D11" s="48">
        <v>85637.5</v>
      </c>
      <c r="E11" s="48">
        <v>107355</v>
      </c>
      <c r="F11" s="48">
        <v>119340</v>
      </c>
      <c r="G11" s="48">
        <v>128860</v>
      </c>
      <c r="H11" s="48">
        <v>158737.5</v>
      </c>
      <c r="I11" s="48">
        <v>200812.5</v>
      </c>
      <c r="J11" s="48">
        <v>220447.5</v>
      </c>
      <c r="K11" s="48">
        <v>134002.5</v>
      </c>
      <c r="L11" s="48">
        <f t="shared" si="0"/>
        <v>1307172.5</v>
      </c>
    </row>
    <row r="12" spans="1:12" x14ac:dyDescent="0.25">
      <c r="A12" t="s">
        <v>306</v>
      </c>
      <c r="B12" s="48">
        <v>29225</v>
      </c>
      <c r="C12" s="48">
        <v>0</v>
      </c>
      <c r="D12" s="48">
        <v>67262</v>
      </c>
      <c r="E12" s="48">
        <v>0</v>
      </c>
      <c r="F12" s="48">
        <v>109042</v>
      </c>
      <c r="G12" s="48">
        <v>21090</v>
      </c>
      <c r="H12" s="48">
        <v>26700</v>
      </c>
      <c r="I12" s="48">
        <v>19838</v>
      </c>
      <c r="J12" s="48">
        <v>527275</v>
      </c>
      <c r="K12" s="48">
        <v>238875</v>
      </c>
      <c r="L12" s="48">
        <f t="shared" si="0"/>
        <v>1039307</v>
      </c>
    </row>
    <row r="13" spans="1:12" x14ac:dyDescent="0.25">
      <c r="A13" t="s">
        <v>279</v>
      </c>
      <c r="B13" s="48">
        <v>3474</v>
      </c>
      <c r="C13" s="48">
        <v>3440.25</v>
      </c>
      <c r="D13" s="48">
        <v>3440.25</v>
      </c>
      <c r="E13" s="48">
        <v>5316.75</v>
      </c>
      <c r="F13" s="48">
        <v>5316.75</v>
      </c>
      <c r="G13" s="48">
        <v>7155.5</v>
      </c>
      <c r="H13" s="48">
        <v>7110.5</v>
      </c>
      <c r="I13" s="48">
        <v>7819.25</v>
      </c>
      <c r="J13" s="48">
        <v>6844.25</v>
      </c>
      <c r="K13" s="48">
        <v>6810.5</v>
      </c>
      <c r="L13" s="105">
        <f t="shared" si="0"/>
        <v>56728</v>
      </c>
    </row>
    <row r="14" spans="1:12" x14ac:dyDescent="0.25">
      <c r="A14" t="s">
        <v>426</v>
      </c>
      <c r="B14" s="48">
        <v>39424.43</v>
      </c>
      <c r="C14" s="48">
        <v>30082.99</v>
      </c>
      <c r="D14" s="48">
        <v>37907.64</v>
      </c>
      <c r="E14" s="48">
        <v>44830.54</v>
      </c>
      <c r="F14" s="48">
        <v>40289.01</v>
      </c>
      <c r="G14" s="48">
        <v>22639.5</v>
      </c>
      <c r="H14" s="48">
        <v>36972.589999999997</v>
      </c>
      <c r="I14" s="48">
        <v>37608.94</v>
      </c>
      <c r="J14" s="48">
        <v>39991</v>
      </c>
      <c r="K14" s="48">
        <v>40484.660000000003</v>
      </c>
      <c r="L14" s="48">
        <f t="shared" si="0"/>
        <v>370231.30000000005</v>
      </c>
    </row>
    <row r="15" spans="1:12" x14ac:dyDescent="0.25">
      <c r="A15" t="s">
        <v>427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8000</v>
      </c>
      <c r="H15" s="48">
        <v>1333.33</v>
      </c>
      <c r="I15" s="48">
        <v>1333.33</v>
      </c>
      <c r="J15" s="48">
        <v>1333.33</v>
      </c>
      <c r="K15" s="48">
        <v>1333.33</v>
      </c>
      <c r="L15" s="48">
        <f t="shared" si="0"/>
        <v>13333.32</v>
      </c>
    </row>
    <row r="16" spans="1:12" x14ac:dyDescent="0.25">
      <c r="A16" t="s">
        <v>428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38415.89</v>
      </c>
      <c r="H16" s="48">
        <v>6304.08</v>
      </c>
      <c r="I16" s="48">
        <v>6205.45</v>
      </c>
      <c r="J16" s="48">
        <v>5848.28</v>
      </c>
      <c r="K16" s="48">
        <v>6050.97</v>
      </c>
      <c r="L16" s="48">
        <f t="shared" si="0"/>
        <v>62824.67</v>
      </c>
    </row>
    <row r="17" spans="1:12" x14ac:dyDescent="0.25">
      <c r="A17" s="47" t="s">
        <v>223</v>
      </c>
      <c r="B17" s="50">
        <f t="shared" ref="B17:L17" si="1">SUM(B8:B16)</f>
        <v>149268.41</v>
      </c>
      <c r="C17" s="50">
        <f t="shared" si="1"/>
        <v>114501.72</v>
      </c>
      <c r="D17" s="50">
        <f t="shared" si="1"/>
        <v>206625.96000000002</v>
      </c>
      <c r="E17" s="50">
        <f t="shared" si="1"/>
        <v>165779.96</v>
      </c>
      <c r="F17" s="50">
        <f t="shared" si="1"/>
        <v>274147.28999999998</v>
      </c>
      <c r="G17" s="50">
        <f t="shared" ref="G17:J17" si="2">SUM(G8:G16)</f>
        <v>227290.61</v>
      </c>
      <c r="H17" s="50">
        <f t="shared" si="2"/>
        <v>239028.62999999998</v>
      </c>
      <c r="I17" s="50">
        <f t="shared" si="2"/>
        <v>274792.29000000004</v>
      </c>
      <c r="J17" s="50">
        <f t="shared" si="2"/>
        <v>802820.03</v>
      </c>
      <c r="K17" s="50">
        <f t="shared" si="1"/>
        <v>428734.95</v>
      </c>
      <c r="L17" s="50">
        <f t="shared" si="1"/>
        <v>2882989.85</v>
      </c>
    </row>
    <row r="19" spans="1:12" x14ac:dyDescent="0.25">
      <c r="A19" s="47" t="s">
        <v>280</v>
      </c>
      <c r="L19" s="48">
        <f>SUM(B19:F19)</f>
        <v>0</v>
      </c>
    </row>
    <row r="20" spans="1:12" x14ac:dyDescent="0.25">
      <c r="A20" t="s">
        <v>282</v>
      </c>
      <c r="B20" s="48">
        <v>1052.68</v>
      </c>
      <c r="C20" s="48">
        <v>7138.13</v>
      </c>
      <c r="D20" s="48">
        <v>9184.15</v>
      </c>
      <c r="E20" s="48">
        <v>19400.439999999999</v>
      </c>
      <c r="F20" s="48">
        <v>36.549999999999997</v>
      </c>
      <c r="G20" s="48">
        <v>15295.31</v>
      </c>
      <c r="H20" s="48">
        <v>15289.72</v>
      </c>
      <c r="I20" s="48">
        <v>12182.21</v>
      </c>
      <c r="J20" s="48">
        <v>24364.43</v>
      </c>
      <c r="K20" s="48">
        <v>0</v>
      </c>
      <c r="L20" s="48">
        <f>SUM(B20:K20)</f>
        <v>103943.62</v>
      </c>
    </row>
    <row r="21" spans="1:12" x14ac:dyDescent="0.25">
      <c r="A21" t="s">
        <v>281</v>
      </c>
      <c r="B21" s="48">
        <v>45325</v>
      </c>
      <c r="C21" s="48">
        <v>0</v>
      </c>
      <c r="D21" s="48">
        <v>11772.5</v>
      </c>
      <c r="E21" s="48">
        <v>11772.5</v>
      </c>
      <c r="F21" s="48">
        <v>0</v>
      </c>
      <c r="G21" s="48">
        <v>26350</v>
      </c>
      <c r="H21" s="48">
        <v>0</v>
      </c>
      <c r="I21" s="48">
        <v>36548.32</v>
      </c>
      <c r="J21" s="48">
        <v>36546.639999999999</v>
      </c>
      <c r="K21" s="48">
        <v>72983.460000000006</v>
      </c>
      <c r="L21" s="48">
        <f>SUM(B21:K21)</f>
        <v>241298.42000000004</v>
      </c>
    </row>
    <row r="22" spans="1:12" x14ac:dyDescent="0.25">
      <c r="A22" t="s">
        <v>429</v>
      </c>
      <c r="B22" s="48">
        <v>0</v>
      </c>
      <c r="C22" s="48">
        <v>0</v>
      </c>
      <c r="D22" s="48">
        <v>0</v>
      </c>
      <c r="E22" s="48">
        <v>0</v>
      </c>
      <c r="F22" s="48">
        <v>0</v>
      </c>
      <c r="G22" s="48">
        <v>4534.2</v>
      </c>
      <c r="H22" s="48">
        <v>0</v>
      </c>
      <c r="I22" s="48">
        <v>1400.86</v>
      </c>
      <c r="J22" s="48">
        <v>0</v>
      </c>
      <c r="K22" s="48">
        <v>4448.28</v>
      </c>
      <c r="L22" s="48">
        <f>SUM(B22:K22)</f>
        <v>10383.34</v>
      </c>
    </row>
    <row r="23" spans="1:12" x14ac:dyDescent="0.25">
      <c r="A23" s="47" t="s">
        <v>283</v>
      </c>
      <c r="B23" s="50">
        <f>SUM(B20:B22)</f>
        <v>46377.68</v>
      </c>
      <c r="C23" s="50">
        <f t="shared" ref="C23:L23" si="3">SUM(C20:C22)</f>
        <v>7138.13</v>
      </c>
      <c r="D23" s="50">
        <f t="shared" si="3"/>
        <v>20956.650000000001</v>
      </c>
      <c r="E23" s="50">
        <f t="shared" si="3"/>
        <v>31172.94</v>
      </c>
      <c r="F23" s="50">
        <f t="shared" si="3"/>
        <v>36.549999999999997</v>
      </c>
      <c r="G23" s="50">
        <f t="shared" ref="G23:J23" si="4">SUM(G20:G22)</f>
        <v>46179.509999999995</v>
      </c>
      <c r="H23" s="50">
        <f t="shared" si="4"/>
        <v>15289.72</v>
      </c>
      <c r="I23" s="50">
        <f t="shared" si="4"/>
        <v>50131.39</v>
      </c>
      <c r="J23" s="50">
        <f t="shared" si="4"/>
        <v>60911.07</v>
      </c>
      <c r="K23" s="50">
        <f t="shared" si="3"/>
        <v>77431.740000000005</v>
      </c>
      <c r="L23" s="50">
        <f t="shared" si="3"/>
        <v>355625.38000000006</v>
      </c>
    </row>
    <row r="25" spans="1:12" ht="15.75" thickBot="1" x14ac:dyDescent="0.3">
      <c r="A25" s="47" t="s">
        <v>211</v>
      </c>
      <c r="B25" s="51">
        <f>B17-B23</f>
        <v>102890.73000000001</v>
      </c>
      <c r="C25" s="51">
        <f t="shared" ref="C25:L25" si="5">C17-C23</f>
        <v>107363.59</v>
      </c>
      <c r="D25" s="51">
        <f t="shared" si="5"/>
        <v>185669.31000000003</v>
      </c>
      <c r="E25" s="51">
        <f>E17-E23</f>
        <v>134607.01999999999</v>
      </c>
      <c r="F25" s="51">
        <f t="shared" si="5"/>
        <v>274110.74</v>
      </c>
      <c r="G25" s="51">
        <f>G17-G23</f>
        <v>181111.09999999998</v>
      </c>
      <c r="H25" s="51">
        <f>H17-H23</f>
        <v>223738.90999999997</v>
      </c>
      <c r="I25" s="51">
        <f>I17-I23</f>
        <v>224660.90000000002</v>
      </c>
      <c r="J25" s="51">
        <f>J17-J23</f>
        <v>741908.96000000008</v>
      </c>
      <c r="K25" s="51">
        <f>K17-K23</f>
        <v>351303.21</v>
      </c>
      <c r="L25" s="51">
        <f t="shared" si="5"/>
        <v>2527364.4700000002</v>
      </c>
    </row>
    <row r="27" spans="1:12" x14ac:dyDescent="0.25">
      <c r="A27" s="47" t="s">
        <v>209</v>
      </c>
    </row>
    <row r="28" spans="1:12" x14ac:dyDescent="0.25">
      <c r="A28" t="s">
        <v>225</v>
      </c>
      <c r="L28" s="48">
        <f>SUM(B28:F28)</f>
        <v>0</v>
      </c>
    </row>
    <row r="29" spans="1:12" x14ac:dyDescent="0.25">
      <c r="A29" t="s">
        <v>284</v>
      </c>
      <c r="B29" s="48">
        <v>8738.67</v>
      </c>
      <c r="C29" s="48">
        <v>7542.86</v>
      </c>
      <c r="D29" s="48">
        <v>8498.8799999999992</v>
      </c>
      <c r="E29" s="48">
        <v>8584.34</v>
      </c>
      <c r="F29" s="48">
        <v>9426.1</v>
      </c>
      <c r="G29" s="48">
        <v>8607.9500000000007</v>
      </c>
      <c r="H29" s="48">
        <v>8988.25</v>
      </c>
      <c r="I29" s="48">
        <v>9405.7800000000007</v>
      </c>
      <c r="J29" s="48">
        <v>485631.04</v>
      </c>
      <c r="K29" s="48">
        <v>84237.75</v>
      </c>
      <c r="L29" s="48">
        <f t="shared" ref="L29:L35" si="6">SUM(B29:K29)</f>
        <v>639661.62</v>
      </c>
    </row>
    <row r="30" spans="1:12" x14ac:dyDescent="0.25">
      <c r="A30" t="s">
        <v>285</v>
      </c>
      <c r="B30" s="48">
        <v>1485.28</v>
      </c>
      <c r="C30" s="48">
        <v>1185.3900000000001</v>
      </c>
      <c r="D30" s="48">
        <v>1307.2</v>
      </c>
      <c r="E30" s="48">
        <v>729.18</v>
      </c>
      <c r="F30" s="48">
        <v>687.56</v>
      </c>
      <c r="G30" s="48">
        <v>659.18</v>
      </c>
      <c r="H30" s="48">
        <v>670.69</v>
      </c>
      <c r="I30" s="48">
        <v>720.28</v>
      </c>
      <c r="J30" s="48">
        <v>40654.26</v>
      </c>
      <c r="K30" s="48">
        <v>4895.8900000000003</v>
      </c>
      <c r="L30" s="48">
        <f t="shared" si="6"/>
        <v>52994.91</v>
      </c>
    </row>
    <row r="31" spans="1:12" x14ac:dyDescent="0.25">
      <c r="A31" t="s">
        <v>286</v>
      </c>
      <c r="B31" s="48">
        <v>3064.68</v>
      </c>
      <c r="C31" s="48">
        <v>3064.68</v>
      </c>
      <c r="D31" s="48">
        <v>3580.55</v>
      </c>
      <c r="E31" s="48">
        <v>3064.68</v>
      </c>
      <c r="F31" s="48">
        <v>3064.68</v>
      </c>
      <c r="G31" s="48">
        <v>3064.68</v>
      </c>
      <c r="H31" s="48">
        <v>3064.68</v>
      </c>
      <c r="I31" s="48">
        <v>3064.68</v>
      </c>
      <c r="J31" s="48">
        <v>51772.85</v>
      </c>
      <c r="K31" s="48">
        <v>8213.7800000000007</v>
      </c>
      <c r="L31" s="48">
        <f t="shared" si="6"/>
        <v>85019.94</v>
      </c>
    </row>
    <row r="32" spans="1:12" x14ac:dyDescent="0.25">
      <c r="A32" t="s">
        <v>287</v>
      </c>
      <c r="B32" s="48">
        <v>216.98</v>
      </c>
      <c r="C32" s="48">
        <v>216.98</v>
      </c>
      <c r="D32" s="48">
        <v>216.98</v>
      </c>
      <c r="E32" s="48">
        <v>216.98</v>
      </c>
      <c r="F32" s="48">
        <v>216.98</v>
      </c>
      <c r="G32" s="48">
        <v>216.98</v>
      </c>
      <c r="H32" s="48">
        <v>216.98</v>
      </c>
      <c r="I32" s="48">
        <v>216.98</v>
      </c>
      <c r="J32" s="48">
        <v>216.98</v>
      </c>
      <c r="K32" s="48">
        <v>959.03</v>
      </c>
      <c r="L32" s="48">
        <f t="shared" si="6"/>
        <v>2911.85</v>
      </c>
    </row>
    <row r="33" spans="1:12" x14ac:dyDescent="0.25">
      <c r="A33" t="s">
        <v>333</v>
      </c>
      <c r="B33" s="48">
        <v>400</v>
      </c>
      <c r="C33" s="48">
        <v>400</v>
      </c>
      <c r="D33" s="48">
        <v>400</v>
      </c>
      <c r="E33" s="48">
        <v>400</v>
      </c>
      <c r="F33" s="48">
        <v>400</v>
      </c>
      <c r="G33" s="48">
        <v>200</v>
      </c>
      <c r="H33" s="48">
        <v>200</v>
      </c>
      <c r="I33" s="48">
        <v>200</v>
      </c>
      <c r="J33" s="48">
        <v>14455.95</v>
      </c>
      <c r="K33" s="48">
        <v>1779.8</v>
      </c>
      <c r="L33" s="48">
        <f t="shared" si="6"/>
        <v>18835.75</v>
      </c>
    </row>
    <row r="34" spans="1:12" x14ac:dyDescent="0.25">
      <c r="A34" t="s">
        <v>288</v>
      </c>
      <c r="B34" s="48">
        <v>64.989999999999995</v>
      </c>
      <c r="C34" s="48">
        <v>64.989999999999995</v>
      </c>
      <c r="D34" s="48">
        <v>64.989999999999995</v>
      </c>
      <c r="E34" s="48">
        <v>419.95</v>
      </c>
      <c r="F34" s="48">
        <v>65.09</v>
      </c>
      <c r="G34" s="48">
        <f>64.99+50.66</f>
        <v>115.64999999999999</v>
      </c>
      <c r="H34" s="48">
        <f>64.99+66.92</f>
        <v>131.91</v>
      </c>
      <c r="I34" s="48">
        <v>64.989999999999995</v>
      </c>
      <c r="J34" s="48">
        <f>64.99+83.46+340</f>
        <v>488.45</v>
      </c>
      <c r="K34" s="48">
        <v>64.989999999999995</v>
      </c>
      <c r="L34" s="48">
        <f>SUM(B34:K34)</f>
        <v>1546</v>
      </c>
    </row>
    <row r="35" spans="1:12" x14ac:dyDescent="0.25">
      <c r="A35" t="s">
        <v>247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11412.18</v>
      </c>
      <c r="K35" s="48">
        <v>1250</v>
      </c>
      <c r="L35" s="108">
        <f t="shared" si="6"/>
        <v>12662.18</v>
      </c>
    </row>
    <row r="36" spans="1:12" x14ac:dyDescent="0.25">
      <c r="A36" s="47" t="s">
        <v>233</v>
      </c>
      <c r="B36" s="50">
        <f t="shared" ref="B36:L36" si="7">SUM(B29:B35)</f>
        <v>13970.6</v>
      </c>
      <c r="C36" s="50">
        <f t="shared" si="7"/>
        <v>12474.9</v>
      </c>
      <c r="D36" s="50">
        <f t="shared" si="7"/>
        <v>14068.6</v>
      </c>
      <c r="E36" s="50">
        <f t="shared" si="7"/>
        <v>13415.130000000001</v>
      </c>
      <c r="F36" s="50">
        <f t="shared" si="7"/>
        <v>13860.41</v>
      </c>
      <c r="G36" s="50">
        <f t="shared" si="7"/>
        <v>12864.44</v>
      </c>
      <c r="H36" s="50">
        <f t="shared" si="7"/>
        <v>13272.51</v>
      </c>
      <c r="I36" s="50">
        <f t="shared" si="7"/>
        <v>13672.710000000001</v>
      </c>
      <c r="J36" s="50">
        <f t="shared" ref="J36" si="8">SUM(J29:J35)</f>
        <v>604631.70999999985</v>
      </c>
      <c r="K36" s="50">
        <f t="shared" si="7"/>
        <v>101401.24</v>
      </c>
      <c r="L36" s="50">
        <f t="shared" si="7"/>
        <v>813632.25</v>
      </c>
    </row>
    <row r="37" spans="1:12" x14ac:dyDescent="0.25">
      <c r="A37" t="s">
        <v>61</v>
      </c>
    </row>
    <row r="38" spans="1:12" x14ac:dyDescent="0.25">
      <c r="A38" s="47" t="s">
        <v>289</v>
      </c>
    </row>
    <row r="39" spans="1:12" x14ac:dyDescent="0.25">
      <c r="A39" t="s">
        <v>235</v>
      </c>
      <c r="B39" s="48">
        <f t="shared" ref="B39:G39" si="9">25000+12500</f>
        <v>37500</v>
      </c>
      <c r="C39" s="48">
        <f t="shared" si="9"/>
        <v>37500</v>
      </c>
      <c r="D39" s="48">
        <f t="shared" si="9"/>
        <v>37500</v>
      </c>
      <c r="E39" s="48">
        <f t="shared" si="9"/>
        <v>37500</v>
      </c>
      <c r="F39" s="48">
        <f t="shared" si="9"/>
        <v>37500</v>
      </c>
      <c r="G39" s="48">
        <f t="shared" si="9"/>
        <v>37500</v>
      </c>
      <c r="H39" s="48">
        <f>25000+12500</f>
        <v>37500</v>
      </c>
      <c r="I39" s="48">
        <f>25000+12500</f>
        <v>37500</v>
      </c>
      <c r="J39" s="48">
        <f>25000+12500</f>
        <v>37500</v>
      </c>
      <c r="K39" s="48">
        <f>25000+12500</f>
        <v>37500</v>
      </c>
      <c r="L39" s="48">
        <f>SUM(B39:K39)</f>
        <v>375000</v>
      </c>
    </row>
    <row r="40" spans="1:12" x14ac:dyDescent="0.25">
      <c r="A40" t="s">
        <v>290</v>
      </c>
      <c r="B40" s="48">
        <v>8518.2800000000007</v>
      </c>
      <c r="C40" s="48">
        <v>5856.39</v>
      </c>
      <c r="D40" s="48">
        <v>8346.2199999999993</v>
      </c>
      <c r="E40" s="48">
        <v>4857.8599999999997</v>
      </c>
      <c r="F40" s="48">
        <f>5661.41+210.04</f>
        <v>5871.45</v>
      </c>
      <c r="G40" s="48">
        <v>5979.18</v>
      </c>
      <c r="H40" s="48">
        <v>7652.61</v>
      </c>
      <c r="I40" s="48">
        <v>7388.57</v>
      </c>
      <c r="J40" s="48">
        <v>7702.5</v>
      </c>
      <c r="K40" s="48">
        <f>7137.19+152.4</f>
        <v>7289.5899999999992</v>
      </c>
      <c r="L40" s="48">
        <f>SUM(B40:K40)</f>
        <v>69462.649999999994</v>
      </c>
    </row>
    <row r="41" spans="1:12" x14ac:dyDescent="0.25">
      <c r="A41" t="s">
        <v>291</v>
      </c>
      <c r="B41" s="48">
        <v>150</v>
      </c>
      <c r="C41" s="48">
        <v>150</v>
      </c>
      <c r="D41" s="48">
        <v>150</v>
      </c>
      <c r="E41" s="48">
        <v>150</v>
      </c>
      <c r="F41" s="48">
        <v>150</v>
      </c>
      <c r="G41" s="48">
        <v>150</v>
      </c>
      <c r="H41" s="48">
        <v>150</v>
      </c>
      <c r="I41" s="48">
        <v>150</v>
      </c>
      <c r="J41" s="48">
        <v>150</v>
      </c>
      <c r="K41" s="48">
        <v>150</v>
      </c>
      <c r="L41" s="48">
        <f t="shared" ref="L41:L53" si="10">SUM(B41:K41)</f>
        <v>1500</v>
      </c>
    </row>
    <row r="42" spans="1:12" x14ac:dyDescent="0.25">
      <c r="A42" t="s">
        <v>448</v>
      </c>
      <c r="B42" s="48">
        <v>3575</v>
      </c>
      <c r="C42" s="48">
        <v>0</v>
      </c>
      <c r="D42" s="48">
        <v>1210</v>
      </c>
      <c r="E42" s="48">
        <v>1875</v>
      </c>
      <c r="F42" s="48">
        <v>0</v>
      </c>
      <c r="G42" s="48">
        <v>3844.35</v>
      </c>
      <c r="H42" s="48">
        <v>5810</v>
      </c>
      <c r="I42" s="48">
        <v>3409.85</v>
      </c>
      <c r="J42" s="48">
        <v>0</v>
      </c>
      <c r="K42" s="48">
        <v>7190</v>
      </c>
      <c r="L42" s="48">
        <f t="shared" si="10"/>
        <v>26914.2</v>
      </c>
    </row>
    <row r="43" spans="1:12" x14ac:dyDescent="0.25">
      <c r="A43" t="s">
        <v>292</v>
      </c>
      <c r="B43" s="48">
        <v>959.14</v>
      </c>
      <c r="C43" s="48">
        <v>519.59</v>
      </c>
      <c r="D43" s="48">
        <v>1411.26</v>
      </c>
      <c r="E43" s="48">
        <v>2829.73</v>
      </c>
      <c r="F43" s="48">
        <v>1685.25</v>
      </c>
      <c r="G43" s="48">
        <v>10130.58</v>
      </c>
      <c r="H43" s="48">
        <v>1273.76</v>
      </c>
      <c r="I43" s="48">
        <v>6783.81</v>
      </c>
      <c r="J43" s="48">
        <f>2446.62-1505</f>
        <v>941.61999999999989</v>
      </c>
      <c r="K43" s="48">
        <v>9829.01</v>
      </c>
      <c r="L43" s="48">
        <f t="shared" si="10"/>
        <v>36363.75</v>
      </c>
    </row>
    <row r="44" spans="1:12" x14ac:dyDescent="0.25">
      <c r="A44" t="s">
        <v>240</v>
      </c>
      <c r="B44" s="48">
        <v>5394.18</v>
      </c>
      <c r="C44" s="48">
        <v>5394.18</v>
      </c>
      <c r="D44" s="48">
        <v>5394.18</v>
      </c>
      <c r="E44" s="48">
        <v>5394.18</v>
      </c>
      <c r="F44" s="48">
        <v>5394.18</v>
      </c>
      <c r="G44" s="48">
        <v>5394.18</v>
      </c>
      <c r="H44" s="48">
        <v>5019.7700000000004</v>
      </c>
      <c r="I44" s="48">
        <v>5471.33</v>
      </c>
      <c r="J44" s="48">
        <v>5019.7700000000004</v>
      </c>
      <c r="K44" s="48">
        <v>5019.7700000000004</v>
      </c>
      <c r="L44" s="48">
        <f t="shared" si="10"/>
        <v>52895.720000000016</v>
      </c>
    </row>
    <row r="45" spans="1:12" x14ac:dyDescent="0.25">
      <c r="A45" t="s">
        <v>241</v>
      </c>
      <c r="B45" s="48">
        <v>1568.56</v>
      </c>
      <c r="C45" s="48">
        <v>2423.8000000000002</v>
      </c>
      <c r="D45" s="48">
        <v>2122.8000000000002</v>
      </c>
      <c r="E45" s="48">
        <v>2200</v>
      </c>
      <c r="F45" s="48">
        <v>-1041.1199999999999</v>
      </c>
      <c r="G45" s="48">
        <v>2297.7600000000002</v>
      </c>
      <c r="H45" s="48">
        <v>1026.78</v>
      </c>
      <c r="I45" s="48">
        <v>603.67999999999995</v>
      </c>
      <c r="J45" s="48">
        <v>603.67999999999995</v>
      </c>
      <c r="K45" s="48">
        <v>605.98</v>
      </c>
      <c r="L45" s="48">
        <f t="shared" si="10"/>
        <v>12411.92</v>
      </c>
    </row>
    <row r="46" spans="1:12" x14ac:dyDescent="0.25">
      <c r="A46" t="s">
        <v>239</v>
      </c>
      <c r="B46" s="48">
        <v>18020.830000000002</v>
      </c>
      <c r="C46" s="48">
        <v>18020.84</v>
      </c>
      <c r="D46" s="48">
        <v>18020.84</v>
      </c>
      <c r="E46" s="48">
        <v>18020.82</v>
      </c>
      <c r="F46" s="48">
        <v>18020.830000000002</v>
      </c>
      <c r="G46" s="48">
        <v>4868.74</v>
      </c>
      <c r="H46" s="48">
        <v>18020.830000000002</v>
      </c>
      <c r="I46" s="48">
        <v>18020.84</v>
      </c>
      <c r="J46" s="48">
        <v>18020.84</v>
      </c>
      <c r="K46" s="48">
        <v>18020.84</v>
      </c>
      <c r="L46" s="48">
        <f t="shared" si="10"/>
        <v>167056.25</v>
      </c>
    </row>
    <row r="47" spans="1:12" x14ac:dyDescent="0.25">
      <c r="A47" t="s">
        <v>242</v>
      </c>
      <c r="B47" s="48">
        <v>5.49</v>
      </c>
      <c r="C47" s="48">
        <v>0</v>
      </c>
      <c r="D47" s="48">
        <v>100.81</v>
      </c>
      <c r="E47" s="48">
        <v>0</v>
      </c>
      <c r="F47" s="48">
        <v>46.17</v>
      </c>
      <c r="G47" s="48">
        <v>0</v>
      </c>
      <c r="H47" s="48">
        <v>0</v>
      </c>
      <c r="I47" s="48">
        <v>0</v>
      </c>
      <c r="J47" s="48">
        <v>35.520000000000003</v>
      </c>
      <c r="K47" s="48">
        <v>84.43</v>
      </c>
      <c r="L47" s="48">
        <f t="shared" si="10"/>
        <v>272.42</v>
      </c>
    </row>
    <row r="48" spans="1:12" x14ac:dyDescent="0.25">
      <c r="A48" t="s">
        <v>249</v>
      </c>
      <c r="B48" s="48">
        <v>7320.8</v>
      </c>
      <c r="C48" s="48">
        <v>7321.95</v>
      </c>
      <c r="D48" s="48">
        <v>6956.8</v>
      </c>
      <c r="E48" s="48">
        <v>7611.52</v>
      </c>
      <c r="F48" s="48">
        <v>7241.42</v>
      </c>
      <c r="G48" s="48">
        <v>7612.47</v>
      </c>
      <c r="H48" s="48">
        <v>6608</v>
      </c>
      <c r="I48" s="48">
        <v>7367.7</v>
      </c>
      <c r="J48" s="48">
        <v>6608.09</v>
      </c>
      <c r="K48" s="48">
        <v>7337.47</v>
      </c>
      <c r="L48" s="48">
        <f t="shared" si="10"/>
        <v>71986.22</v>
      </c>
    </row>
    <row r="49" spans="1:12" x14ac:dyDescent="0.25">
      <c r="A49" t="s">
        <v>243</v>
      </c>
      <c r="B49" s="48">
        <v>649.54999999999995</v>
      </c>
      <c r="C49" s="48">
        <v>160.78</v>
      </c>
      <c r="D49" s="48">
        <v>278.7</v>
      </c>
      <c r="E49" s="48">
        <v>536.80999999999995</v>
      </c>
      <c r="F49" s="48">
        <v>160.78</v>
      </c>
      <c r="G49" s="48">
        <v>160.78</v>
      </c>
      <c r="H49" s="48">
        <v>436.05</v>
      </c>
      <c r="I49" s="48">
        <v>686.41</v>
      </c>
      <c r="J49" s="48">
        <v>235.54</v>
      </c>
      <c r="K49" s="48">
        <v>416.41</v>
      </c>
      <c r="L49" s="48">
        <f t="shared" si="10"/>
        <v>3721.8099999999995</v>
      </c>
    </row>
    <row r="50" spans="1:12" x14ac:dyDescent="0.25">
      <c r="A50" t="s">
        <v>293</v>
      </c>
      <c r="B50" s="48">
        <v>9962.11</v>
      </c>
      <c r="C50" s="48">
        <v>10391.68</v>
      </c>
      <c r="D50" s="48">
        <v>10391.68</v>
      </c>
      <c r="E50" s="48">
        <v>10391.68</v>
      </c>
      <c r="F50" s="48">
        <v>10581.56</v>
      </c>
      <c r="G50" s="48">
        <v>10811.59</v>
      </c>
      <c r="H50" s="48">
        <v>10493.31</v>
      </c>
      <c r="I50" s="48">
        <v>10587.39</v>
      </c>
      <c r="J50" s="48">
        <v>10587.39</v>
      </c>
      <c r="K50" s="48">
        <v>10587.39</v>
      </c>
      <c r="L50" s="48">
        <f t="shared" si="10"/>
        <v>104785.78</v>
      </c>
    </row>
    <row r="51" spans="1:12" x14ac:dyDescent="0.25">
      <c r="A51" t="s">
        <v>296</v>
      </c>
      <c r="B51" s="48">
        <v>1351.56</v>
      </c>
      <c r="C51" s="48">
        <v>1938.84</v>
      </c>
      <c r="D51" s="48">
        <v>1938.84</v>
      </c>
      <c r="E51" s="48">
        <v>1937.28</v>
      </c>
      <c r="F51" s="48">
        <v>1939.84</v>
      </c>
      <c r="G51" s="48">
        <v>1568.58</v>
      </c>
      <c r="H51" s="48">
        <v>836.4</v>
      </c>
      <c r="I51" s="48">
        <v>1730.97</v>
      </c>
      <c r="J51" s="48">
        <v>1819.66</v>
      </c>
      <c r="K51" s="48">
        <v>1490.62</v>
      </c>
      <c r="L51" s="48">
        <f t="shared" si="10"/>
        <v>16552.589999999997</v>
      </c>
    </row>
    <row r="52" spans="1:12" x14ac:dyDescent="0.25">
      <c r="A52" t="s">
        <v>263</v>
      </c>
      <c r="B52" s="48">
        <v>1018.09</v>
      </c>
      <c r="C52" s="48">
        <v>1018.09</v>
      </c>
      <c r="D52" s="48">
        <v>1018.09</v>
      </c>
      <c r="E52" s="48">
        <v>1049.5999999999999</v>
      </c>
      <c r="F52" s="48">
        <v>316.17</v>
      </c>
      <c r="G52" s="48">
        <v>236.46</v>
      </c>
      <c r="H52" s="48">
        <v>2820.43</v>
      </c>
      <c r="I52" s="48">
        <v>0</v>
      </c>
      <c r="J52" s="48">
        <v>0</v>
      </c>
      <c r="K52" s="48">
        <v>0</v>
      </c>
      <c r="L52" s="48">
        <f t="shared" si="10"/>
        <v>7476.93</v>
      </c>
    </row>
    <row r="53" spans="1:12" x14ac:dyDescent="0.25">
      <c r="A53" t="s">
        <v>390</v>
      </c>
      <c r="B53" s="48">
        <v>0</v>
      </c>
      <c r="C53" s="48">
        <v>0</v>
      </c>
      <c r="D53" s="48">
        <v>0</v>
      </c>
      <c r="E53" s="48">
        <v>0</v>
      </c>
      <c r="F53" s="48">
        <v>920.12</v>
      </c>
      <c r="G53" s="48">
        <v>3023.66</v>
      </c>
      <c r="H53" s="48">
        <v>560.84</v>
      </c>
      <c r="I53" s="48">
        <v>560.86</v>
      </c>
      <c r="J53" s="48">
        <v>1884.49</v>
      </c>
      <c r="K53" s="48">
        <v>1014.56</v>
      </c>
      <c r="L53" s="108">
        <f t="shared" si="10"/>
        <v>7964.5299999999988</v>
      </c>
    </row>
    <row r="54" spans="1:12" x14ac:dyDescent="0.25">
      <c r="A54" s="47" t="s">
        <v>335</v>
      </c>
      <c r="B54" s="50">
        <f t="shared" ref="B54:L54" si="11">SUM(B39:B53)</f>
        <v>95993.59</v>
      </c>
      <c r="C54" s="50">
        <f t="shared" si="11"/>
        <v>90696.139999999985</v>
      </c>
      <c r="D54" s="50">
        <f t="shared" si="11"/>
        <v>94840.22</v>
      </c>
      <c r="E54" s="50">
        <f t="shared" si="11"/>
        <v>94354.48000000001</v>
      </c>
      <c r="F54" s="50">
        <f t="shared" si="11"/>
        <v>88786.64999999998</v>
      </c>
      <c r="G54" s="50">
        <f>SUM(G39:G53)</f>
        <v>93578.330000000016</v>
      </c>
      <c r="H54" s="50">
        <f>SUM(H39:H53)</f>
        <v>98208.779999999984</v>
      </c>
      <c r="I54" s="50">
        <f>SUM(I39:I53)</f>
        <v>100261.41</v>
      </c>
      <c r="J54" s="50">
        <f>SUM(J39:J53)</f>
        <v>91109.1</v>
      </c>
      <c r="K54" s="50">
        <f>SUM(K39:K53)</f>
        <v>106536.06999999998</v>
      </c>
      <c r="L54" s="50">
        <f t="shared" si="11"/>
        <v>954364.77000000025</v>
      </c>
    </row>
    <row r="56" spans="1:12" x14ac:dyDescent="0.25">
      <c r="A56" s="47" t="s">
        <v>294</v>
      </c>
    </row>
    <row r="57" spans="1:12" x14ac:dyDescent="0.25">
      <c r="A57" t="s">
        <v>252</v>
      </c>
      <c r="B57" s="48">
        <v>231.6</v>
      </c>
      <c r="C57" s="48">
        <v>181.9</v>
      </c>
      <c r="D57" s="48">
        <v>151.94999999999999</v>
      </c>
      <c r="E57" s="48">
        <v>135.54</v>
      </c>
      <c r="F57" s="48">
        <v>147.36000000000001</v>
      </c>
      <c r="G57" s="48">
        <v>135.63999999999999</v>
      </c>
      <c r="H57" s="48">
        <v>141.44999999999999</v>
      </c>
      <c r="I57" s="48">
        <v>154.02000000000001</v>
      </c>
      <c r="J57" s="48">
        <v>129.82</v>
      </c>
      <c r="K57" s="48">
        <v>140.52000000000001</v>
      </c>
      <c r="L57" s="48">
        <f>SUM(B57:K57)</f>
        <v>1549.8</v>
      </c>
    </row>
    <row r="58" spans="1:12" x14ac:dyDescent="0.25">
      <c r="A58" t="s">
        <v>253</v>
      </c>
      <c r="B58" s="48">
        <v>763.06</v>
      </c>
      <c r="C58" s="48">
        <v>700.02</v>
      </c>
      <c r="D58" s="48">
        <v>701.8</v>
      </c>
      <c r="E58" s="48">
        <v>709.3</v>
      </c>
      <c r="F58" s="48">
        <v>754.79</v>
      </c>
      <c r="G58" s="48">
        <v>696.33</v>
      </c>
      <c r="H58" s="48">
        <v>758.24</v>
      </c>
      <c r="I58" s="48">
        <v>745.68</v>
      </c>
      <c r="J58" s="48">
        <v>728.84</v>
      </c>
      <c r="K58" s="48">
        <v>821.1</v>
      </c>
      <c r="L58" s="48">
        <f t="shared" ref="L58:L70" si="12">SUM(B58:K58)</f>
        <v>7379.1600000000008</v>
      </c>
    </row>
    <row r="59" spans="1:12" x14ac:dyDescent="0.25">
      <c r="A59" t="s">
        <v>295</v>
      </c>
      <c r="B59" s="48">
        <v>0</v>
      </c>
      <c r="C59" s="48">
        <v>0</v>
      </c>
      <c r="D59" s="48">
        <v>0</v>
      </c>
      <c r="E59" s="48">
        <v>300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f t="shared" si="12"/>
        <v>300</v>
      </c>
    </row>
    <row r="60" spans="1:12" x14ac:dyDescent="0.25">
      <c r="A60" t="s">
        <v>307</v>
      </c>
      <c r="B60" s="48">
        <v>0</v>
      </c>
      <c r="C60" s="48">
        <v>1250</v>
      </c>
      <c r="D60" s="48">
        <v>0</v>
      </c>
      <c r="E60" s="48">
        <v>0</v>
      </c>
      <c r="F60" s="48">
        <v>0</v>
      </c>
      <c r="G60" s="48">
        <v>0</v>
      </c>
      <c r="H60" s="48">
        <v>4000</v>
      </c>
      <c r="I60" s="48">
        <v>0</v>
      </c>
      <c r="J60" s="48">
        <v>23420.78</v>
      </c>
      <c r="K60" s="48">
        <v>14264.01</v>
      </c>
      <c r="L60" s="48">
        <f t="shared" si="12"/>
        <v>42934.79</v>
      </c>
    </row>
    <row r="61" spans="1:12" x14ac:dyDescent="0.25">
      <c r="A61" t="s">
        <v>364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-5776.56</v>
      </c>
      <c r="H61" s="48">
        <v>0</v>
      </c>
      <c r="I61" s="48">
        <v>0</v>
      </c>
      <c r="J61" s="48">
        <v>5375.34</v>
      </c>
      <c r="K61" s="48">
        <v>0</v>
      </c>
      <c r="L61" s="48">
        <f t="shared" si="12"/>
        <v>-401.22000000000025</v>
      </c>
    </row>
    <row r="62" spans="1:12" x14ac:dyDescent="0.25">
      <c r="A62" t="s">
        <v>391</v>
      </c>
      <c r="B62" s="48">
        <v>5000</v>
      </c>
      <c r="C62" s="48">
        <v>5000</v>
      </c>
      <c r="D62" s="48">
        <v>5000</v>
      </c>
      <c r="E62" s="48">
        <v>5000</v>
      </c>
      <c r="F62" s="48">
        <v>5000</v>
      </c>
      <c r="G62" s="48">
        <v>4000</v>
      </c>
      <c r="H62" s="48">
        <v>4000</v>
      </c>
      <c r="I62" s="48">
        <v>4000</v>
      </c>
      <c r="J62" s="48">
        <v>4000</v>
      </c>
      <c r="K62" s="48">
        <v>4000</v>
      </c>
      <c r="L62" s="48">
        <f>SUM(B62:K62)</f>
        <v>45000</v>
      </c>
    </row>
    <row r="63" spans="1:12" x14ac:dyDescent="0.25">
      <c r="A63" t="s">
        <v>363</v>
      </c>
      <c r="B63" s="48">
        <v>2250</v>
      </c>
      <c r="C63" s="48">
        <v>2250</v>
      </c>
      <c r="D63" s="48">
        <v>2250</v>
      </c>
      <c r="E63" s="48">
        <v>2250</v>
      </c>
      <c r="F63" s="48">
        <v>2250</v>
      </c>
      <c r="G63" s="48">
        <v>2250</v>
      </c>
      <c r="H63" s="48">
        <v>2250</v>
      </c>
      <c r="I63" s="48">
        <v>2250</v>
      </c>
      <c r="J63" s="48">
        <v>2250</v>
      </c>
      <c r="K63" s="48">
        <v>2250</v>
      </c>
      <c r="L63" s="48">
        <f t="shared" si="12"/>
        <v>22500</v>
      </c>
    </row>
    <row r="64" spans="1:12" x14ac:dyDescent="0.25">
      <c r="A64" t="s">
        <v>392</v>
      </c>
      <c r="B64" s="48">
        <v>791.67</v>
      </c>
      <c r="C64" s="48">
        <v>791.67</v>
      </c>
      <c r="D64" s="48">
        <v>791.67</v>
      </c>
      <c r="E64" s="48">
        <v>791.67</v>
      </c>
      <c r="F64" s="48">
        <f>8791.67-8000.01</f>
        <v>791.65999999999985</v>
      </c>
      <c r="G64" s="48">
        <v>666.67</v>
      </c>
      <c r="H64" s="48">
        <v>666.67</v>
      </c>
      <c r="I64" s="48">
        <v>666.67</v>
      </c>
      <c r="J64" s="48">
        <v>666.67</v>
      </c>
      <c r="K64" s="48">
        <v>666.67</v>
      </c>
      <c r="L64" s="48">
        <f t="shared" si="12"/>
        <v>7291.69</v>
      </c>
    </row>
    <row r="65" spans="1:13" x14ac:dyDescent="0.25">
      <c r="A65" t="s">
        <v>403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9838.1299999999992</v>
      </c>
      <c r="K65" s="48">
        <v>1780.88</v>
      </c>
      <c r="L65" s="48">
        <f t="shared" si="12"/>
        <v>11619.009999999998</v>
      </c>
    </row>
    <row r="66" spans="1:13" x14ac:dyDescent="0.25">
      <c r="A66" t="s">
        <v>478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6690.94</v>
      </c>
      <c r="K66" s="48">
        <v>0</v>
      </c>
      <c r="L66" s="48">
        <f t="shared" ref="L66:L67" si="13">SUM(B66:K66)</f>
        <v>6690.94</v>
      </c>
    </row>
    <row r="67" spans="1:13" x14ac:dyDescent="0.25">
      <c r="A67" t="s">
        <v>258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6496.38</v>
      </c>
      <c r="K67" s="48">
        <v>721.32</v>
      </c>
      <c r="L67" s="48">
        <f t="shared" si="13"/>
        <v>7217.7</v>
      </c>
    </row>
    <row r="68" spans="1:13" x14ac:dyDescent="0.25">
      <c r="A68" t="s">
        <v>254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899.5</v>
      </c>
      <c r="L68" s="48">
        <f t="shared" ref="L68" si="14">SUM(B68:K68)</f>
        <v>899.5</v>
      </c>
    </row>
    <row r="69" spans="1:13" x14ac:dyDescent="0.25">
      <c r="A69" t="s">
        <v>393</v>
      </c>
      <c r="B69" s="48">
        <v>109</v>
      </c>
      <c r="C69" s="48">
        <v>0</v>
      </c>
      <c r="D69" s="48">
        <v>40</v>
      </c>
      <c r="E69" s="48">
        <v>0</v>
      </c>
      <c r="F69" s="48">
        <v>0</v>
      </c>
      <c r="G69" s="48">
        <v>0</v>
      </c>
      <c r="H69" s="48">
        <v>0</v>
      </c>
      <c r="I69" s="48">
        <v>300</v>
      </c>
      <c r="J69" s="48">
        <v>0</v>
      </c>
      <c r="K69" s="48">
        <v>0</v>
      </c>
      <c r="L69" s="48">
        <f t="shared" si="12"/>
        <v>449</v>
      </c>
    </row>
    <row r="70" spans="1:13" x14ac:dyDescent="0.25">
      <c r="A70" t="s">
        <v>257</v>
      </c>
      <c r="B70" s="48">
        <v>225</v>
      </c>
      <c r="C70" s="48">
        <v>352.5</v>
      </c>
      <c r="D70" s="48">
        <v>0</v>
      </c>
      <c r="E70" s="48">
        <v>0</v>
      </c>
      <c r="F70" s="48">
        <v>0</v>
      </c>
      <c r="G70" s="48">
        <v>650</v>
      </c>
      <c r="H70" s="48">
        <v>0</v>
      </c>
      <c r="I70" s="48">
        <v>1250</v>
      </c>
      <c r="J70" s="48">
        <v>0</v>
      </c>
      <c r="K70" s="48">
        <v>0</v>
      </c>
      <c r="L70" s="108">
        <f t="shared" si="12"/>
        <v>2477.5</v>
      </c>
    </row>
    <row r="71" spans="1:13" x14ac:dyDescent="0.25">
      <c r="A71" s="47" t="s">
        <v>297</v>
      </c>
      <c r="B71" s="50">
        <f>SUM(B57:B70)</f>
        <v>9370.33</v>
      </c>
      <c r="C71" s="50">
        <f t="shared" ref="C71:L71" si="15">SUM(C57:C70)</f>
        <v>10526.09</v>
      </c>
      <c r="D71" s="50">
        <f t="shared" si="15"/>
        <v>8935.42</v>
      </c>
      <c r="E71" s="50">
        <f>SUM(E57:E70)</f>
        <v>9186.51</v>
      </c>
      <c r="F71" s="50">
        <f t="shared" si="15"/>
        <v>8943.81</v>
      </c>
      <c r="G71" s="50">
        <f>SUM(G57:G70)</f>
        <v>2622.08</v>
      </c>
      <c r="H71" s="50">
        <f>SUM(H57:H70)</f>
        <v>11816.36</v>
      </c>
      <c r="I71" s="50">
        <f>SUM(I57:I70)</f>
        <v>9366.369999999999</v>
      </c>
      <c r="J71" s="50">
        <f>SUM(J57:J70)</f>
        <v>59596.899999999994</v>
      </c>
      <c r="K71" s="50">
        <f>SUM(K57:K70)</f>
        <v>25544</v>
      </c>
      <c r="L71" s="50">
        <f t="shared" si="15"/>
        <v>155907.87000000002</v>
      </c>
    </row>
    <row r="72" spans="1:13" x14ac:dyDescent="0.25">
      <c r="A72" t="s">
        <v>246</v>
      </c>
    </row>
    <row r="73" spans="1:13" ht="15.75" thickBot="1" x14ac:dyDescent="0.3">
      <c r="A73" s="47" t="s">
        <v>210</v>
      </c>
      <c r="B73" s="51">
        <f t="shared" ref="B73:L73" si="16">B36+B54+B71</f>
        <v>119334.52</v>
      </c>
      <c r="C73" s="51">
        <f t="shared" si="16"/>
        <v>113697.12999999998</v>
      </c>
      <c r="D73" s="51">
        <f t="shared" si="16"/>
        <v>117844.24</v>
      </c>
      <c r="E73" s="51">
        <f t="shared" si="16"/>
        <v>116956.12000000001</v>
      </c>
      <c r="F73" s="51">
        <f t="shared" si="16"/>
        <v>111590.86999999998</v>
      </c>
      <c r="G73" s="51">
        <f>G36+G54+G71</f>
        <v>109064.85000000002</v>
      </c>
      <c r="H73" s="51">
        <f>H36+H54+H71</f>
        <v>123297.64999999998</v>
      </c>
      <c r="I73" s="51">
        <f>I36+I54+I71</f>
        <v>123300.49</v>
      </c>
      <c r="J73" s="51">
        <f>J36+J54+J71</f>
        <v>755337.70999999985</v>
      </c>
      <c r="K73" s="51">
        <f>K36+K54+K71</f>
        <v>233481.31</v>
      </c>
      <c r="L73" s="51">
        <f t="shared" si="16"/>
        <v>1923904.8900000004</v>
      </c>
    </row>
    <row r="75" spans="1:13" x14ac:dyDescent="0.25">
      <c r="A75" s="47" t="s">
        <v>298</v>
      </c>
    </row>
    <row r="76" spans="1:13" x14ac:dyDescent="0.25">
      <c r="A76" t="s">
        <v>299</v>
      </c>
      <c r="B76" s="48">
        <v>12500</v>
      </c>
      <c r="C76" s="48">
        <v>12500</v>
      </c>
      <c r="D76" s="48">
        <v>12500</v>
      </c>
      <c r="E76" s="48">
        <v>12500</v>
      </c>
      <c r="F76" s="48">
        <v>12500</v>
      </c>
      <c r="G76" s="48">
        <v>12500</v>
      </c>
      <c r="H76" s="48">
        <v>12500</v>
      </c>
      <c r="I76" s="48">
        <v>12500</v>
      </c>
      <c r="J76" s="48">
        <v>12500</v>
      </c>
      <c r="K76" s="48">
        <v>12500</v>
      </c>
      <c r="L76" s="48">
        <f>SUM(B76:K76)</f>
        <v>125000</v>
      </c>
    </row>
    <row r="77" spans="1:13" x14ac:dyDescent="0.25">
      <c r="A77" t="s">
        <v>271</v>
      </c>
      <c r="B77" s="48">
        <v>2109.7199999999998</v>
      </c>
      <c r="C77" s="48">
        <v>2488.89</v>
      </c>
      <c r="D77" s="48">
        <v>2770.21</v>
      </c>
      <c r="E77" s="48">
        <v>2666.67</v>
      </c>
      <c r="F77" s="48">
        <v>2755.56</v>
      </c>
      <c r="G77" s="48">
        <v>2666.67</v>
      </c>
      <c r="H77" s="48">
        <v>2755.56</v>
      </c>
      <c r="I77" s="48">
        <v>3000</v>
      </c>
      <c r="J77" s="48">
        <v>3333.33</v>
      </c>
      <c r="K77" s="48">
        <v>3444.44</v>
      </c>
      <c r="L77" s="48">
        <f>SUM(B77:K77)</f>
        <v>27991.05</v>
      </c>
    </row>
    <row r="78" spans="1:13" x14ac:dyDescent="0.25">
      <c r="A78" s="47" t="s">
        <v>300</v>
      </c>
      <c r="B78" s="50">
        <f>SUM(B76:B77)</f>
        <v>14609.72</v>
      </c>
      <c r="C78" s="50">
        <f t="shared" ref="C78:L78" si="17">SUM(C76:C77)</f>
        <v>14988.89</v>
      </c>
      <c r="D78" s="50">
        <f t="shared" si="17"/>
        <v>15270.21</v>
      </c>
      <c r="E78" s="50">
        <f>SUM(E76:E77)</f>
        <v>15166.67</v>
      </c>
      <c r="F78" s="50">
        <f t="shared" si="17"/>
        <v>15255.56</v>
      </c>
      <c r="G78" s="50">
        <f>SUM(G76:G77)</f>
        <v>15166.67</v>
      </c>
      <c r="H78" s="50">
        <f>SUM(H76:H77)</f>
        <v>15255.56</v>
      </c>
      <c r="I78" s="50">
        <f>SUM(I76:I77)</f>
        <v>15500</v>
      </c>
      <c r="J78" s="50">
        <f>SUM(J76:J77)</f>
        <v>15833.33</v>
      </c>
      <c r="K78" s="50">
        <f>SUM(K76:K77)</f>
        <v>15944.44</v>
      </c>
      <c r="L78" s="50">
        <f t="shared" si="17"/>
        <v>152991.04999999999</v>
      </c>
    </row>
    <row r="80" spans="1:13" ht="15.75" thickBot="1" x14ac:dyDescent="0.3">
      <c r="A80" s="47" t="s">
        <v>301</v>
      </c>
      <c r="B80" s="52">
        <f t="shared" ref="B80:L80" si="18">B25-B73+B78</f>
        <v>-1834.0699999999943</v>
      </c>
      <c r="C80" s="52">
        <f t="shared" si="18"/>
        <v>8655.3500000000204</v>
      </c>
      <c r="D80" s="52">
        <f t="shared" si="18"/>
        <v>83095.280000000028</v>
      </c>
      <c r="E80" s="52">
        <f t="shared" si="18"/>
        <v>32817.569999999978</v>
      </c>
      <c r="F80" s="52">
        <f t="shared" si="18"/>
        <v>177775.43</v>
      </c>
      <c r="G80" s="52">
        <f t="shared" si="18"/>
        <v>87212.919999999955</v>
      </c>
      <c r="H80" s="52">
        <f t="shared" si="18"/>
        <v>115696.81999999999</v>
      </c>
      <c r="I80" s="52">
        <f t="shared" si="18"/>
        <v>116860.41000000002</v>
      </c>
      <c r="J80" s="52">
        <f t="shared" ref="J80" si="19">J25-J73+J78</f>
        <v>2404.5800000002328</v>
      </c>
      <c r="K80" s="52">
        <f t="shared" si="18"/>
        <v>133766.34000000003</v>
      </c>
      <c r="L80" s="52">
        <f t="shared" si="18"/>
        <v>756450.62999999989</v>
      </c>
      <c r="M80"/>
    </row>
    <row r="81" spans="2:12" ht="15.75" thickTop="1" x14ac:dyDescent="0.25"/>
    <row r="82" spans="2:12" x14ac:dyDescent="0.25">
      <c r="B82" s="48">
        <v>-1834.07</v>
      </c>
      <c r="C82" s="48">
        <v>8655.35</v>
      </c>
      <c r="D82" s="48">
        <v>83095.28</v>
      </c>
      <c r="E82" s="48">
        <v>32817.57</v>
      </c>
      <c r="F82" s="48">
        <v>177775.43</v>
      </c>
      <c r="G82" s="48">
        <v>87212.92</v>
      </c>
      <c r="H82" s="48">
        <v>115696.82</v>
      </c>
      <c r="I82" s="48">
        <v>116860.41</v>
      </c>
      <c r="J82" s="48">
        <v>2404.58</v>
      </c>
      <c r="K82" s="48">
        <v>133766.34</v>
      </c>
      <c r="L82" s="48">
        <v>756450.63</v>
      </c>
    </row>
    <row r="83" spans="2:12" x14ac:dyDescent="0.25">
      <c r="B83" s="109">
        <f>ROUND((B82-B80),2)</f>
        <v>0</v>
      </c>
      <c r="C83" s="109">
        <f t="shared" ref="C83:L83" si="20">ROUND((C82-C80),2)</f>
        <v>0</v>
      </c>
      <c r="D83" s="109">
        <f t="shared" si="20"/>
        <v>0</v>
      </c>
      <c r="E83" s="109">
        <f t="shared" si="20"/>
        <v>0</v>
      </c>
      <c r="F83" s="109">
        <f t="shared" si="20"/>
        <v>0</v>
      </c>
      <c r="G83" s="109">
        <f t="shared" ref="G83:J83" si="21">ROUND((G82-G80),2)</f>
        <v>0</v>
      </c>
      <c r="H83" s="109">
        <f t="shared" si="21"/>
        <v>0</v>
      </c>
      <c r="I83" s="109">
        <f t="shared" si="21"/>
        <v>0</v>
      </c>
      <c r="J83" s="109">
        <f t="shared" si="21"/>
        <v>0</v>
      </c>
      <c r="K83" s="109">
        <f>ROUND((K82-K80),2)</f>
        <v>0</v>
      </c>
      <c r="L83" s="109">
        <f t="shared" si="20"/>
        <v>0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O81"/>
  <sheetViews>
    <sheetView view="pageBreakPreview" zoomScaleNormal="100" zoomScaleSheetLayoutView="100" workbookViewId="0">
      <pane ySplit="6" topLeftCell="A51" activePane="bottomLeft" state="frozen"/>
      <selection activeCell="C20" sqref="C20"/>
      <selection pane="bottomLeft" activeCell="C20" sqref="C20"/>
    </sheetView>
  </sheetViews>
  <sheetFormatPr defaultRowHeight="15" x14ac:dyDescent="0.25"/>
  <cols>
    <col min="1" max="1" width="41.28515625" bestFit="1" customWidth="1"/>
    <col min="2" max="2" width="14.140625" style="48" bestFit="1" customWidth="1"/>
    <col min="3" max="3" width="14.42578125" style="48" customWidth="1"/>
    <col min="4" max="4" width="15.140625" style="48" bestFit="1" customWidth="1"/>
    <col min="5" max="6" width="14.7109375" style="48" bestFit="1" customWidth="1"/>
    <col min="7" max="11" width="15.28515625" style="48" bestFit="1" customWidth="1"/>
    <col min="12" max="12" width="15.42578125" style="48" bestFit="1" customWidth="1"/>
    <col min="13" max="13" width="8.85546875" style="48"/>
    <col min="14" max="15" width="11.5703125" bestFit="1" customWidth="1"/>
  </cols>
  <sheetData>
    <row r="1" spans="1:12" x14ac:dyDescent="0.25">
      <c r="A1" s="218" t="s">
        <v>337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x14ac:dyDescent="0.25">
      <c r="A2" s="218" t="s">
        <v>275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x14ac:dyDescent="0.25">
      <c r="A3" s="218">
        <v>2018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7" spans="1:12" x14ac:dyDescent="0.25">
      <c r="A7" s="47" t="s">
        <v>62</v>
      </c>
    </row>
    <row r="8" spans="1:12" x14ac:dyDescent="0.25">
      <c r="A8" t="s">
        <v>309</v>
      </c>
      <c r="B8" s="48">
        <v>1259181.27</v>
      </c>
      <c r="C8" s="48">
        <v>3842825.02</v>
      </c>
      <c r="D8" s="48">
        <v>6380777.25</v>
      </c>
      <c r="E8" s="48">
        <v>7202321.2999999998</v>
      </c>
      <c r="F8" s="48">
        <v>8920930.5899999999</v>
      </c>
      <c r="G8" s="48">
        <v>10255749.529999999</v>
      </c>
      <c r="H8" s="48">
        <v>11726637.460000001</v>
      </c>
      <c r="I8" s="48">
        <v>8087466.0499999998</v>
      </c>
      <c r="J8" s="48">
        <v>266656.84999999998</v>
      </c>
      <c r="K8" s="48">
        <v>7236728.5999999996</v>
      </c>
      <c r="L8" s="48">
        <f>SUM(B8:K8)</f>
        <v>65179273.920000002</v>
      </c>
    </row>
    <row r="9" spans="1:12" x14ac:dyDescent="0.25">
      <c r="A9" t="s">
        <v>317</v>
      </c>
      <c r="B9" s="48">
        <v>236007.94</v>
      </c>
      <c r="C9" s="48">
        <v>379397.28</v>
      </c>
      <c r="D9" s="48">
        <v>545988.51</v>
      </c>
      <c r="E9" s="48">
        <v>295631.26</v>
      </c>
      <c r="F9" s="48">
        <v>282253.62</v>
      </c>
      <c r="G9" s="48">
        <v>179199.65</v>
      </c>
      <c r="H9" s="48">
        <v>396933.84</v>
      </c>
      <c r="I9" s="48">
        <v>338757.5</v>
      </c>
      <c r="J9" s="48">
        <v>109856.97</v>
      </c>
      <c r="K9" s="48">
        <v>773074.05</v>
      </c>
      <c r="L9" s="48">
        <f t="shared" ref="L9:L16" si="0">SUM(B9:K9)</f>
        <v>3537100.62</v>
      </c>
    </row>
    <row r="10" spans="1:12" x14ac:dyDescent="0.25">
      <c r="A10" t="s">
        <v>318</v>
      </c>
      <c r="B10" s="48">
        <v>61335.59</v>
      </c>
      <c r="C10" s="48">
        <v>17413.54</v>
      </c>
      <c r="D10" s="48">
        <v>27676.38</v>
      </c>
      <c r="E10" s="48">
        <v>53826.559999999998</v>
      </c>
      <c r="F10" s="48">
        <v>37554.74</v>
      </c>
      <c r="G10" s="48">
        <v>14783.41</v>
      </c>
      <c r="H10" s="48">
        <v>26033.31</v>
      </c>
      <c r="I10" s="48">
        <v>26281.37</v>
      </c>
      <c r="J10" s="48">
        <v>10456.31</v>
      </c>
      <c r="K10" s="48">
        <v>57531.01</v>
      </c>
      <c r="L10" s="48">
        <f t="shared" si="0"/>
        <v>332892.22000000003</v>
      </c>
    </row>
    <row r="11" spans="1:12" x14ac:dyDescent="0.25">
      <c r="A11" t="s">
        <v>382</v>
      </c>
      <c r="B11" s="48">
        <v>0</v>
      </c>
      <c r="C11" s="48">
        <v>0</v>
      </c>
      <c r="D11" s="48">
        <v>0</v>
      </c>
      <c r="E11" s="48">
        <v>0</v>
      </c>
      <c r="F11" s="48">
        <v>3310.3</v>
      </c>
      <c r="G11" s="48">
        <v>3202.6</v>
      </c>
      <c r="H11" s="48">
        <v>6393.6</v>
      </c>
      <c r="I11" s="48">
        <v>4616.5</v>
      </c>
      <c r="J11" s="48">
        <v>3544.5</v>
      </c>
      <c r="K11" s="48">
        <v>0</v>
      </c>
      <c r="L11" s="48">
        <f t="shared" si="0"/>
        <v>21067.5</v>
      </c>
    </row>
    <row r="12" spans="1:12" x14ac:dyDescent="0.25">
      <c r="A12" t="s">
        <v>461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1473</v>
      </c>
      <c r="I12" s="48">
        <v>132.97999999999999</v>
      </c>
      <c r="J12" s="48">
        <v>433.84</v>
      </c>
      <c r="K12" s="48">
        <v>0</v>
      </c>
      <c r="L12" s="48">
        <f t="shared" ref="L12" si="1">SUM(B12:K12)</f>
        <v>2039.82</v>
      </c>
    </row>
    <row r="13" spans="1:12" x14ac:dyDescent="0.25">
      <c r="A13" t="s">
        <v>319</v>
      </c>
      <c r="B13" s="48">
        <v>658</v>
      </c>
      <c r="C13" s="48">
        <v>1919</v>
      </c>
      <c r="D13" s="48">
        <v>477</v>
      </c>
      <c r="E13" s="48">
        <v>592.5</v>
      </c>
      <c r="F13" s="48">
        <f>1227.5</f>
        <v>1227.5</v>
      </c>
      <c r="G13" s="48">
        <v>268</v>
      </c>
      <c r="H13" s="48">
        <v>1265</v>
      </c>
      <c r="I13" s="48">
        <v>175</v>
      </c>
      <c r="J13" s="48">
        <v>180</v>
      </c>
      <c r="K13" s="48">
        <v>0</v>
      </c>
      <c r="L13" s="48">
        <f t="shared" si="0"/>
        <v>6762</v>
      </c>
    </row>
    <row r="14" spans="1:12" x14ac:dyDescent="0.25">
      <c r="A14" t="s">
        <v>320</v>
      </c>
      <c r="B14" s="48">
        <v>59302.75</v>
      </c>
      <c r="C14" s="48">
        <v>176078.5</v>
      </c>
      <c r="D14" s="48">
        <v>289922.25</v>
      </c>
      <c r="E14" s="48">
        <v>364686</v>
      </c>
      <c r="F14" s="48">
        <v>414150.75</v>
      </c>
      <c r="G14" s="48">
        <v>437152</v>
      </c>
      <c r="H14" s="48">
        <v>559001.75</v>
      </c>
      <c r="I14" s="48">
        <v>304574.5</v>
      </c>
      <c r="J14" s="48">
        <v>0</v>
      </c>
      <c r="K14" s="48">
        <v>382210.5</v>
      </c>
      <c r="L14" s="48">
        <f t="shared" si="0"/>
        <v>2987079</v>
      </c>
    </row>
    <row r="15" spans="1:12" x14ac:dyDescent="0.25">
      <c r="A15" t="s">
        <v>321</v>
      </c>
      <c r="B15" s="48">
        <v>-878.76</v>
      </c>
      <c r="C15" s="48">
        <v>0</v>
      </c>
      <c r="D15" s="48">
        <v>0</v>
      </c>
      <c r="E15" s="48">
        <v>-5916</v>
      </c>
      <c r="F15" s="48">
        <v>0</v>
      </c>
      <c r="G15" s="48">
        <v>-50883.01</v>
      </c>
      <c r="H15" s="48">
        <v>-5495.2</v>
      </c>
      <c r="I15" s="48">
        <f>-11900</f>
        <v>-11900</v>
      </c>
      <c r="J15" s="48">
        <v>0</v>
      </c>
      <c r="K15" s="48">
        <v>0</v>
      </c>
      <c r="L15" s="48">
        <f t="shared" ref="L15" si="2">SUM(B15:K15)</f>
        <v>-75072.97</v>
      </c>
    </row>
    <row r="16" spans="1:12" x14ac:dyDescent="0.25">
      <c r="A16" t="s">
        <v>460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-22111.39</v>
      </c>
      <c r="J16" s="48">
        <v>0</v>
      </c>
      <c r="K16" s="48">
        <v>0</v>
      </c>
      <c r="L16" s="48">
        <f t="shared" si="0"/>
        <v>-22111.39</v>
      </c>
    </row>
    <row r="17" spans="1:12" x14ac:dyDescent="0.25">
      <c r="A17" s="47" t="s">
        <v>223</v>
      </c>
      <c r="B17" s="50">
        <f t="shared" ref="B17:L17" si="3">SUM(B8:B16)</f>
        <v>1615606.79</v>
      </c>
      <c r="C17" s="50">
        <f t="shared" si="3"/>
        <v>4417633.34</v>
      </c>
      <c r="D17" s="50">
        <f t="shared" si="3"/>
        <v>7244841.3899999997</v>
      </c>
      <c r="E17" s="50">
        <f t="shared" si="3"/>
        <v>7911141.6199999992</v>
      </c>
      <c r="F17" s="50">
        <f t="shared" si="3"/>
        <v>9659427.5</v>
      </c>
      <c r="G17" s="50">
        <f t="shared" si="3"/>
        <v>10839472.18</v>
      </c>
      <c r="H17" s="50">
        <f t="shared" si="3"/>
        <v>12712242.760000002</v>
      </c>
      <c r="I17" s="50">
        <f t="shared" ref="I17:J17" si="4">SUM(I8:I16)</f>
        <v>8727992.5099999998</v>
      </c>
      <c r="J17" s="50">
        <f t="shared" si="4"/>
        <v>391128.47</v>
      </c>
      <c r="K17" s="50">
        <f t="shared" si="3"/>
        <v>8449544.1600000001</v>
      </c>
      <c r="L17" s="50">
        <f t="shared" si="3"/>
        <v>71969030.719999999</v>
      </c>
    </row>
    <row r="19" spans="1:12" x14ac:dyDescent="0.25">
      <c r="A19" s="47" t="s">
        <v>280</v>
      </c>
      <c r="L19" s="48">
        <f t="shared" ref="L19:L35" si="5">SUM(B19:K19)</f>
        <v>0</v>
      </c>
    </row>
    <row r="20" spans="1:12" x14ac:dyDescent="0.25">
      <c r="A20" t="s">
        <v>310</v>
      </c>
      <c r="B20" s="48">
        <v>1244716.24</v>
      </c>
      <c r="C20" s="48">
        <v>3821573.32</v>
      </c>
      <c r="D20" s="48">
        <v>6368245.5999999996</v>
      </c>
      <c r="E20" s="48">
        <v>7185367.1200000001</v>
      </c>
      <c r="F20" s="48">
        <v>8899243.3100000005</v>
      </c>
      <c r="G20" s="48">
        <v>10161491.619999999</v>
      </c>
      <c r="H20" s="48">
        <v>11745247.939999999</v>
      </c>
      <c r="I20" s="48">
        <v>8041925.0800000001</v>
      </c>
      <c r="J20" s="48">
        <v>234231.39</v>
      </c>
      <c r="K20" s="48">
        <v>7164460.5999999996</v>
      </c>
      <c r="L20" s="48">
        <f t="shared" si="5"/>
        <v>64866502.219999999</v>
      </c>
    </row>
    <row r="21" spans="1:12" x14ac:dyDescent="0.25">
      <c r="A21" t="s">
        <v>311</v>
      </c>
      <c r="B21" s="48">
        <v>220469.8</v>
      </c>
      <c r="C21" s="48">
        <v>359444.27</v>
      </c>
      <c r="D21" s="48">
        <v>528840.88</v>
      </c>
      <c r="E21" s="48">
        <v>274773.03000000003</v>
      </c>
      <c r="F21" s="48">
        <v>264969.81</v>
      </c>
      <c r="G21" s="48">
        <v>165716.99</v>
      </c>
      <c r="H21" s="48">
        <v>318210.40000000002</v>
      </c>
      <c r="I21" s="48">
        <v>291283.06</v>
      </c>
      <c r="J21" s="48">
        <v>95156.13</v>
      </c>
      <c r="K21" s="48">
        <v>746391.81</v>
      </c>
      <c r="L21" s="48">
        <f t="shared" si="5"/>
        <v>3265256.18</v>
      </c>
    </row>
    <row r="22" spans="1:12" x14ac:dyDescent="0.25">
      <c r="A22" t="s">
        <v>312</v>
      </c>
      <c r="B22" s="48">
        <v>58837.5</v>
      </c>
      <c r="C22" s="48">
        <v>16027.01</v>
      </c>
      <c r="D22" s="48">
        <v>26000.22</v>
      </c>
      <c r="E22" s="48">
        <v>51375.17</v>
      </c>
      <c r="F22" s="48">
        <v>34978.86</v>
      </c>
      <c r="G22" s="48">
        <v>13617.04</v>
      </c>
      <c r="H22" s="48">
        <v>23523.99</v>
      </c>
      <c r="I22" s="48">
        <v>22699.23</v>
      </c>
      <c r="J22" s="48">
        <v>9288.81</v>
      </c>
      <c r="K22" s="48">
        <v>55962.09</v>
      </c>
      <c r="L22" s="48">
        <f t="shared" si="5"/>
        <v>312309.92000000004</v>
      </c>
    </row>
    <row r="23" spans="1:12" x14ac:dyDescent="0.25">
      <c r="A23" t="s">
        <v>383</v>
      </c>
      <c r="B23" s="48">
        <v>0</v>
      </c>
      <c r="C23" s="48">
        <v>0</v>
      </c>
      <c r="D23" s="48">
        <v>0</v>
      </c>
      <c r="E23" s="48">
        <v>0</v>
      </c>
      <c r="F23" s="48">
        <v>2079</v>
      </c>
      <c r="G23" s="48">
        <v>2011</v>
      </c>
      <c r="H23" s="48">
        <v>4004</v>
      </c>
      <c r="I23" s="48">
        <v>2894</v>
      </c>
      <c r="J23" s="48">
        <v>2154</v>
      </c>
      <c r="K23" s="48">
        <v>0</v>
      </c>
      <c r="L23" s="48">
        <f t="shared" si="5"/>
        <v>13142</v>
      </c>
    </row>
    <row r="24" spans="1:12" x14ac:dyDescent="0.25">
      <c r="A24" t="s">
        <v>313</v>
      </c>
      <c r="B24" s="48">
        <v>658</v>
      </c>
      <c r="C24" s="48">
        <v>1919</v>
      </c>
      <c r="D24" s="48">
        <v>477</v>
      </c>
      <c r="E24" s="48">
        <v>592.5</v>
      </c>
      <c r="F24" s="48">
        <v>1227.5</v>
      </c>
      <c r="G24" s="48">
        <v>268</v>
      </c>
      <c r="H24" s="48">
        <v>1265</v>
      </c>
      <c r="I24" s="48">
        <v>175</v>
      </c>
      <c r="J24" s="48">
        <v>180</v>
      </c>
      <c r="K24" s="48">
        <v>0</v>
      </c>
      <c r="L24" s="48">
        <f t="shared" si="5"/>
        <v>6762</v>
      </c>
    </row>
    <row r="25" spans="1:12" x14ac:dyDescent="0.25">
      <c r="A25" t="s">
        <v>447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350</v>
      </c>
      <c r="I25" s="48">
        <v>132.93</v>
      </c>
      <c r="J25" s="48">
        <v>433.62</v>
      </c>
      <c r="K25" s="48">
        <v>0</v>
      </c>
      <c r="L25" s="48">
        <f>SUM(B25:K25)</f>
        <v>916.55</v>
      </c>
    </row>
    <row r="26" spans="1:12" x14ac:dyDescent="0.25">
      <c r="A26" t="s">
        <v>282</v>
      </c>
      <c r="B26" s="48">
        <v>19986.22</v>
      </c>
      <c r="C26" s="48">
        <v>12338.52</v>
      </c>
      <c r="D26" s="48">
        <v>39850.800000000003</v>
      </c>
      <c r="E26" s="48">
        <v>28631.47</v>
      </c>
      <c r="F26" s="48">
        <v>35548.99</v>
      </c>
      <c r="G26" s="48">
        <v>67302.78</v>
      </c>
      <c r="H26" s="48">
        <v>60835.25</v>
      </c>
      <c r="I26" s="48">
        <v>56171.75</v>
      </c>
      <c r="J26" s="48">
        <v>9266.6299999999992</v>
      </c>
      <c r="K26" s="48">
        <v>41962.28</v>
      </c>
      <c r="L26" s="48">
        <f t="shared" si="5"/>
        <v>371894.69000000006</v>
      </c>
    </row>
    <row r="27" spans="1:12" x14ac:dyDescent="0.25">
      <c r="A27" t="s">
        <v>314</v>
      </c>
      <c r="B27" s="48">
        <v>-3444.15</v>
      </c>
      <c r="C27" s="48">
        <v>79.5</v>
      </c>
      <c r="D27" s="48">
        <v>-574</v>
      </c>
      <c r="E27" s="48">
        <v>602.98</v>
      </c>
      <c r="F27" s="48">
        <v>-2955.7</v>
      </c>
      <c r="G27" s="48">
        <v>-1504.23</v>
      </c>
      <c r="H27" s="48">
        <v>-2531.09</v>
      </c>
      <c r="I27" s="48">
        <v>-5366.91</v>
      </c>
      <c r="J27" s="48">
        <v>20032.54</v>
      </c>
      <c r="K27" s="48">
        <v>441.51</v>
      </c>
      <c r="L27" s="48">
        <f t="shared" si="5"/>
        <v>4780.4500000000007</v>
      </c>
    </row>
    <row r="28" spans="1:12" x14ac:dyDescent="0.25">
      <c r="A28" t="s">
        <v>429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4018.23</v>
      </c>
      <c r="I28" s="48">
        <v>0</v>
      </c>
      <c r="J28" s="48">
        <v>-3033.23</v>
      </c>
      <c r="K28" s="48">
        <v>0</v>
      </c>
      <c r="L28" s="48">
        <f t="shared" si="5"/>
        <v>985</v>
      </c>
    </row>
    <row r="29" spans="1:12" x14ac:dyDescent="0.25">
      <c r="A29" t="s">
        <v>385</v>
      </c>
      <c r="B29" s="48">
        <v>0</v>
      </c>
      <c r="C29" s="48">
        <v>0</v>
      </c>
      <c r="D29" s="48">
        <v>0</v>
      </c>
      <c r="E29" s="48">
        <v>820.8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f t="shared" si="5"/>
        <v>820.8</v>
      </c>
    </row>
    <row r="30" spans="1:12" x14ac:dyDescent="0.25">
      <c r="A30" t="s">
        <v>386</v>
      </c>
      <c r="B30" s="48">
        <v>0</v>
      </c>
      <c r="C30" s="48">
        <v>1.92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f t="shared" si="5"/>
        <v>1.92</v>
      </c>
    </row>
    <row r="31" spans="1:12" x14ac:dyDescent="0.25">
      <c r="A31" t="s">
        <v>315</v>
      </c>
      <c r="B31" s="48">
        <v>720.74</v>
      </c>
      <c r="C31" s="48">
        <f>-1643.32</f>
        <v>-1643.32</v>
      </c>
      <c r="D31" s="48">
        <v>3077.78</v>
      </c>
      <c r="E31" s="48">
        <v>0</v>
      </c>
      <c r="F31" s="48">
        <f>-173.2</f>
        <v>-173.2</v>
      </c>
      <c r="G31" s="48">
        <v>1377.51</v>
      </c>
      <c r="H31" s="48">
        <v>0</v>
      </c>
      <c r="I31" s="48">
        <v>0</v>
      </c>
      <c r="J31" s="48">
        <v>0</v>
      </c>
      <c r="K31" s="48">
        <v>42</v>
      </c>
      <c r="L31" s="48">
        <f t="shared" si="5"/>
        <v>3401.51</v>
      </c>
    </row>
    <row r="32" spans="1:12" x14ac:dyDescent="0.25">
      <c r="A32" t="s">
        <v>326</v>
      </c>
      <c r="B32" s="48">
        <v>0</v>
      </c>
      <c r="C32" s="48">
        <v>0</v>
      </c>
      <c r="D32" s="48">
        <v>-3.34</v>
      </c>
      <c r="E32" s="48">
        <v>0</v>
      </c>
      <c r="F32" s="48">
        <v>-38.909999999999997</v>
      </c>
      <c r="G32" s="48">
        <v>0</v>
      </c>
      <c r="H32" s="48">
        <v>-14.22</v>
      </c>
      <c r="I32" s="48">
        <v>81</v>
      </c>
      <c r="J32" s="48">
        <v>0</v>
      </c>
      <c r="K32" s="48">
        <v>0</v>
      </c>
      <c r="L32" s="48">
        <f t="shared" si="5"/>
        <v>24.53</v>
      </c>
    </row>
    <row r="33" spans="1:15" x14ac:dyDescent="0.25">
      <c r="A33" t="s">
        <v>384</v>
      </c>
      <c r="B33" s="48">
        <v>0</v>
      </c>
      <c r="C33" s="48">
        <v>0</v>
      </c>
      <c r="D33" s="48">
        <v>0</v>
      </c>
      <c r="E33" s="48">
        <v>0</v>
      </c>
      <c r="F33" s="48">
        <v>-4.2</v>
      </c>
      <c r="G33" s="48">
        <v>0</v>
      </c>
      <c r="H33" s="48">
        <v>-74.81</v>
      </c>
      <c r="I33" s="48">
        <v>0</v>
      </c>
      <c r="J33" s="48">
        <v>0</v>
      </c>
      <c r="K33" s="48">
        <v>0</v>
      </c>
      <c r="L33" s="48">
        <f t="shared" si="5"/>
        <v>-79.010000000000005</v>
      </c>
    </row>
    <row r="34" spans="1:15" x14ac:dyDescent="0.25">
      <c r="A34" t="s">
        <v>336</v>
      </c>
      <c r="B34" s="48">
        <v>34120.78</v>
      </c>
      <c r="C34" s="48">
        <v>75014.87</v>
      </c>
      <c r="D34" s="48">
        <v>138492.9</v>
      </c>
      <c r="E34" s="48">
        <v>140698.1</v>
      </c>
      <c r="F34" s="48">
        <v>179668.82</v>
      </c>
      <c r="G34" s="48">
        <v>186806.24</v>
      </c>
      <c r="H34" s="48">
        <v>212480.24</v>
      </c>
      <c r="I34" s="48">
        <v>145987.63</v>
      </c>
      <c r="J34" s="48">
        <v>15830.18</v>
      </c>
      <c r="K34" s="48">
        <v>150449.95000000001</v>
      </c>
      <c r="L34" s="48">
        <f t="shared" si="5"/>
        <v>1279549.71</v>
      </c>
    </row>
    <row r="35" spans="1:15" x14ac:dyDescent="0.25">
      <c r="A35" t="s">
        <v>316</v>
      </c>
      <c r="B35" s="48">
        <v>38830.42</v>
      </c>
      <c r="C35" s="48">
        <v>54101.21</v>
      </c>
      <c r="D35" s="48">
        <v>74590.929999999993</v>
      </c>
      <c r="E35" s="48">
        <v>87541.119999999995</v>
      </c>
      <c r="F35" s="48">
        <v>119335.27</v>
      </c>
      <c r="G35" s="48">
        <v>112054.49</v>
      </c>
      <c r="H35" s="48">
        <v>145061.98000000001</v>
      </c>
      <c r="I35" s="48">
        <v>93104.73</v>
      </c>
      <c r="J35" s="48">
        <v>4132.43</v>
      </c>
      <c r="K35" s="48">
        <v>75452.13</v>
      </c>
      <c r="L35" s="48">
        <f t="shared" si="5"/>
        <v>804204.71000000008</v>
      </c>
      <c r="N35" s="48"/>
      <c r="O35" s="110"/>
    </row>
    <row r="36" spans="1:15" x14ac:dyDescent="0.25">
      <c r="A36" s="47" t="s">
        <v>283</v>
      </c>
      <c r="B36" s="50">
        <f t="shared" ref="B36:L36" si="6">SUM(B20:B35)</f>
        <v>1614895.55</v>
      </c>
      <c r="C36" s="50">
        <f t="shared" si="6"/>
        <v>4338856.2999999989</v>
      </c>
      <c r="D36" s="50">
        <f t="shared" si="6"/>
        <v>7178998.7699999996</v>
      </c>
      <c r="E36" s="50">
        <f t="shared" si="6"/>
        <v>7770402.29</v>
      </c>
      <c r="F36" s="50">
        <f t="shared" si="6"/>
        <v>9533879.5500000026</v>
      </c>
      <c r="G36" s="50">
        <f t="shared" si="6"/>
        <v>10709141.439999998</v>
      </c>
      <c r="H36" s="50">
        <f t="shared" si="6"/>
        <v>12512376.91</v>
      </c>
      <c r="I36" s="50">
        <f t="shared" ref="I36:J36" si="7">SUM(I20:I35)</f>
        <v>8649087.5000000019</v>
      </c>
      <c r="J36" s="50">
        <f t="shared" si="7"/>
        <v>387672.5</v>
      </c>
      <c r="K36" s="50">
        <f t="shared" si="6"/>
        <v>8235162.3700000001</v>
      </c>
      <c r="L36" s="50">
        <f t="shared" si="6"/>
        <v>70930473.179999992</v>
      </c>
    </row>
    <row r="38" spans="1:15" ht="15.75" thickBot="1" x14ac:dyDescent="0.3">
      <c r="A38" s="47" t="s">
        <v>211</v>
      </c>
      <c r="B38" s="51">
        <f t="shared" ref="B38:H38" si="8">B17-B36</f>
        <v>711.23999999999069</v>
      </c>
      <c r="C38" s="51">
        <f t="shared" si="8"/>
        <v>78777.040000000969</v>
      </c>
      <c r="D38" s="51">
        <f t="shared" si="8"/>
        <v>65842.620000000112</v>
      </c>
      <c r="E38" s="51">
        <f t="shared" si="8"/>
        <v>140739.32999999914</v>
      </c>
      <c r="F38" s="51">
        <f t="shared" si="8"/>
        <v>125547.94999999739</v>
      </c>
      <c r="G38" s="51">
        <f t="shared" si="8"/>
        <v>130330.74000000209</v>
      </c>
      <c r="H38" s="51">
        <f t="shared" si="8"/>
        <v>199865.85000000149</v>
      </c>
      <c r="I38" s="51">
        <f t="shared" ref="I38" si="9">I17-I36</f>
        <v>78905.009999997914</v>
      </c>
      <c r="J38" s="51">
        <f>J17-J36</f>
        <v>3455.9699999999721</v>
      </c>
      <c r="K38" s="51">
        <f>K17-K36</f>
        <v>214381.79000000004</v>
      </c>
      <c r="L38" s="51">
        <f>L17-L36</f>
        <v>1038557.5400000066</v>
      </c>
    </row>
    <row r="40" spans="1:15" x14ac:dyDescent="0.25">
      <c r="A40" s="47" t="s">
        <v>209</v>
      </c>
    </row>
    <row r="41" spans="1:15" x14ac:dyDescent="0.25">
      <c r="A41" s="47"/>
    </row>
    <row r="42" spans="1:15" x14ac:dyDescent="0.25">
      <c r="A42" s="47" t="s">
        <v>479</v>
      </c>
    </row>
    <row r="43" spans="1:15" x14ac:dyDescent="0.25">
      <c r="A43" t="s">
        <v>480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469372.33</v>
      </c>
      <c r="K43" s="48">
        <v>69208.52</v>
      </c>
      <c r="L43" s="48">
        <f t="shared" ref="L43:L48" si="10">SUM(B43:K43)</f>
        <v>538580.85</v>
      </c>
    </row>
    <row r="44" spans="1:15" x14ac:dyDescent="0.25">
      <c r="A44" t="s">
        <v>285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40004.019999999997</v>
      </c>
      <c r="K44" s="48">
        <v>4581.62</v>
      </c>
      <c r="L44" s="48">
        <f t="shared" si="10"/>
        <v>44585.64</v>
      </c>
    </row>
    <row r="45" spans="1:15" x14ac:dyDescent="0.25">
      <c r="A45" t="s">
        <v>481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26663.29</v>
      </c>
      <c r="K45" s="48">
        <v>3025.85</v>
      </c>
      <c r="L45" s="48">
        <f t="shared" si="10"/>
        <v>29689.14</v>
      </c>
    </row>
    <row r="46" spans="1:15" x14ac:dyDescent="0.25">
      <c r="A46" t="s">
        <v>488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6794.01</v>
      </c>
      <c r="K46" s="48">
        <v>762.78</v>
      </c>
      <c r="L46" s="48">
        <f t="shared" si="10"/>
        <v>7556.79</v>
      </c>
    </row>
    <row r="47" spans="1:15" x14ac:dyDescent="0.25">
      <c r="A47" t="s">
        <v>482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13656.46</v>
      </c>
      <c r="K47" s="48">
        <v>1399.01</v>
      </c>
      <c r="L47" s="48">
        <f t="shared" si="10"/>
        <v>15055.47</v>
      </c>
    </row>
    <row r="48" spans="1:15" x14ac:dyDescent="0.25">
      <c r="A48" t="s">
        <v>247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4564.87</v>
      </c>
      <c r="K48" s="48">
        <v>500</v>
      </c>
      <c r="L48" s="48">
        <f t="shared" si="10"/>
        <v>5064.87</v>
      </c>
    </row>
    <row r="49" spans="1:12" x14ac:dyDescent="0.25">
      <c r="A49" s="47" t="s">
        <v>335</v>
      </c>
      <c r="B49" s="50">
        <f t="shared" ref="B49:E49" si="11">SUM(B43:B48)</f>
        <v>0</v>
      </c>
      <c r="C49" s="50">
        <f t="shared" si="11"/>
        <v>0</v>
      </c>
      <c r="D49" s="50">
        <f t="shared" si="11"/>
        <v>0</v>
      </c>
      <c r="E49" s="50">
        <f t="shared" si="11"/>
        <v>0</v>
      </c>
      <c r="F49" s="50">
        <f>SUM(F43:F48)</f>
        <v>0</v>
      </c>
      <c r="G49" s="50">
        <f>SUM(G43:G48)</f>
        <v>0</v>
      </c>
      <c r="H49" s="50">
        <f t="shared" ref="H49:K49" si="12">SUM(H43:H48)</f>
        <v>0</v>
      </c>
      <c r="I49" s="50">
        <f t="shared" si="12"/>
        <v>0</v>
      </c>
      <c r="J49" s="50">
        <f t="shared" ref="J49" si="13">SUM(J43:J48)</f>
        <v>561054.98</v>
      </c>
      <c r="K49" s="50">
        <f t="shared" si="12"/>
        <v>79477.78</v>
      </c>
      <c r="L49" s="50">
        <f>SUM(L43:L48)</f>
        <v>640532.76</v>
      </c>
    </row>
    <row r="50" spans="1:12" x14ac:dyDescent="0.25">
      <c r="A50" s="47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</row>
    <row r="51" spans="1:12" x14ac:dyDescent="0.25">
      <c r="A51" s="47" t="s">
        <v>289</v>
      </c>
    </row>
    <row r="52" spans="1:12" x14ac:dyDescent="0.25">
      <c r="A52" t="s">
        <v>235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45000</v>
      </c>
      <c r="K52" s="48">
        <v>5000</v>
      </c>
      <c r="L52" s="48">
        <f>SUM(B52:K52)</f>
        <v>50000</v>
      </c>
    </row>
    <row r="53" spans="1:12" x14ac:dyDescent="0.25">
      <c r="A53" t="s">
        <v>292</v>
      </c>
      <c r="B53" s="48">
        <v>838.82</v>
      </c>
      <c r="C53" s="48">
        <v>672.84</v>
      </c>
      <c r="D53" s="48">
        <v>0</v>
      </c>
      <c r="E53" s="48">
        <v>0</v>
      </c>
      <c r="F53" s="48">
        <v>0</v>
      </c>
      <c r="G53" s="48">
        <v>0</v>
      </c>
      <c r="H53" s="48">
        <v>1208.07</v>
      </c>
      <c r="I53" s="48">
        <v>0</v>
      </c>
      <c r="J53" s="48">
        <v>0</v>
      </c>
      <c r="K53" s="48">
        <v>0</v>
      </c>
      <c r="L53" s="48">
        <f>SUM(B53:K53)</f>
        <v>2719.73</v>
      </c>
    </row>
    <row r="54" spans="1:12" x14ac:dyDescent="0.25">
      <c r="A54" t="s">
        <v>239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4557.83</v>
      </c>
      <c r="K54" s="48">
        <v>502.34</v>
      </c>
      <c r="L54" s="48">
        <f>SUM(B54:K54)</f>
        <v>5060.17</v>
      </c>
    </row>
    <row r="55" spans="1:12" x14ac:dyDescent="0.25">
      <c r="A55" t="s">
        <v>293</v>
      </c>
      <c r="B55" s="48">
        <v>142.41999999999999</v>
      </c>
      <c r="C55" s="48">
        <v>418.29</v>
      </c>
      <c r="D55" s="48">
        <v>418.29</v>
      </c>
      <c r="E55" s="48">
        <v>418.29</v>
      </c>
      <c r="F55" s="48">
        <v>418.29</v>
      </c>
      <c r="G55" s="48">
        <v>418.29</v>
      </c>
      <c r="H55" s="48">
        <v>418.29</v>
      </c>
      <c r="I55" s="48">
        <v>418.29</v>
      </c>
      <c r="J55" s="48">
        <v>418.29</v>
      </c>
      <c r="K55" s="48">
        <v>418.29</v>
      </c>
      <c r="L55" s="48">
        <f>SUM(B55:K55)</f>
        <v>3907.0299999999997</v>
      </c>
    </row>
    <row r="56" spans="1:12" x14ac:dyDescent="0.25">
      <c r="A56" s="47" t="s">
        <v>335</v>
      </c>
      <c r="B56" s="50">
        <f t="shared" ref="B56:K56" si="14">SUM(B52:B55)</f>
        <v>981.24</v>
      </c>
      <c r="C56" s="50">
        <f t="shared" si="14"/>
        <v>1091.1300000000001</v>
      </c>
      <c r="D56" s="50">
        <f t="shared" si="14"/>
        <v>418.29</v>
      </c>
      <c r="E56" s="50">
        <f t="shared" si="14"/>
        <v>418.29</v>
      </c>
      <c r="F56" s="50">
        <f>SUM(F52:F55)</f>
        <v>418.29</v>
      </c>
      <c r="G56" s="50">
        <f>SUM(G52:G55)</f>
        <v>418.29</v>
      </c>
      <c r="H56" s="50">
        <f t="shared" ref="H56:J56" si="15">SUM(H52:H55)</f>
        <v>1626.36</v>
      </c>
      <c r="I56" s="50">
        <f t="shared" si="15"/>
        <v>418.29</v>
      </c>
      <c r="J56" s="50">
        <f t="shared" si="15"/>
        <v>49976.12</v>
      </c>
      <c r="K56" s="50">
        <f t="shared" si="14"/>
        <v>5920.63</v>
      </c>
      <c r="L56" s="50">
        <f>SUM(L52:L55)</f>
        <v>61686.93</v>
      </c>
    </row>
    <row r="58" spans="1:12" x14ac:dyDescent="0.25">
      <c r="A58" s="47" t="s">
        <v>294</v>
      </c>
    </row>
    <row r="59" spans="1:12" x14ac:dyDescent="0.25">
      <c r="A59" t="s">
        <v>253</v>
      </c>
      <c r="B59" s="48">
        <v>699.09</v>
      </c>
      <c r="C59" s="48">
        <v>609.66</v>
      </c>
      <c r="D59" s="48">
        <v>670.54</v>
      </c>
      <c r="E59" s="48">
        <v>716.49</v>
      </c>
      <c r="F59" s="48">
        <v>816.61</v>
      </c>
      <c r="G59" s="48">
        <v>992.7</v>
      </c>
      <c r="H59" s="48">
        <v>1326.01</v>
      </c>
      <c r="I59" s="48">
        <v>1343.92</v>
      </c>
      <c r="J59" s="48">
        <v>562.4</v>
      </c>
      <c r="K59" s="48">
        <v>820.72</v>
      </c>
      <c r="L59" s="48">
        <f t="shared" ref="L59:L66" si="16">SUM(B59:K59)</f>
        <v>8558.14</v>
      </c>
    </row>
    <row r="60" spans="1:12" x14ac:dyDescent="0.25">
      <c r="A60" t="s">
        <v>257</v>
      </c>
      <c r="B60" s="48">
        <v>0</v>
      </c>
      <c r="C60" s="48">
        <v>587.5</v>
      </c>
      <c r="D60" s="48">
        <v>0</v>
      </c>
      <c r="E60" s="48">
        <v>0</v>
      </c>
      <c r="F60" s="48">
        <v>0</v>
      </c>
      <c r="G60" s="48">
        <v>99.99</v>
      </c>
      <c r="H60" s="48">
        <v>0</v>
      </c>
      <c r="I60" s="48">
        <v>225</v>
      </c>
      <c r="J60" s="48">
        <v>0</v>
      </c>
      <c r="K60" s="168" t="s">
        <v>487</v>
      </c>
      <c r="L60" s="48">
        <f t="shared" si="16"/>
        <v>912.49</v>
      </c>
    </row>
    <row r="61" spans="1:12" x14ac:dyDescent="0.25">
      <c r="A61" t="s">
        <v>263</v>
      </c>
      <c r="B61" s="48">
        <v>0</v>
      </c>
      <c r="C61" s="48">
        <v>0</v>
      </c>
      <c r="D61" s="48">
        <v>672.84</v>
      </c>
      <c r="E61" s="48">
        <v>672.82</v>
      </c>
      <c r="F61" s="48">
        <v>672.82</v>
      </c>
      <c r="G61" s="48">
        <v>672.82</v>
      </c>
      <c r="H61" s="48">
        <v>1390.99</v>
      </c>
      <c r="I61" s="48">
        <v>637.99</v>
      </c>
      <c r="J61" s="48">
        <v>698.79</v>
      </c>
      <c r="K61" s="48">
        <v>713.83</v>
      </c>
      <c r="L61" s="48">
        <f t="shared" si="16"/>
        <v>6132.9</v>
      </c>
    </row>
    <row r="62" spans="1:12" x14ac:dyDescent="0.25">
      <c r="A62" t="s">
        <v>249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18056.97</v>
      </c>
      <c r="K62" s="48">
        <v>1560.44</v>
      </c>
      <c r="L62" s="48">
        <f t="shared" ref="L62:L63" si="17">SUM(B62:K62)</f>
        <v>19617.41</v>
      </c>
    </row>
    <row r="63" spans="1:12" x14ac:dyDescent="0.25">
      <c r="A63" t="s">
        <v>364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f>5375.34+-59.98+0.1</f>
        <v>5315.4600000000009</v>
      </c>
      <c r="K63" s="48">
        <v>1024.25</v>
      </c>
      <c r="L63" s="48">
        <f t="shared" si="17"/>
        <v>6339.7100000000009</v>
      </c>
    </row>
    <row r="64" spans="1:12" x14ac:dyDescent="0.25">
      <c r="A64" t="s">
        <v>387</v>
      </c>
      <c r="B64" s="48">
        <v>3000</v>
      </c>
      <c r="C64" s="48">
        <v>3000</v>
      </c>
      <c r="D64" s="48">
        <v>3000</v>
      </c>
      <c r="E64" s="48">
        <v>3000</v>
      </c>
      <c r="F64" s="48">
        <v>3000</v>
      </c>
      <c r="G64" s="48">
        <v>2000</v>
      </c>
      <c r="H64" s="48">
        <v>2000</v>
      </c>
      <c r="I64" s="48">
        <v>2000</v>
      </c>
      <c r="J64" s="48">
        <v>-10897</v>
      </c>
      <c r="K64" s="48">
        <v>318.75</v>
      </c>
      <c r="L64" s="48">
        <f t="shared" si="16"/>
        <v>10421.75</v>
      </c>
    </row>
    <row r="65" spans="1:13" x14ac:dyDescent="0.25">
      <c r="A65" t="s">
        <v>363</v>
      </c>
      <c r="B65" s="48">
        <v>3750</v>
      </c>
      <c r="C65" s="48">
        <v>3750</v>
      </c>
      <c r="D65" s="48">
        <v>3750</v>
      </c>
      <c r="E65" s="48">
        <v>3750</v>
      </c>
      <c r="F65" s="48">
        <v>3750</v>
      </c>
      <c r="G65" s="48">
        <v>3750</v>
      </c>
      <c r="H65" s="48">
        <v>3750</v>
      </c>
      <c r="I65" s="48">
        <v>3750</v>
      </c>
      <c r="J65" s="48">
        <v>3750</v>
      </c>
      <c r="K65" s="48">
        <v>3750</v>
      </c>
      <c r="L65" s="48">
        <f t="shared" si="16"/>
        <v>37500</v>
      </c>
    </row>
    <row r="66" spans="1:13" x14ac:dyDescent="0.25">
      <c r="A66" t="s">
        <v>483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3935.25</v>
      </c>
      <c r="K66" s="48">
        <v>712.35</v>
      </c>
      <c r="L66" s="48">
        <f t="shared" si="16"/>
        <v>4647.6000000000004</v>
      </c>
    </row>
    <row r="67" spans="1:13" x14ac:dyDescent="0.25">
      <c r="A67" t="s">
        <v>388</v>
      </c>
      <c r="B67" s="48">
        <v>109</v>
      </c>
      <c r="C67" s="48">
        <v>29.99</v>
      </c>
      <c r="D67" s="48">
        <v>29.99</v>
      </c>
      <c r="E67" s="48">
        <v>29.99</v>
      </c>
      <c r="F67" s="48">
        <v>0</v>
      </c>
      <c r="G67" s="48">
        <v>29.99</v>
      </c>
      <c r="H67" s="48">
        <v>29.99</v>
      </c>
      <c r="I67" s="48">
        <v>29.99</v>
      </c>
      <c r="J67" s="168">
        <v>119.96</v>
      </c>
      <c r="K67" s="168">
        <v>0</v>
      </c>
      <c r="L67" s="48">
        <f>SUM(B67:K67)</f>
        <v>408.90000000000003</v>
      </c>
    </row>
    <row r="68" spans="1:13" x14ac:dyDescent="0.25">
      <c r="A68" t="s">
        <v>248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2299.5300000000002</v>
      </c>
      <c r="K68" s="48">
        <v>159.06</v>
      </c>
      <c r="L68" s="48">
        <f>SUM(B68:K68)</f>
        <v>2458.59</v>
      </c>
    </row>
    <row r="69" spans="1:13" x14ac:dyDescent="0.25">
      <c r="A69" t="s">
        <v>478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7140.03</v>
      </c>
      <c r="K69" s="48">
        <v>0</v>
      </c>
      <c r="L69" s="48">
        <f>SUM(B69:K69)</f>
        <v>7140.03</v>
      </c>
    </row>
    <row r="70" spans="1:13" x14ac:dyDescent="0.25">
      <c r="A70" s="47" t="s">
        <v>297</v>
      </c>
      <c r="B70" s="50">
        <f t="shared" ref="B70:L70" si="18">SUM(B59:B69)</f>
        <v>7558.09</v>
      </c>
      <c r="C70" s="50">
        <f t="shared" si="18"/>
        <v>7977.15</v>
      </c>
      <c r="D70" s="50">
        <f t="shared" si="18"/>
        <v>8123.37</v>
      </c>
      <c r="E70" s="50">
        <f t="shared" si="18"/>
        <v>8169.2999999999993</v>
      </c>
      <c r="F70" s="50">
        <f t="shared" si="18"/>
        <v>8239.43</v>
      </c>
      <c r="G70" s="50">
        <f t="shared" si="18"/>
        <v>7545.5</v>
      </c>
      <c r="H70" s="50">
        <f t="shared" si="18"/>
        <v>8496.99</v>
      </c>
      <c r="I70" s="50">
        <f t="shared" si="18"/>
        <v>7986.9</v>
      </c>
      <c r="J70" s="50">
        <f t="shared" ref="J70" si="19">SUM(J59:J69)</f>
        <v>30981.39</v>
      </c>
      <c r="K70" s="50">
        <f t="shared" si="18"/>
        <v>9059.4</v>
      </c>
      <c r="L70" s="50">
        <f t="shared" si="18"/>
        <v>104137.51999999999</v>
      </c>
    </row>
    <row r="71" spans="1:13" x14ac:dyDescent="0.25">
      <c r="A71" t="s">
        <v>246</v>
      </c>
    </row>
    <row r="72" spans="1:13" x14ac:dyDescent="0.25">
      <c r="A72" s="47" t="s">
        <v>322</v>
      </c>
    </row>
    <row r="73" spans="1:13" x14ac:dyDescent="0.25">
      <c r="A73" t="s">
        <v>323</v>
      </c>
      <c r="B73" s="48">
        <v>34022.5</v>
      </c>
      <c r="C73" s="48">
        <v>34265</v>
      </c>
      <c r="D73" s="48">
        <v>34451.25</v>
      </c>
      <c r="E73" s="48">
        <v>34845</v>
      </c>
      <c r="F73" s="48">
        <v>34565</v>
      </c>
      <c r="G73" s="48">
        <v>34906.25</v>
      </c>
      <c r="H73" s="48">
        <v>36258.75</v>
      </c>
      <c r="I73" s="48">
        <v>35423.75</v>
      </c>
      <c r="J73" s="48">
        <v>-278737.5</v>
      </c>
      <c r="K73" s="48">
        <v>0</v>
      </c>
      <c r="L73" s="48">
        <f>SUM(B73:K73)</f>
        <v>0</v>
      </c>
    </row>
    <row r="74" spans="1:13" x14ac:dyDescent="0.25">
      <c r="A74" s="47" t="s">
        <v>389</v>
      </c>
      <c r="B74" s="48">
        <v>0</v>
      </c>
      <c r="C74" s="48">
        <v>0</v>
      </c>
      <c r="D74" s="48">
        <v>0</v>
      </c>
      <c r="E74" s="48">
        <v>0</v>
      </c>
      <c r="F74" s="48">
        <v>31752.38</v>
      </c>
      <c r="G74" s="48">
        <v>5625.56</v>
      </c>
      <c r="H74" s="48">
        <v>4645.78</v>
      </c>
      <c r="I74" s="48">
        <v>3846.94</v>
      </c>
      <c r="J74" s="48">
        <v>3326.21</v>
      </c>
      <c r="K74" s="48">
        <v>3245.67</v>
      </c>
      <c r="L74" s="48">
        <f>SUM(B74:K74)</f>
        <v>52442.54</v>
      </c>
    </row>
    <row r="75" spans="1:13" x14ac:dyDescent="0.25">
      <c r="A75" s="47" t="s">
        <v>271</v>
      </c>
      <c r="B75" s="48">
        <v>0</v>
      </c>
      <c r="C75" s="48">
        <v>0</v>
      </c>
      <c r="D75" s="48">
        <v>0</v>
      </c>
      <c r="E75" s="48">
        <v>-219.74</v>
      </c>
      <c r="F75" s="48">
        <v>-5033.32</v>
      </c>
      <c r="G75" s="48">
        <v>-1000</v>
      </c>
      <c r="H75" s="48">
        <v>-1033.33</v>
      </c>
      <c r="I75" s="48">
        <v>-1033.33</v>
      </c>
      <c r="J75" s="48">
        <v>-1319.44</v>
      </c>
      <c r="K75" s="48">
        <v>-1463.89</v>
      </c>
      <c r="L75" s="48">
        <f>SUM(B75:K75)</f>
        <v>-11103.05</v>
      </c>
    </row>
    <row r="76" spans="1:13" x14ac:dyDescent="0.25">
      <c r="A76" s="47" t="s">
        <v>324</v>
      </c>
      <c r="B76" s="50">
        <f>SUM(B73:B75)</f>
        <v>34022.5</v>
      </c>
      <c r="C76" s="50">
        <f t="shared" ref="C76:K76" si="20">SUM(C73:C75)</f>
        <v>34265</v>
      </c>
      <c r="D76" s="50">
        <f t="shared" si="20"/>
        <v>34451.25</v>
      </c>
      <c r="E76" s="50">
        <f t="shared" si="20"/>
        <v>34625.26</v>
      </c>
      <c r="F76" s="50">
        <f>SUM(F73:F75)</f>
        <v>61284.060000000005</v>
      </c>
      <c r="G76" s="50">
        <f>SUM(G73:G75)</f>
        <v>39531.81</v>
      </c>
      <c r="H76" s="50">
        <f t="shared" ref="H76:J76" si="21">SUM(H73:H75)</f>
        <v>39871.199999999997</v>
      </c>
      <c r="I76" s="50">
        <f t="shared" si="21"/>
        <v>38237.360000000001</v>
      </c>
      <c r="J76" s="50">
        <f t="shared" si="21"/>
        <v>-276730.73</v>
      </c>
      <c r="K76" s="50">
        <f t="shared" si="20"/>
        <v>1781.78</v>
      </c>
      <c r="L76" s="50">
        <f>SUM(L73:L75)</f>
        <v>41339.490000000005</v>
      </c>
    </row>
    <row r="78" spans="1:13" ht="15.75" thickBot="1" x14ac:dyDescent="0.3">
      <c r="A78" s="47" t="s">
        <v>210</v>
      </c>
      <c r="B78" s="51">
        <f t="shared" ref="B78:I78" si="22">B56+B70+B76+B49</f>
        <v>42561.83</v>
      </c>
      <c r="C78" s="51">
        <f t="shared" si="22"/>
        <v>43333.279999999999</v>
      </c>
      <c r="D78" s="51">
        <f t="shared" si="22"/>
        <v>42992.91</v>
      </c>
      <c r="E78" s="51">
        <f t="shared" si="22"/>
        <v>43212.850000000006</v>
      </c>
      <c r="F78" s="51">
        <f t="shared" si="22"/>
        <v>69941.78</v>
      </c>
      <c r="G78" s="51">
        <f t="shared" si="22"/>
        <v>47495.6</v>
      </c>
      <c r="H78" s="51">
        <f t="shared" si="22"/>
        <v>49994.549999999996</v>
      </c>
      <c r="I78" s="51">
        <f t="shared" si="22"/>
        <v>46642.55</v>
      </c>
      <c r="J78" s="51">
        <f>J56+J70+J76+J49</f>
        <v>365281.76</v>
      </c>
      <c r="K78" s="51">
        <f>K56+K70+K76+K49</f>
        <v>96239.59</v>
      </c>
      <c r="L78" s="51">
        <f>L56+L70+L76+L49</f>
        <v>847696.7</v>
      </c>
    </row>
    <row r="80" spans="1:13" ht="15.75" thickBot="1" x14ac:dyDescent="0.3">
      <c r="A80" s="47" t="s">
        <v>301</v>
      </c>
      <c r="B80" s="52">
        <f t="shared" ref="B80:L80" si="23">B38-B78</f>
        <v>-41850.590000000011</v>
      </c>
      <c r="C80" s="52">
        <f t="shared" si="23"/>
        <v>35443.76000000097</v>
      </c>
      <c r="D80" s="52">
        <f t="shared" si="23"/>
        <v>22849.710000000108</v>
      </c>
      <c r="E80" s="52">
        <f t="shared" si="23"/>
        <v>97526.479999999137</v>
      </c>
      <c r="F80" s="52">
        <f t="shared" si="23"/>
        <v>55606.169999997393</v>
      </c>
      <c r="G80" s="52">
        <f t="shared" si="23"/>
        <v>82835.14000000208</v>
      </c>
      <c r="H80" s="52">
        <f t="shared" si="23"/>
        <v>149871.3000000015</v>
      </c>
      <c r="I80" s="52">
        <f t="shared" si="23"/>
        <v>32262.459999997911</v>
      </c>
      <c r="J80" s="52">
        <f t="shared" ref="J80" si="24">J38-J78</f>
        <v>-361825.79000000004</v>
      </c>
      <c r="K80" s="52">
        <f t="shared" si="23"/>
        <v>118142.20000000004</v>
      </c>
      <c r="L80" s="52">
        <f t="shared" si="23"/>
        <v>190860.8400000066</v>
      </c>
      <c r="M80"/>
    </row>
    <row r="81" ht="15.75" thickTop="1" x14ac:dyDescent="0.25"/>
  </sheetData>
  <mergeCells count="3">
    <mergeCell ref="A1:L1"/>
    <mergeCell ref="A2:L2"/>
    <mergeCell ref="A3:L3"/>
  </mergeCells>
  <pageMargins left="0.7" right="0.7" top="0.75" bottom="0.75" header="0.3" footer="0.3"/>
  <pageSetup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M21"/>
  <sheetViews>
    <sheetView zoomScaleNormal="100" workbookViewId="0">
      <pane ySplit="6" topLeftCell="A7" activePane="bottomLeft" state="frozen"/>
      <selection activeCell="C20" sqref="C20"/>
      <selection pane="bottomLeft" activeCell="C20" sqref="C20"/>
    </sheetView>
  </sheetViews>
  <sheetFormatPr defaultRowHeight="15" x14ac:dyDescent="0.25"/>
  <cols>
    <col min="1" max="1" width="41.28515625" bestFit="1" customWidth="1"/>
    <col min="2" max="11" width="13.28515625" style="48" bestFit="1" customWidth="1"/>
    <col min="12" max="12" width="14.28515625" style="48" bestFit="1" customWidth="1"/>
    <col min="13" max="13" width="9.140625" style="48" customWidth="1"/>
  </cols>
  <sheetData>
    <row r="1" spans="1:12" x14ac:dyDescent="0.25">
      <c r="A1" s="218" t="s">
        <v>328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x14ac:dyDescent="0.25">
      <c r="A2" s="218" t="s">
        <v>275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x14ac:dyDescent="0.25">
      <c r="A3" s="218">
        <v>2018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8" spans="1:12" s="48" customFormat="1" x14ac:dyDescent="0.25">
      <c r="A8" s="47" t="s">
        <v>294</v>
      </c>
    </row>
    <row r="9" spans="1:12" s="48" customFormat="1" x14ac:dyDescent="0.25">
      <c r="A9" t="s">
        <v>253</v>
      </c>
      <c r="B9" s="48">
        <v>218.79</v>
      </c>
      <c r="C9" s="48">
        <v>218.72</v>
      </c>
      <c r="D9" s="48">
        <v>219.51</v>
      </c>
      <c r="E9" s="48">
        <v>218.41</v>
      </c>
      <c r="F9" s="48">
        <v>216.38</v>
      </c>
      <c r="G9" s="48">
        <v>185.13</v>
      </c>
      <c r="H9" s="48">
        <v>185.13</v>
      </c>
      <c r="I9" s="48">
        <v>185.13</v>
      </c>
      <c r="J9" s="48">
        <v>186.01</v>
      </c>
      <c r="K9" s="48">
        <v>196.3</v>
      </c>
      <c r="L9" s="48">
        <f>SUM(B9:K9)</f>
        <v>2029.5100000000002</v>
      </c>
    </row>
    <row r="10" spans="1:12" s="48" customFormat="1" x14ac:dyDescent="0.25">
      <c r="A10" t="s">
        <v>329</v>
      </c>
      <c r="B10" s="48">
        <v>109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f>SUM(B10:K10)</f>
        <v>109</v>
      </c>
    </row>
    <row r="11" spans="1:12" s="48" customFormat="1" x14ac:dyDescent="0.25">
      <c r="A11" t="s">
        <v>364</v>
      </c>
      <c r="B11" s="48">
        <v>0</v>
      </c>
      <c r="C11" s="48">
        <v>0</v>
      </c>
      <c r="D11" s="48">
        <v>0</v>
      </c>
      <c r="E11" s="48">
        <v>0</v>
      </c>
      <c r="F11" s="48">
        <v>1250</v>
      </c>
      <c r="G11" s="48">
        <v>1250</v>
      </c>
      <c r="H11" s="48">
        <v>1250</v>
      </c>
      <c r="I11" s="48">
        <v>3750</v>
      </c>
      <c r="J11" s="48">
        <v>3750</v>
      </c>
      <c r="K11" s="48">
        <v>3750</v>
      </c>
      <c r="L11" s="48">
        <f>SUM(B11:K11)</f>
        <v>15000</v>
      </c>
    </row>
    <row r="12" spans="1:12" s="48" customFormat="1" x14ac:dyDescent="0.25">
      <c r="A12" t="s">
        <v>425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270</v>
      </c>
      <c r="H12" s="48">
        <v>384.17</v>
      </c>
      <c r="I12" s="48">
        <v>384.17</v>
      </c>
      <c r="J12" s="48">
        <v>384.17</v>
      </c>
      <c r="K12" s="48">
        <v>384.17</v>
      </c>
      <c r="L12" s="48">
        <f>SUM(B12:K12)</f>
        <v>1806.6800000000003</v>
      </c>
    </row>
    <row r="13" spans="1:12" s="48" customFormat="1" x14ac:dyDescent="0.25">
      <c r="A13" s="47" t="s">
        <v>297</v>
      </c>
      <c r="B13" s="50">
        <f>SUM(B9:B12)</f>
        <v>327.78999999999996</v>
      </c>
      <c r="C13" s="50">
        <f t="shared" ref="C13:L13" si="0">SUM(C9:C12)</f>
        <v>218.72</v>
      </c>
      <c r="D13" s="50">
        <f t="shared" si="0"/>
        <v>219.51</v>
      </c>
      <c r="E13" s="50">
        <f t="shared" si="0"/>
        <v>218.41</v>
      </c>
      <c r="F13" s="50">
        <f t="shared" si="0"/>
        <v>1466.38</v>
      </c>
      <c r="G13" s="50">
        <f t="shared" si="0"/>
        <v>1705.13</v>
      </c>
      <c r="H13" s="50">
        <f t="shared" si="0"/>
        <v>1819.3000000000002</v>
      </c>
      <c r="I13" s="50">
        <f t="shared" ref="I13:J13" si="1">SUM(I9:I12)</f>
        <v>4319.3</v>
      </c>
      <c r="J13" s="50">
        <f t="shared" si="1"/>
        <v>4320.18</v>
      </c>
      <c r="K13" s="50">
        <f t="shared" si="0"/>
        <v>4330.47</v>
      </c>
      <c r="L13" s="50">
        <f t="shared" si="0"/>
        <v>18945.190000000002</v>
      </c>
    </row>
    <row r="14" spans="1:12" s="48" customFormat="1" x14ac:dyDescent="0.25">
      <c r="A14" t="s">
        <v>246</v>
      </c>
    </row>
    <row r="15" spans="1:12" s="48" customFormat="1" x14ac:dyDescent="0.25">
      <c r="A15" s="47" t="s">
        <v>322</v>
      </c>
    </row>
    <row r="16" spans="1:12" s="48" customFormat="1" x14ac:dyDescent="0.25">
      <c r="A16" t="s">
        <v>271</v>
      </c>
      <c r="B16" s="48">
        <v>3744.3</v>
      </c>
      <c r="C16" s="48">
        <v>2815.01</v>
      </c>
      <c r="D16" s="48">
        <v>3116.6</v>
      </c>
      <c r="E16" s="48">
        <v>2687.25</v>
      </c>
      <c r="F16" s="48">
        <v>3286.89</v>
      </c>
      <c r="G16" s="48">
        <v>5798.93</v>
      </c>
      <c r="H16" s="48">
        <v>5986.2</v>
      </c>
      <c r="I16" s="48">
        <v>8330.66</v>
      </c>
      <c r="J16" s="48">
        <v>3960.03</v>
      </c>
      <c r="K16" s="48">
        <v>4092.03</v>
      </c>
      <c r="L16" s="48">
        <f>SUM(B16:K16)</f>
        <v>43817.899999999994</v>
      </c>
    </row>
    <row r="17" spans="1:13" s="48" customFormat="1" x14ac:dyDescent="0.25">
      <c r="A17" t="s">
        <v>272</v>
      </c>
      <c r="B17" s="48">
        <v>-881.76</v>
      </c>
      <c r="C17" s="48">
        <v>-506.4</v>
      </c>
      <c r="D17" s="48">
        <v>-560.66</v>
      </c>
      <c r="E17" s="48">
        <v>-542.57000000000005</v>
      </c>
      <c r="F17" s="48">
        <v>-280.69</v>
      </c>
      <c r="G17" s="48">
        <v>-562.42999999999995</v>
      </c>
      <c r="H17" s="48">
        <v>-581.17999999999995</v>
      </c>
      <c r="I17" s="48">
        <v>-554.73</v>
      </c>
      <c r="J17" s="48">
        <v>-231.6</v>
      </c>
      <c r="K17" s="48">
        <v>-239.32</v>
      </c>
      <c r="L17" s="48">
        <f>SUM(B17:K17)</f>
        <v>-4941.34</v>
      </c>
    </row>
    <row r="18" spans="1:13" s="48" customFormat="1" x14ac:dyDescent="0.25">
      <c r="A18" s="47" t="s">
        <v>324</v>
      </c>
      <c r="B18" s="50">
        <f t="shared" ref="B18:L18" si="2">SUM(B16:B17)</f>
        <v>2862.54</v>
      </c>
      <c r="C18" s="50">
        <f t="shared" si="2"/>
        <v>2308.61</v>
      </c>
      <c r="D18" s="50">
        <f t="shared" si="2"/>
        <v>2555.94</v>
      </c>
      <c r="E18" s="50">
        <f t="shared" si="2"/>
        <v>2144.6799999999998</v>
      </c>
      <c r="F18" s="50">
        <f t="shared" si="2"/>
        <v>3006.2</v>
      </c>
      <c r="G18" s="50">
        <f t="shared" si="2"/>
        <v>5236.5</v>
      </c>
      <c r="H18" s="50">
        <f t="shared" si="2"/>
        <v>5405.0199999999995</v>
      </c>
      <c r="I18" s="50">
        <f t="shared" ref="I18:J18" si="3">SUM(I16:I17)</f>
        <v>7775.93</v>
      </c>
      <c r="J18" s="50">
        <f t="shared" si="3"/>
        <v>3728.4300000000003</v>
      </c>
      <c r="K18" s="50">
        <f t="shared" si="2"/>
        <v>3852.71</v>
      </c>
      <c r="L18" s="50">
        <f t="shared" si="2"/>
        <v>38876.559999999998</v>
      </c>
    </row>
    <row r="20" spans="1:13" ht="15.75" thickBot="1" x14ac:dyDescent="0.3">
      <c r="A20" s="47" t="s">
        <v>301</v>
      </c>
      <c r="B20" s="52">
        <f t="shared" ref="B20:L20" si="4">B18-B13</f>
        <v>2534.75</v>
      </c>
      <c r="C20" s="52">
        <f t="shared" si="4"/>
        <v>2089.8900000000003</v>
      </c>
      <c r="D20" s="52">
        <f t="shared" si="4"/>
        <v>2336.4300000000003</v>
      </c>
      <c r="E20" s="52">
        <f t="shared" si="4"/>
        <v>1926.2699999999998</v>
      </c>
      <c r="F20" s="52">
        <f t="shared" si="4"/>
        <v>1539.8199999999997</v>
      </c>
      <c r="G20" s="52">
        <f t="shared" si="4"/>
        <v>3531.37</v>
      </c>
      <c r="H20" s="52">
        <f t="shared" si="4"/>
        <v>3585.7199999999993</v>
      </c>
      <c r="I20" s="52">
        <f t="shared" ref="I20:J20" si="5">I18-I13</f>
        <v>3456.63</v>
      </c>
      <c r="J20" s="52">
        <f t="shared" si="5"/>
        <v>-591.75</v>
      </c>
      <c r="K20" s="52">
        <f t="shared" si="4"/>
        <v>-477.76000000000022</v>
      </c>
      <c r="L20" s="52">
        <f t="shared" si="4"/>
        <v>19931.369999999995</v>
      </c>
      <c r="M20"/>
    </row>
    <row r="21" spans="1:13" ht="15.75" thickTop="1" x14ac:dyDescent="0.25"/>
  </sheetData>
  <mergeCells count="3">
    <mergeCell ref="A1:L1"/>
    <mergeCell ref="A2:L2"/>
    <mergeCell ref="A3:L3"/>
  </mergeCells>
  <pageMargins left="0.7" right="0.7" top="0.75" bottom="0.75" header="0.3" footer="0.3"/>
  <pageSetup scale="4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N85"/>
  <sheetViews>
    <sheetView zoomScaleNormal="100" workbookViewId="0">
      <pane ySplit="6" topLeftCell="A61" activePane="bottomLeft" state="frozen"/>
      <selection activeCell="C20" sqref="C20"/>
      <selection pane="bottomLeft" activeCell="C20" sqref="C20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6" width="13" style="48" bestFit="1" customWidth="1"/>
    <col min="7" max="7" width="13" style="48" customWidth="1"/>
    <col min="8" max="11" width="13" style="48" bestFit="1" customWidth="1"/>
    <col min="12" max="12" width="13.42578125" style="48" bestFit="1" customWidth="1"/>
    <col min="13" max="13" width="9.140625" style="48" customWidth="1"/>
    <col min="14" max="14" width="9.5703125" bestFit="1" customWidth="1"/>
    <col min="16" max="16" width="11.5703125" bestFit="1" customWidth="1"/>
  </cols>
  <sheetData>
    <row r="1" spans="1:12" x14ac:dyDescent="0.25">
      <c r="A1" s="218" t="s">
        <v>349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x14ac:dyDescent="0.25">
      <c r="A2" s="218" t="s">
        <v>275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x14ac:dyDescent="0.25">
      <c r="A3" s="218">
        <v>2018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7" spans="1:12" x14ac:dyDescent="0.25">
      <c r="A7" s="47" t="s">
        <v>62</v>
      </c>
    </row>
    <row r="8" spans="1:12" x14ac:dyDescent="0.25">
      <c r="A8" t="s">
        <v>350</v>
      </c>
      <c r="B8" s="48">
        <v>365</v>
      </c>
      <c r="C8" s="48">
        <v>372</v>
      </c>
      <c r="D8" s="48">
        <v>340</v>
      </c>
      <c r="E8" s="48">
        <v>208</v>
      </c>
      <c r="F8" s="48">
        <v>0</v>
      </c>
      <c r="G8" s="48">
        <v>65</v>
      </c>
      <c r="H8" s="48">
        <v>0</v>
      </c>
      <c r="I8" s="48">
        <v>0</v>
      </c>
      <c r="J8" s="48">
        <v>0</v>
      </c>
      <c r="K8" s="48">
        <v>262</v>
      </c>
      <c r="L8" s="48">
        <f t="shared" ref="L8:L13" si="0">SUM(B8:K8)</f>
        <v>1612</v>
      </c>
    </row>
    <row r="9" spans="1:12" x14ac:dyDescent="0.25">
      <c r="A9" t="s">
        <v>351</v>
      </c>
      <c r="B9" s="48">
        <v>697</v>
      </c>
      <c r="C9" s="48">
        <v>736</v>
      </c>
      <c r="D9" s="48">
        <v>692</v>
      </c>
      <c r="E9" s="48">
        <v>462</v>
      </c>
      <c r="F9" s="48">
        <v>0</v>
      </c>
      <c r="G9" s="48">
        <v>89</v>
      </c>
      <c r="H9" s="48">
        <v>0</v>
      </c>
      <c r="I9" s="48">
        <v>0</v>
      </c>
      <c r="J9" s="48">
        <v>0</v>
      </c>
      <c r="K9" s="48">
        <v>327</v>
      </c>
      <c r="L9" s="48">
        <f t="shared" si="0"/>
        <v>3003</v>
      </c>
    </row>
    <row r="10" spans="1:12" x14ac:dyDescent="0.25">
      <c r="A10" t="s">
        <v>375</v>
      </c>
      <c r="B10" s="48">
        <v>207.81</v>
      </c>
      <c r="C10" s="48">
        <v>0</v>
      </c>
      <c r="D10" s="48">
        <v>101.02</v>
      </c>
      <c r="E10" s="48">
        <f>55.84+184</f>
        <v>239.84</v>
      </c>
      <c r="F10" s="48">
        <v>52.71</v>
      </c>
      <c r="G10" s="48">
        <v>12.7</v>
      </c>
      <c r="H10" s="48">
        <v>0</v>
      </c>
      <c r="I10" s="48">
        <v>0</v>
      </c>
      <c r="J10" s="48">
        <v>0</v>
      </c>
      <c r="K10" s="48">
        <v>72.95</v>
      </c>
      <c r="L10" s="48">
        <f t="shared" si="0"/>
        <v>687.03000000000009</v>
      </c>
    </row>
    <row r="11" spans="1:12" x14ac:dyDescent="0.25">
      <c r="A11" t="s">
        <v>353</v>
      </c>
      <c r="B11" s="48">
        <v>904.5</v>
      </c>
      <c r="C11" s="48">
        <v>1299.6300000000001</v>
      </c>
      <c r="D11" s="48">
        <v>1258.3699999999999</v>
      </c>
      <c r="E11" s="48">
        <v>992.9</v>
      </c>
      <c r="F11" s="48">
        <v>403.64</v>
      </c>
      <c r="G11" s="48">
        <v>147.37</v>
      </c>
      <c r="H11" s="48">
        <v>0</v>
      </c>
      <c r="I11" s="48">
        <v>76.73</v>
      </c>
      <c r="J11" s="48">
        <v>1350</v>
      </c>
      <c r="K11" s="48">
        <v>58.37</v>
      </c>
      <c r="L11" s="48">
        <f t="shared" si="0"/>
        <v>6491.5099999999993</v>
      </c>
    </row>
    <row r="12" spans="1:12" x14ac:dyDescent="0.25">
      <c r="A12" t="s">
        <v>352</v>
      </c>
      <c r="B12" s="48">
        <v>55.65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f t="shared" si="0"/>
        <v>55.65</v>
      </c>
    </row>
    <row r="13" spans="1:12" x14ac:dyDescent="0.25">
      <c r="A13" t="s">
        <v>354</v>
      </c>
      <c r="B13" s="48">
        <v>140541.41</v>
      </c>
      <c r="C13" s="48">
        <v>129527.17</v>
      </c>
      <c r="D13" s="48">
        <v>122190.47</v>
      </c>
      <c r="E13" s="48">
        <v>75732.429999999993</v>
      </c>
      <c r="F13" s="48">
        <v>28298</v>
      </c>
      <c r="G13" s="48">
        <v>13693.62</v>
      </c>
      <c r="H13" s="48">
        <v>7035</v>
      </c>
      <c r="I13" s="48">
        <v>12270</v>
      </c>
      <c r="J13" s="48">
        <v>6947</v>
      </c>
      <c r="K13" s="48">
        <v>14567</v>
      </c>
      <c r="L13" s="48">
        <f t="shared" si="0"/>
        <v>550802.10000000009</v>
      </c>
    </row>
    <row r="14" spans="1:12" s="48" customFormat="1" x14ac:dyDescent="0.25">
      <c r="A14" s="47" t="s">
        <v>223</v>
      </c>
      <c r="B14" s="50">
        <f t="shared" ref="B14:L14" si="1">SUM(B8:B13)</f>
        <v>142771.37</v>
      </c>
      <c r="C14" s="50">
        <f t="shared" si="1"/>
        <v>131934.79999999999</v>
      </c>
      <c r="D14" s="50">
        <f t="shared" si="1"/>
        <v>124581.86</v>
      </c>
      <c r="E14" s="50">
        <f t="shared" si="1"/>
        <v>77635.17</v>
      </c>
      <c r="F14" s="50">
        <f>SUM(F8:F13)</f>
        <v>28754.35</v>
      </c>
      <c r="G14" s="50">
        <f t="shared" ref="G14:J14" si="2">SUM(G8:G13)</f>
        <v>14007.69</v>
      </c>
      <c r="H14" s="50">
        <f t="shared" si="2"/>
        <v>7035</v>
      </c>
      <c r="I14" s="50">
        <f t="shared" si="2"/>
        <v>12346.73</v>
      </c>
      <c r="J14" s="50">
        <f t="shared" si="2"/>
        <v>8297</v>
      </c>
      <c r="K14" s="50">
        <f t="shared" si="1"/>
        <v>15287.32</v>
      </c>
      <c r="L14" s="50">
        <f t="shared" si="1"/>
        <v>562651.29</v>
      </c>
    </row>
    <row r="16" spans="1:12" s="48" customFormat="1" x14ac:dyDescent="0.25">
      <c r="A16" s="47"/>
    </row>
    <row r="17" spans="1:12" s="48" customFormat="1" x14ac:dyDescent="0.25">
      <c r="A17" t="s">
        <v>355</v>
      </c>
      <c r="B17" s="48">
        <v>489.92</v>
      </c>
      <c r="C17" s="48">
        <v>578.66999999999996</v>
      </c>
      <c r="D17" s="48">
        <v>0</v>
      </c>
      <c r="E17" s="48">
        <v>0</v>
      </c>
      <c r="F17" s="48">
        <v>0</v>
      </c>
      <c r="G17" s="48">
        <v>579.63</v>
      </c>
      <c r="H17" s="48">
        <v>0</v>
      </c>
      <c r="I17" s="48">
        <v>0</v>
      </c>
      <c r="J17" s="48">
        <v>0</v>
      </c>
      <c r="K17" s="48">
        <v>0</v>
      </c>
      <c r="L17" s="48">
        <f>SUM(B17:K17)</f>
        <v>1648.2199999999998</v>
      </c>
    </row>
    <row r="18" spans="1:12" s="48" customFormat="1" x14ac:dyDescent="0.25">
      <c r="A18" s="47" t="s">
        <v>283</v>
      </c>
      <c r="B18" s="50">
        <f t="shared" ref="B18:L18" si="3">SUM(B17:B17)</f>
        <v>489.92</v>
      </c>
      <c r="C18" s="50">
        <f t="shared" si="3"/>
        <v>578.66999999999996</v>
      </c>
      <c r="D18" s="50">
        <f t="shared" si="3"/>
        <v>0</v>
      </c>
      <c r="E18" s="50">
        <f t="shared" si="3"/>
        <v>0</v>
      </c>
      <c r="F18" s="50">
        <f>SUM(F17:F17)</f>
        <v>0</v>
      </c>
      <c r="G18" s="50">
        <f t="shared" ref="G18:J18" si="4">SUM(G17:G17)</f>
        <v>579.63</v>
      </c>
      <c r="H18" s="50">
        <f t="shared" si="4"/>
        <v>0</v>
      </c>
      <c r="I18" s="50">
        <f t="shared" si="4"/>
        <v>0</v>
      </c>
      <c r="J18" s="50">
        <f t="shared" si="4"/>
        <v>0</v>
      </c>
      <c r="K18" s="50">
        <f t="shared" si="3"/>
        <v>0</v>
      </c>
      <c r="L18" s="50">
        <f t="shared" si="3"/>
        <v>1648.2199999999998</v>
      </c>
    </row>
    <row r="20" spans="1:12" s="48" customFormat="1" ht="15.75" thickBot="1" x14ac:dyDescent="0.3">
      <c r="A20" s="47" t="s">
        <v>211</v>
      </c>
      <c r="B20" s="51">
        <f t="shared" ref="B20:L20" si="5">B14-B18</f>
        <v>142281.44999999998</v>
      </c>
      <c r="C20" s="51">
        <f t="shared" si="5"/>
        <v>131356.12999999998</v>
      </c>
      <c r="D20" s="51">
        <f t="shared" si="5"/>
        <v>124581.86</v>
      </c>
      <c r="E20" s="51">
        <f t="shared" si="5"/>
        <v>77635.17</v>
      </c>
      <c r="F20" s="51">
        <f>F14-F18</f>
        <v>28754.35</v>
      </c>
      <c r="G20" s="51">
        <f t="shared" ref="G20:J20" si="6">G14-G18</f>
        <v>13428.060000000001</v>
      </c>
      <c r="H20" s="51">
        <f t="shared" si="6"/>
        <v>7035</v>
      </c>
      <c r="I20" s="51">
        <f t="shared" si="6"/>
        <v>12346.73</v>
      </c>
      <c r="J20" s="51">
        <f t="shared" si="6"/>
        <v>8297</v>
      </c>
      <c r="K20" s="51">
        <f t="shared" si="5"/>
        <v>15287.32</v>
      </c>
      <c r="L20" s="51">
        <f t="shared" si="5"/>
        <v>561003.07000000007</v>
      </c>
    </row>
    <row r="22" spans="1:12" s="48" customFormat="1" x14ac:dyDescent="0.25">
      <c r="A22" s="47" t="s">
        <v>209</v>
      </c>
    </row>
    <row r="23" spans="1:12" s="48" customFormat="1" x14ac:dyDescent="0.25">
      <c r="A23" t="s">
        <v>225</v>
      </c>
      <c r="L23" s="48">
        <f>SUM(B23:E23)</f>
        <v>0</v>
      </c>
    </row>
    <row r="24" spans="1:12" s="48" customFormat="1" x14ac:dyDescent="0.25">
      <c r="A24" t="s">
        <v>284</v>
      </c>
      <c r="B24" s="48">
        <v>15834.2</v>
      </c>
      <c r="C24" s="48">
        <v>24166.18</v>
      </c>
      <c r="D24" s="48">
        <v>37081.71</v>
      </c>
      <c r="E24" s="48">
        <v>20886.21</v>
      </c>
      <c r="F24" s="48">
        <v>18251.09</v>
      </c>
      <c r="G24" s="48">
        <v>16382.41</v>
      </c>
      <c r="H24" s="48">
        <v>15402.13</v>
      </c>
      <c r="I24" s="48">
        <v>14659.46</v>
      </c>
      <c r="J24" s="48">
        <v>15909.62</v>
      </c>
      <c r="K24" s="48">
        <v>12807.31</v>
      </c>
      <c r="L24" s="48">
        <f>SUM(B24:K24)</f>
        <v>191380.31999999998</v>
      </c>
    </row>
    <row r="25" spans="1:12" s="48" customFormat="1" x14ac:dyDescent="0.25">
      <c r="A25" t="s">
        <v>285</v>
      </c>
      <c r="B25" s="48">
        <v>1521.73</v>
      </c>
      <c r="C25" s="48">
        <v>2302.9</v>
      </c>
      <c r="D25" s="48">
        <v>3377.89</v>
      </c>
      <c r="E25" s="48">
        <v>1767.49</v>
      </c>
      <c r="F25" s="48">
        <v>1425.45</v>
      </c>
      <c r="G25" s="48">
        <v>1258.53</v>
      </c>
      <c r="H25" s="48">
        <v>1187.17</v>
      </c>
      <c r="I25" s="48">
        <v>1193.8399999999999</v>
      </c>
      <c r="J25" s="48">
        <v>1151.3499999999999</v>
      </c>
      <c r="K25" s="48">
        <v>1003.79</v>
      </c>
      <c r="L25" s="48">
        <f t="shared" ref="L25:L31" si="7">SUM(B25:K25)</f>
        <v>16190.140000000003</v>
      </c>
    </row>
    <row r="26" spans="1:12" s="48" customFormat="1" x14ac:dyDescent="0.25">
      <c r="A26" t="s">
        <v>286</v>
      </c>
      <c r="B26" s="48">
        <v>5181.21</v>
      </c>
      <c r="C26" s="48">
        <v>5181.21</v>
      </c>
      <c r="D26" s="48">
        <v>5370.82</v>
      </c>
      <c r="E26" s="48">
        <v>5181.21</v>
      </c>
      <c r="F26" s="48">
        <v>5181.21</v>
      </c>
      <c r="G26" s="48">
        <v>5181.21</v>
      </c>
      <c r="H26" s="48">
        <v>4324.3999999999996</v>
      </c>
      <c r="I26" s="48">
        <v>4597.0200000000004</v>
      </c>
      <c r="J26" s="48">
        <v>4597.0200000000004</v>
      </c>
      <c r="K26" s="48">
        <v>4597.0200000000004</v>
      </c>
      <c r="L26" s="48">
        <f t="shared" si="7"/>
        <v>49392.33</v>
      </c>
    </row>
    <row r="27" spans="1:12" s="48" customFormat="1" x14ac:dyDescent="0.25">
      <c r="A27" t="s">
        <v>287</v>
      </c>
      <c r="B27" s="48">
        <v>362.79</v>
      </c>
      <c r="C27" s="48">
        <v>362.79</v>
      </c>
      <c r="D27" s="48">
        <v>0</v>
      </c>
      <c r="E27" s="48">
        <v>362.79</v>
      </c>
      <c r="F27" s="48">
        <v>362.79</v>
      </c>
      <c r="G27" s="48">
        <v>362.79</v>
      </c>
      <c r="H27" s="48">
        <v>288.14999999999998</v>
      </c>
      <c r="I27" s="48">
        <v>325.47000000000003</v>
      </c>
      <c r="J27" s="48">
        <v>325.47000000000003</v>
      </c>
      <c r="K27" s="48">
        <v>325.47000000000003</v>
      </c>
      <c r="L27" s="48">
        <f t="shared" si="7"/>
        <v>3078.51</v>
      </c>
    </row>
    <row r="28" spans="1:12" s="48" customFormat="1" x14ac:dyDescent="0.25">
      <c r="A28" t="s">
        <v>357</v>
      </c>
      <c r="B28" s="48">
        <v>131.22999999999999</v>
      </c>
      <c r="C28" s="48">
        <v>131.22999999999999</v>
      </c>
      <c r="D28" s="48">
        <v>131.13</v>
      </c>
      <c r="E28" s="48">
        <v>131.22999999999999</v>
      </c>
      <c r="F28" s="48">
        <v>131.22999999999999</v>
      </c>
      <c r="G28" s="48">
        <v>131.22999999999999</v>
      </c>
      <c r="H28" s="48">
        <v>76.239999999999995</v>
      </c>
      <c r="I28" s="48">
        <v>103.75</v>
      </c>
      <c r="J28" s="48">
        <v>103.75</v>
      </c>
      <c r="K28" s="48">
        <v>103.75</v>
      </c>
      <c r="L28" s="48">
        <f t="shared" si="7"/>
        <v>1174.77</v>
      </c>
    </row>
    <row r="29" spans="1:12" s="48" customFormat="1" x14ac:dyDescent="0.25">
      <c r="A29" t="s">
        <v>333</v>
      </c>
      <c r="B29" s="48">
        <v>450</v>
      </c>
      <c r="C29" s="48">
        <v>450</v>
      </c>
      <c r="D29" s="48">
        <v>450</v>
      </c>
      <c r="E29" s="48">
        <v>450</v>
      </c>
      <c r="F29" s="48">
        <v>450</v>
      </c>
      <c r="G29" s="48">
        <v>500</v>
      </c>
      <c r="H29" s="48">
        <v>500</v>
      </c>
      <c r="I29" s="48">
        <v>500</v>
      </c>
      <c r="J29" s="48">
        <v>500</v>
      </c>
      <c r="K29" s="48">
        <v>500</v>
      </c>
      <c r="L29" s="48">
        <f t="shared" si="7"/>
        <v>4750</v>
      </c>
    </row>
    <row r="30" spans="1:12" s="48" customFormat="1" x14ac:dyDescent="0.25">
      <c r="A30" t="s">
        <v>288</v>
      </c>
      <c r="B30" s="48">
        <v>0</v>
      </c>
      <c r="C30" s="48">
        <v>0</v>
      </c>
      <c r="D30" s="48">
        <v>0</v>
      </c>
      <c r="E30" s="48">
        <v>0</v>
      </c>
      <c r="F30" s="48">
        <v>0</v>
      </c>
      <c r="G30" s="48">
        <v>1575.5</v>
      </c>
      <c r="H30" s="48">
        <v>0</v>
      </c>
      <c r="I30" s="48">
        <v>0</v>
      </c>
      <c r="J30" s="48">
        <v>0.05</v>
      </c>
      <c r="K30" s="48">
        <v>0</v>
      </c>
      <c r="L30" s="48">
        <f t="shared" si="7"/>
        <v>1575.55</v>
      </c>
    </row>
    <row r="31" spans="1:12" s="48" customFormat="1" x14ac:dyDescent="0.25">
      <c r="A31" t="s">
        <v>356</v>
      </c>
      <c r="B31" s="48">
        <v>6984.2</v>
      </c>
      <c r="C31" s="48">
        <v>11650.4</v>
      </c>
      <c r="D31" s="48">
        <v>16897.400000000001</v>
      </c>
      <c r="E31" s="48">
        <v>4709.3999999999996</v>
      </c>
      <c r="F31" s="48">
        <v>1677.6</v>
      </c>
      <c r="G31" s="48">
        <v>1704</v>
      </c>
      <c r="H31" s="48">
        <v>2415</v>
      </c>
      <c r="I31" s="48">
        <v>1907.5</v>
      </c>
      <c r="J31" s="48">
        <v>1785</v>
      </c>
      <c r="K31" s="48">
        <v>2634.1</v>
      </c>
      <c r="L31" s="48">
        <f t="shared" si="7"/>
        <v>52364.6</v>
      </c>
    </row>
    <row r="32" spans="1:12" s="48" customFormat="1" x14ac:dyDescent="0.25">
      <c r="A32" s="47" t="s">
        <v>233</v>
      </c>
      <c r="B32" s="50">
        <f>SUM(B24:B31)</f>
        <v>30465.360000000001</v>
      </c>
      <c r="C32" s="50">
        <f t="shared" ref="C32:L32" si="8">SUM(C24:C31)</f>
        <v>44244.71</v>
      </c>
      <c r="D32" s="50">
        <f t="shared" si="8"/>
        <v>63308.95</v>
      </c>
      <c r="E32" s="50">
        <f t="shared" si="8"/>
        <v>33488.33</v>
      </c>
      <c r="F32" s="50">
        <f t="shared" ref="F32:K32" si="9">SUM(F24:F31)</f>
        <v>27479.37</v>
      </c>
      <c r="G32" s="50">
        <f t="shared" si="9"/>
        <v>27095.67</v>
      </c>
      <c r="H32" s="50">
        <f t="shared" si="9"/>
        <v>24193.09</v>
      </c>
      <c r="I32" s="50">
        <f t="shared" si="9"/>
        <v>23287.040000000001</v>
      </c>
      <c r="J32" s="50">
        <f t="shared" si="9"/>
        <v>24372.260000000002</v>
      </c>
      <c r="K32" s="50">
        <f t="shared" si="9"/>
        <v>21971.439999999999</v>
      </c>
      <c r="L32" s="50">
        <f t="shared" si="8"/>
        <v>319906.21999999991</v>
      </c>
    </row>
    <row r="33" spans="1:12" s="48" customFormat="1" x14ac:dyDescent="0.25">
      <c r="A33" t="s">
        <v>61</v>
      </c>
    </row>
    <row r="34" spans="1:12" s="48" customFormat="1" x14ac:dyDescent="0.25">
      <c r="A34" s="47" t="s">
        <v>289</v>
      </c>
    </row>
    <row r="35" spans="1:12" s="48" customFormat="1" x14ac:dyDescent="0.25">
      <c r="A35" t="s">
        <v>235</v>
      </c>
      <c r="B35" s="48">
        <v>1000</v>
      </c>
      <c r="C35" s="48">
        <v>1000</v>
      </c>
      <c r="D35" s="48">
        <v>1000</v>
      </c>
      <c r="E35" s="48">
        <v>1000</v>
      </c>
      <c r="F35" s="48">
        <v>1000</v>
      </c>
      <c r="G35" s="48">
        <v>1000</v>
      </c>
      <c r="H35" s="48">
        <v>1000</v>
      </c>
      <c r="I35" s="48">
        <v>1000</v>
      </c>
      <c r="J35" s="48">
        <v>1000</v>
      </c>
      <c r="K35" s="48">
        <v>1000</v>
      </c>
      <c r="L35" s="48">
        <f>SUM(B35:K35)</f>
        <v>10000</v>
      </c>
    </row>
    <row r="36" spans="1:12" s="48" customFormat="1" x14ac:dyDescent="0.25">
      <c r="A36" t="s">
        <v>237</v>
      </c>
      <c r="B36" s="48">
        <v>18970.560000000001</v>
      </c>
      <c r="C36" s="48">
        <v>2008.94</v>
      </c>
      <c r="D36" s="48">
        <v>22275.65</v>
      </c>
      <c r="E36" s="48">
        <v>11359.93</v>
      </c>
      <c r="F36" s="48">
        <v>3739.77</v>
      </c>
      <c r="G36" s="48">
        <v>91.8</v>
      </c>
      <c r="H36" s="48">
        <v>583.80999999999995</v>
      </c>
      <c r="I36" s="48">
        <v>487.15</v>
      </c>
      <c r="J36" s="48">
        <v>507.76</v>
      </c>
      <c r="K36" s="48">
        <v>918.67</v>
      </c>
      <c r="L36" s="48">
        <f t="shared" ref="L36:L54" si="10">SUM(B36:K36)</f>
        <v>60944.04</v>
      </c>
    </row>
    <row r="37" spans="1:12" s="48" customFormat="1" x14ac:dyDescent="0.25">
      <c r="A37" t="s">
        <v>236</v>
      </c>
      <c r="B37" s="48">
        <v>883.5</v>
      </c>
      <c r="C37" s="48">
        <v>864.5</v>
      </c>
      <c r="D37" s="48">
        <v>800</v>
      </c>
      <c r="E37" s="48">
        <v>739.5</v>
      </c>
      <c r="F37" s="48">
        <v>416</v>
      </c>
      <c r="G37" s="48">
        <v>379.5</v>
      </c>
      <c r="H37" s="48">
        <v>446</v>
      </c>
      <c r="I37" s="48">
        <v>439.5</v>
      </c>
      <c r="J37" s="48">
        <v>416</v>
      </c>
      <c r="K37" s="48">
        <v>364.5</v>
      </c>
      <c r="L37" s="48">
        <f t="shared" si="10"/>
        <v>5749</v>
      </c>
    </row>
    <row r="38" spans="1:12" s="48" customFormat="1" x14ac:dyDescent="0.25">
      <c r="A38" t="s">
        <v>338</v>
      </c>
      <c r="B38" s="48">
        <v>233.88</v>
      </c>
      <c r="C38" s="48">
        <v>0</v>
      </c>
      <c r="D38" s="48">
        <v>0</v>
      </c>
      <c r="E38" s="48">
        <v>0</v>
      </c>
      <c r="F38" s="48">
        <v>1298.1400000000001</v>
      </c>
      <c r="G38" s="48">
        <v>0</v>
      </c>
      <c r="H38" s="48">
        <v>0</v>
      </c>
      <c r="I38" s="48">
        <v>0</v>
      </c>
      <c r="J38" s="48">
        <v>500</v>
      </c>
      <c r="K38" s="48">
        <v>189.08</v>
      </c>
      <c r="L38" s="48">
        <f t="shared" si="10"/>
        <v>2221.1</v>
      </c>
    </row>
    <row r="39" spans="1:12" s="48" customFormat="1" x14ac:dyDescent="0.25">
      <c r="A39" t="s">
        <v>291</v>
      </c>
      <c r="B39" s="48">
        <v>624.76</v>
      </c>
      <c r="C39" s="48">
        <v>504.76</v>
      </c>
      <c r="D39" s="48">
        <v>624.76</v>
      </c>
      <c r="E39" s="48">
        <v>624.76</v>
      </c>
      <c r="F39" s="48">
        <v>624.76</v>
      </c>
      <c r="G39" s="48">
        <v>624.76</v>
      </c>
      <c r="H39" s="48">
        <v>624.76</v>
      </c>
      <c r="I39" s="48">
        <v>747.91</v>
      </c>
      <c r="J39" s="48">
        <v>747.91</v>
      </c>
      <c r="K39" s="48">
        <v>747.91</v>
      </c>
      <c r="L39" s="48">
        <f t="shared" si="10"/>
        <v>6497.05</v>
      </c>
    </row>
    <row r="40" spans="1:12" s="48" customFormat="1" x14ac:dyDescent="0.25">
      <c r="A40" t="s">
        <v>448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f t="shared" si="10"/>
        <v>0</v>
      </c>
    </row>
    <row r="41" spans="1:12" s="48" customFormat="1" x14ac:dyDescent="0.25">
      <c r="A41" t="s">
        <v>359</v>
      </c>
      <c r="B41" s="48">
        <v>990</v>
      </c>
      <c r="C41" s="48">
        <v>399.19</v>
      </c>
      <c r="D41" s="48">
        <f>292.3+700.49</f>
        <v>992.79</v>
      </c>
      <c r="E41" s="48">
        <v>0</v>
      </c>
      <c r="F41" s="48">
        <v>0</v>
      </c>
      <c r="G41" s="48">
        <v>66.2</v>
      </c>
      <c r="H41" s="48">
        <f>360+106.4</f>
        <v>466.4</v>
      </c>
      <c r="I41" s="48">
        <v>0</v>
      </c>
      <c r="J41" s="48">
        <v>0</v>
      </c>
      <c r="K41" s="48">
        <v>1497.22</v>
      </c>
      <c r="L41" s="48">
        <f t="shared" si="10"/>
        <v>4411.8</v>
      </c>
    </row>
    <row r="42" spans="1:12" s="48" customFormat="1" x14ac:dyDescent="0.25">
      <c r="A42" t="s">
        <v>360</v>
      </c>
      <c r="B42" s="48">
        <v>1367.42</v>
      </c>
      <c r="C42" s="48">
        <v>0</v>
      </c>
      <c r="D42" s="48">
        <v>573.99</v>
      </c>
      <c r="E42" s="48">
        <v>425.44</v>
      </c>
      <c r="F42" s="48">
        <v>1130</v>
      </c>
      <c r="G42" s="48">
        <v>3112</v>
      </c>
      <c r="H42" s="48">
        <v>0</v>
      </c>
      <c r="I42" s="48">
        <v>470</v>
      </c>
      <c r="J42" s="48">
        <v>0</v>
      </c>
      <c r="K42" s="48">
        <v>3732.42</v>
      </c>
      <c r="L42" s="48">
        <f t="shared" si="10"/>
        <v>10811.27</v>
      </c>
    </row>
    <row r="43" spans="1:12" s="48" customFormat="1" x14ac:dyDescent="0.25">
      <c r="A43" t="s">
        <v>361</v>
      </c>
      <c r="B43" s="48">
        <f>103.4+4531.26</f>
        <v>4634.66</v>
      </c>
      <c r="C43" s="48">
        <f>106.4+1356.39</f>
        <v>1462.7900000000002</v>
      </c>
      <c r="D43" s="48">
        <f>106.4+1345.43</f>
        <v>1451.8300000000002</v>
      </c>
      <c r="E43" s="48">
        <f>106.4+873.33</f>
        <v>979.73</v>
      </c>
      <c r="F43" s="48">
        <f>106.4+1079.16</f>
        <v>1185.5600000000002</v>
      </c>
      <c r="G43" s="48">
        <f>281.25+106.4</f>
        <v>387.65</v>
      </c>
      <c r="H43" s="48">
        <v>1838.18</v>
      </c>
      <c r="I43" s="48">
        <f>106.4+977.97</f>
        <v>1084.3700000000001</v>
      </c>
      <c r="J43" s="48">
        <f>106.4+248.19</f>
        <v>354.59000000000003</v>
      </c>
      <c r="K43" s="48">
        <f>106.4+3037.27</f>
        <v>3143.67</v>
      </c>
      <c r="L43" s="48">
        <f t="shared" si="10"/>
        <v>16523.03</v>
      </c>
    </row>
    <row r="44" spans="1:12" s="48" customFormat="1" x14ac:dyDescent="0.25">
      <c r="A44" t="s">
        <v>240</v>
      </c>
      <c r="B44" s="48">
        <v>0</v>
      </c>
      <c r="C44" s="48">
        <v>0</v>
      </c>
      <c r="D44" s="48">
        <v>0</v>
      </c>
      <c r="E44" s="48">
        <v>233.66</v>
      </c>
      <c r="F44" s="48">
        <v>0</v>
      </c>
      <c r="G44" s="48">
        <v>0</v>
      </c>
      <c r="H44" s="48">
        <v>253.01</v>
      </c>
      <c r="I44" s="48">
        <v>0</v>
      </c>
      <c r="J44" s="48">
        <v>0</v>
      </c>
      <c r="K44" s="48">
        <v>253</v>
      </c>
      <c r="L44" s="48">
        <f t="shared" si="10"/>
        <v>739.67</v>
      </c>
    </row>
    <row r="45" spans="1:12" s="48" customFormat="1" x14ac:dyDescent="0.25">
      <c r="A45" t="s">
        <v>241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f t="shared" si="10"/>
        <v>0</v>
      </c>
    </row>
    <row r="46" spans="1:12" s="48" customFormat="1" x14ac:dyDescent="0.25">
      <c r="A46" t="s">
        <v>239</v>
      </c>
      <c r="B46" s="48">
        <v>2424</v>
      </c>
      <c r="C46" s="48">
        <v>2424</v>
      </c>
      <c r="D46" s="48">
        <v>2424</v>
      </c>
      <c r="E46" s="48">
        <v>2424</v>
      </c>
      <c r="F46" s="48">
        <v>2426</v>
      </c>
      <c r="G46" s="48">
        <v>2424</v>
      </c>
      <c r="H46" s="48">
        <v>2424</v>
      </c>
      <c r="I46" s="48">
        <v>2424</v>
      </c>
      <c r="J46" s="48">
        <v>2424</v>
      </c>
      <c r="K46" s="48">
        <v>2416</v>
      </c>
      <c r="L46" s="48">
        <f t="shared" si="10"/>
        <v>24234</v>
      </c>
    </row>
    <row r="47" spans="1:12" s="48" customFormat="1" x14ac:dyDescent="0.25">
      <c r="A47" t="s">
        <v>358</v>
      </c>
      <c r="B47" s="48">
        <v>109</v>
      </c>
      <c r="C47" s="48">
        <v>0</v>
      </c>
      <c r="D47" s="48">
        <v>456</v>
      </c>
      <c r="E47" s="48">
        <v>0</v>
      </c>
      <c r="G47" s="48">
        <v>0</v>
      </c>
      <c r="H47" s="48">
        <v>0</v>
      </c>
      <c r="I47" s="48">
        <v>300</v>
      </c>
      <c r="J47" s="48">
        <v>0</v>
      </c>
      <c r="K47" s="48">
        <v>100</v>
      </c>
      <c r="L47" s="48">
        <f t="shared" si="10"/>
        <v>965</v>
      </c>
    </row>
    <row r="48" spans="1:12" s="48" customFormat="1" x14ac:dyDescent="0.25">
      <c r="A48" t="s">
        <v>374</v>
      </c>
      <c r="B48" s="48">
        <v>0</v>
      </c>
      <c r="C48" s="48">
        <v>0</v>
      </c>
      <c r="D48" s="48">
        <v>803.9</v>
      </c>
      <c r="E48" s="48">
        <v>0</v>
      </c>
      <c r="F48" s="48">
        <v>1736.17</v>
      </c>
      <c r="G48" s="48">
        <v>378.9</v>
      </c>
      <c r="H48" s="48">
        <v>0</v>
      </c>
      <c r="I48" s="48">
        <v>0</v>
      </c>
      <c r="J48" s="48">
        <v>1137.54</v>
      </c>
      <c r="K48" s="48">
        <v>0</v>
      </c>
      <c r="L48" s="48">
        <f t="shared" si="10"/>
        <v>4056.51</v>
      </c>
    </row>
    <row r="49" spans="1:12" s="48" customFormat="1" x14ac:dyDescent="0.25">
      <c r="A49" t="s">
        <v>242</v>
      </c>
      <c r="B49" s="48">
        <v>491.08</v>
      </c>
      <c r="C49" s="48">
        <v>758.32</v>
      </c>
      <c r="D49" s="48">
        <v>0</v>
      </c>
      <c r="E49" s="48">
        <v>168.11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f t="shared" si="10"/>
        <v>1417.5100000000002</v>
      </c>
    </row>
    <row r="50" spans="1:12" s="48" customFormat="1" x14ac:dyDescent="0.25">
      <c r="A50" t="s">
        <v>249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f t="shared" si="10"/>
        <v>0</v>
      </c>
    </row>
    <row r="51" spans="1:12" s="48" customFormat="1" x14ac:dyDescent="0.25">
      <c r="A51" t="s">
        <v>243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f t="shared" si="10"/>
        <v>0</v>
      </c>
    </row>
    <row r="52" spans="1:12" s="48" customFormat="1" x14ac:dyDescent="0.25">
      <c r="A52" t="s">
        <v>293</v>
      </c>
      <c r="B52" s="48">
        <v>9382.49</v>
      </c>
      <c r="C52" s="48">
        <v>9382.09</v>
      </c>
      <c r="D52" s="48">
        <v>9382.09</v>
      </c>
      <c r="E52" s="48">
        <v>9382.09</v>
      </c>
      <c r="F52" s="48">
        <v>9382.09</v>
      </c>
      <c r="G52" s="48">
        <v>9382.09</v>
      </c>
      <c r="H52" s="48">
        <v>9382.09</v>
      </c>
      <c r="I52" s="48">
        <v>9429.58</v>
      </c>
      <c r="J52" s="48">
        <v>9491.2900000000009</v>
      </c>
      <c r="K52" s="48">
        <v>8693.16</v>
      </c>
      <c r="L52" s="48">
        <f t="shared" si="10"/>
        <v>93289.06</v>
      </c>
    </row>
    <row r="53" spans="1:12" s="48" customFormat="1" x14ac:dyDescent="0.25">
      <c r="A53" t="s">
        <v>296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f t="shared" si="10"/>
        <v>0</v>
      </c>
    </row>
    <row r="54" spans="1:12" s="48" customFormat="1" x14ac:dyDescent="0.25">
      <c r="A54" t="s">
        <v>371</v>
      </c>
      <c r="B54" s="48">
        <v>0</v>
      </c>
      <c r="C54" s="48">
        <v>2048</v>
      </c>
      <c r="D54" s="48">
        <v>0</v>
      </c>
      <c r="E54" s="48">
        <v>324.79000000000002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f t="shared" si="10"/>
        <v>2372.79</v>
      </c>
    </row>
    <row r="55" spans="1:12" s="48" customFormat="1" x14ac:dyDescent="0.25">
      <c r="A55" t="s">
        <v>372</v>
      </c>
      <c r="B55" s="48">
        <v>1140.8399999999999</v>
      </c>
      <c r="C55" s="48">
        <v>925.84</v>
      </c>
      <c r="D55" s="48">
        <v>0</v>
      </c>
      <c r="E55" s="48">
        <v>795.42</v>
      </c>
      <c r="F55" s="48">
        <v>345.42</v>
      </c>
      <c r="G55" s="48">
        <v>359.24</v>
      </c>
      <c r="H55" s="48">
        <v>809.24</v>
      </c>
      <c r="I55" s="48">
        <v>359.24</v>
      </c>
      <c r="J55" s="48">
        <v>359.24</v>
      </c>
      <c r="K55" s="48">
        <v>359.24</v>
      </c>
      <c r="L55" s="48">
        <f>SUM(B55:K55)</f>
        <v>5453.7199999999993</v>
      </c>
    </row>
    <row r="56" spans="1:12" s="48" customFormat="1" x14ac:dyDescent="0.25">
      <c r="A56" s="47" t="s">
        <v>335</v>
      </c>
      <c r="B56" s="50">
        <f t="shared" ref="B56:L56" si="11">SUM(B35:B55)</f>
        <v>42252.19</v>
      </c>
      <c r="C56" s="50">
        <f t="shared" si="11"/>
        <v>21778.43</v>
      </c>
      <c r="D56" s="50">
        <f t="shared" si="11"/>
        <v>40785.010000000009</v>
      </c>
      <c r="E56" s="50">
        <f t="shared" si="11"/>
        <v>28457.43</v>
      </c>
      <c r="F56" s="50">
        <f>SUM(F35:F55)</f>
        <v>23283.91</v>
      </c>
      <c r="G56" s="50">
        <f t="shared" ref="G56:J56" si="12">SUM(G35:G55)</f>
        <v>18206.140000000003</v>
      </c>
      <c r="H56" s="50">
        <f t="shared" si="12"/>
        <v>17827.490000000002</v>
      </c>
      <c r="I56" s="50">
        <f t="shared" si="12"/>
        <v>16741.75</v>
      </c>
      <c r="J56" s="50">
        <f t="shared" si="12"/>
        <v>16938.330000000002</v>
      </c>
      <c r="K56" s="50">
        <f t="shared" si="11"/>
        <v>23414.87</v>
      </c>
      <c r="L56" s="50">
        <f t="shared" si="11"/>
        <v>249685.55000000005</v>
      </c>
    </row>
    <row r="58" spans="1:12" s="48" customFormat="1" x14ac:dyDescent="0.25">
      <c r="A58" s="47" t="s">
        <v>294</v>
      </c>
    </row>
    <row r="59" spans="1:12" s="48" customFormat="1" x14ac:dyDescent="0.25">
      <c r="A59" t="s">
        <v>252</v>
      </c>
      <c r="B59" s="48">
        <v>312.36</v>
      </c>
      <c r="C59" s="48">
        <v>716.18</v>
      </c>
      <c r="D59" s="48">
        <v>449.5</v>
      </c>
      <c r="E59" s="48">
        <v>269.7</v>
      </c>
      <c r="F59" s="48">
        <v>285.98</v>
      </c>
      <c r="G59" s="48">
        <v>195.44</v>
      </c>
      <c r="H59" s="48">
        <v>201.76</v>
      </c>
      <c r="I59" s="48">
        <v>295.45999999999998</v>
      </c>
      <c r="J59" s="48">
        <v>200.18</v>
      </c>
      <c r="K59" s="48">
        <v>206.5</v>
      </c>
      <c r="L59" s="48">
        <f>SUM(B59:K59)</f>
        <v>3133.06</v>
      </c>
    </row>
    <row r="60" spans="1:12" s="48" customFormat="1" ht="14.25" customHeight="1" x14ac:dyDescent="0.25">
      <c r="A60" t="s">
        <v>253</v>
      </c>
      <c r="B60" s="48">
        <v>695.17</v>
      </c>
      <c r="C60" s="48">
        <v>459.08</v>
      </c>
      <c r="D60" s="48">
        <v>395.17</v>
      </c>
      <c r="E60" s="48">
        <v>502.1</v>
      </c>
      <c r="F60" s="48">
        <v>-70.98</v>
      </c>
      <c r="G60" s="48">
        <v>481.53</v>
      </c>
      <c r="H60" s="48">
        <v>-592.38</v>
      </c>
      <c r="I60" s="48">
        <v>238</v>
      </c>
      <c r="J60" s="48">
        <v>220.43</v>
      </c>
      <c r="K60" s="48">
        <v>210.76</v>
      </c>
      <c r="L60" s="48">
        <f t="shared" ref="L60:L69" si="13">SUM(B60:K60)</f>
        <v>2538.8799999999992</v>
      </c>
    </row>
    <row r="61" spans="1:12" s="48" customFormat="1" ht="14.25" customHeight="1" x14ac:dyDescent="0.25">
      <c r="A61" t="s">
        <v>365</v>
      </c>
      <c r="B61" s="48">
        <v>485.42</v>
      </c>
      <c r="C61" s="48">
        <v>636.49</v>
      </c>
      <c r="D61" s="48">
        <v>407.96</v>
      </c>
      <c r="E61" s="48">
        <v>543.39</v>
      </c>
      <c r="F61" s="48">
        <v>372.65</v>
      </c>
      <c r="G61" s="48">
        <v>279.72000000000003</v>
      </c>
      <c r="H61" s="48">
        <v>177.55</v>
      </c>
      <c r="I61" s="48">
        <v>395.46</v>
      </c>
      <c r="J61" s="48">
        <v>197.06</v>
      </c>
      <c r="K61" s="48">
        <v>389.43</v>
      </c>
      <c r="L61" s="48">
        <f t="shared" si="13"/>
        <v>3885.13</v>
      </c>
    </row>
    <row r="62" spans="1:12" s="48" customFormat="1" x14ac:dyDescent="0.25">
      <c r="A62" t="s">
        <v>295</v>
      </c>
      <c r="B62" s="48">
        <v>0</v>
      </c>
      <c r="C62" s="48">
        <v>200</v>
      </c>
      <c r="D62" s="48">
        <v>250</v>
      </c>
      <c r="E62" s="48">
        <v>300</v>
      </c>
      <c r="F62" s="48">
        <v>850</v>
      </c>
      <c r="G62" s="48">
        <v>0</v>
      </c>
      <c r="H62" s="48">
        <v>1000</v>
      </c>
      <c r="I62" s="48">
        <v>0</v>
      </c>
      <c r="J62" s="48">
        <v>0</v>
      </c>
      <c r="K62" s="48">
        <v>0</v>
      </c>
      <c r="L62" s="48">
        <f t="shared" si="13"/>
        <v>2600</v>
      </c>
    </row>
    <row r="63" spans="1:12" s="48" customFormat="1" x14ac:dyDescent="0.25">
      <c r="A63" t="s">
        <v>307</v>
      </c>
      <c r="B63" s="48">
        <v>265.62</v>
      </c>
      <c r="C63" s="48">
        <v>265.62</v>
      </c>
      <c r="D63" s="48">
        <v>0</v>
      </c>
      <c r="E63" s="48">
        <v>132.81</v>
      </c>
      <c r="F63" s="48">
        <v>132.81</v>
      </c>
      <c r="G63" s="48">
        <v>132.81</v>
      </c>
      <c r="H63" s="48">
        <v>132.81</v>
      </c>
      <c r="I63" s="48">
        <v>132.81</v>
      </c>
      <c r="J63" s="48">
        <v>132.81</v>
      </c>
      <c r="K63" s="48">
        <v>132.81</v>
      </c>
      <c r="L63" s="48">
        <f t="shared" si="13"/>
        <v>1460.9099999999996</v>
      </c>
    </row>
    <row r="64" spans="1:12" s="48" customFormat="1" x14ac:dyDescent="0.25">
      <c r="A64" t="s">
        <v>373</v>
      </c>
      <c r="B64" s="48">
        <v>0</v>
      </c>
      <c r="C64" s="48">
        <v>7242.01</v>
      </c>
      <c r="D64" s="48">
        <v>0</v>
      </c>
      <c r="E64" s="48">
        <v>3087.89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f t="shared" si="13"/>
        <v>10329.9</v>
      </c>
    </row>
    <row r="65" spans="1:14" s="48" customFormat="1" x14ac:dyDescent="0.25">
      <c r="A65" t="s">
        <v>254</v>
      </c>
      <c r="B65" s="48">
        <v>792.59</v>
      </c>
      <c r="C65" s="48">
        <v>18.940000000000001</v>
      </c>
      <c r="D65" s="48">
        <v>0</v>
      </c>
      <c r="E65" s="48">
        <v>164.03</v>
      </c>
      <c r="F65" s="48">
        <v>0</v>
      </c>
      <c r="G65" s="48">
        <v>0</v>
      </c>
      <c r="H65" s="48">
        <v>0</v>
      </c>
      <c r="I65" s="48">
        <v>12.74</v>
      </c>
      <c r="J65" s="48">
        <v>79.900000000000006</v>
      </c>
      <c r="K65" s="48">
        <v>0</v>
      </c>
      <c r="L65" s="48">
        <f t="shared" si="13"/>
        <v>1068.2</v>
      </c>
    </row>
    <row r="66" spans="1:14" s="48" customFormat="1" x14ac:dyDescent="0.25">
      <c r="A66" t="s">
        <v>362</v>
      </c>
      <c r="B66" s="48">
        <v>550</v>
      </c>
      <c r="C66" s="48">
        <v>550</v>
      </c>
      <c r="D66" s="48">
        <v>550</v>
      </c>
      <c r="E66" s="48">
        <v>550</v>
      </c>
      <c r="F66" s="48">
        <v>550</v>
      </c>
      <c r="G66" s="48">
        <v>375</v>
      </c>
      <c r="H66" s="48">
        <v>375</v>
      </c>
      <c r="I66" s="48">
        <v>375</v>
      </c>
      <c r="J66" s="48">
        <v>375</v>
      </c>
      <c r="K66" s="48">
        <v>375</v>
      </c>
      <c r="L66" s="48">
        <f t="shared" si="13"/>
        <v>4625</v>
      </c>
    </row>
    <row r="67" spans="1:14" s="48" customFormat="1" x14ac:dyDescent="0.25">
      <c r="A67" t="s">
        <v>363</v>
      </c>
      <c r="B67" s="48">
        <v>1500</v>
      </c>
      <c r="C67" s="48">
        <v>1500</v>
      </c>
      <c r="D67" s="48">
        <v>1500</v>
      </c>
      <c r="E67" s="48">
        <v>1500</v>
      </c>
      <c r="F67" s="48">
        <v>1500</v>
      </c>
      <c r="G67" s="48">
        <v>1500</v>
      </c>
      <c r="H67" s="48">
        <v>1500</v>
      </c>
      <c r="I67" s="48">
        <v>1500</v>
      </c>
      <c r="J67" s="48">
        <v>1500</v>
      </c>
      <c r="K67" s="48">
        <v>1500</v>
      </c>
      <c r="L67" s="48">
        <f t="shared" si="13"/>
        <v>15000</v>
      </c>
    </row>
    <row r="68" spans="1:14" s="48" customFormat="1" x14ac:dyDescent="0.25">
      <c r="A68" t="s">
        <v>364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f t="shared" si="13"/>
        <v>0</v>
      </c>
    </row>
    <row r="69" spans="1:14" s="48" customFormat="1" x14ac:dyDescent="0.25">
      <c r="A69" t="s">
        <v>257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642</v>
      </c>
      <c r="H69" s="48">
        <v>0</v>
      </c>
      <c r="I69" s="48">
        <v>0</v>
      </c>
      <c r="J69" s="48">
        <v>0</v>
      </c>
      <c r="K69" s="48">
        <v>0</v>
      </c>
      <c r="L69" s="48">
        <f t="shared" si="13"/>
        <v>642</v>
      </c>
    </row>
    <row r="70" spans="1:14" s="48" customFormat="1" x14ac:dyDescent="0.25">
      <c r="A70" s="47" t="s">
        <v>297</v>
      </c>
      <c r="B70" s="50">
        <f>SUM(B59:B69)</f>
        <v>4601.16</v>
      </c>
      <c r="C70" s="50">
        <f t="shared" ref="C70:L70" si="14">SUM(C59:C69)</f>
        <v>11588.320000000002</v>
      </c>
      <c r="D70" s="50">
        <f t="shared" si="14"/>
        <v>3552.63</v>
      </c>
      <c r="E70" s="50">
        <f t="shared" si="14"/>
        <v>7049.9199999999992</v>
      </c>
      <c r="F70" s="50">
        <f t="shared" ref="F70:K70" si="15">SUM(F59:F69)</f>
        <v>3620.46</v>
      </c>
      <c r="G70" s="50">
        <f t="shared" si="15"/>
        <v>3606.5</v>
      </c>
      <c r="H70" s="50">
        <f t="shared" si="15"/>
        <v>2794.74</v>
      </c>
      <c r="I70" s="50">
        <f t="shared" si="15"/>
        <v>2949.4700000000003</v>
      </c>
      <c r="J70" s="50">
        <f t="shared" si="15"/>
        <v>2705.38</v>
      </c>
      <c r="K70" s="50">
        <f t="shared" si="15"/>
        <v>2814.5</v>
      </c>
      <c r="L70" s="50">
        <f t="shared" si="14"/>
        <v>45283.08</v>
      </c>
    </row>
    <row r="71" spans="1:14" s="48" customFormat="1" x14ac:dyDescent="0.25">
      <c r="A71" t="s">
        <v>246</v>
      </c>
    </row>
    <row r="72" spans="1:14" s="48" customFormat="1" ht="15.75" thickBot="1" x14ac:dyDescent="0.3">
      <c r="A72" s="47" t="s">
        <v>210</v>
      </c>
      <c r="B72" s="51">
        <f t="shared" ref="B72:L72" si="16">B32+B56+B70</f>
        <v>77318.710000000006</v>
      </c>
      <c r="C72" s="51">
        <f t="shared" si="16"/>
        <v>77611.460000000006</v>
      </c>
      <c r="D72" s="51">
        <f t="shared" si="16"/>
        <v>107646.59000000001</v>
      </c>
      <c r="E72" s="51">
        <f t="shared" si="16"/>
        <v>68995.680000000008</v>
      </c>
      <c r="F72" s="51">
        <f>F32+F56+F70</f>
        <v>54383.74</v>
      </c>
      <c r="G72" s="51">
        <f t="shared" ref="G72:J72" si="17">G32+G56+G70</f>
        <v>48908.31</v>
      </c>
      <c r="H72" s="51">
        <f t="shared" si="17"/>
        <v>44815.32</v>
      </c>
      <c r="I72" s="51">
        <f t="shared" si="17"/>
        <v>42978.26</v>
      </c>
      <c r="J72" s="51">
        <f t="shared" si="17"/>
        <v>44015.97</v>
      </c>
      <c r="K72" s="51">
        <f t="shared" si="16"/>
        <v>48200.81</v>
      </c>
      <c r="L72" s="51">
        <f t="shared" si="16"/>
        <v>614874.85</v>
      </c>
    </row>
    <row r="74" spans="1:14" s="48" customFormat="1" x14ac:dyDescent="0.25">
      <c r="A74" s="47" t="s">
        <v>298</v>
      </c>
      <c r="N74" s="48">
        <v>0</v>
      </c>
    </row>
    <row r="75" spans="1:14" s="48" customFormat="1" x14ac:dyDescent="0.25">
      <c r="A75" t="s">
        <v>367</v>
      </c>
      <c r="B75" s="48">
        <v>5000</v>
      </c>
      <c r="C75" s="48">
        <v>5000</v>
      </c>
      <c r="D75" s="48">
        <v>5000</v>
      </c>
      <c r="E75" s="48">
        <v>5000</v>
      </c>
      <c r="F75" s="48">
        <v>5000</v>
      </c>
      <c r="G75" s="48">
        <v>5000</v>
      </c>
      <c r="H75" s="48">
        <v>5000</v>
      </c>
      <c r="I75" s="48">
        <v>5000</v>
      </c>
      <c r="J75" s="48">
        <v>5000</v>
      </c>
      <c r="K75" s="48">
        <v>5000</v>
      </c>
      <c r="L75" s="48">
        <f>SUM(B75:K75)</f>
        <v>50000</v>
      </c>
    </row>
    <row r="76" spans="1:14" s="48" customFormat="1" x14ac:dyDescent="0.25">
      <c r="A76" t="s">
        <v>366</v>
      </c>
      <c r="B76" s="48">
        <v>1000</v>
      </c>
      <c r="C76" s="48">
        <v>1000</v>
      </c>
      <c r="D76" s="48">
        <v>1000</v>
      </c>
      <c r="E76" s="48">
        <v>1000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f>SUM(B76:K76)</f>
        <v>4000</v>
      </c>
    </row>
    <row r="77" spans="1:14" s="48" customFormat="1" x14ac:dyDescent="0.25">
      <c r="A77" t="s">
        <v>368</v>
      </c>
      <c r="B77" s="48">
        <v>1833.08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79.900000000000006</v>
      </c>
      <c r="K77" s="48">
        <v>0</v>
      </c>
      <c r="L77" s="48">
        <f>SUM(B77:K77)</f>
        <v>1912.98</v>
      </c>
    </row>
    <row r="78" spans="1:14" s="48" customFormat="1" x14ac:dyDescent="0.25">
      <c r="A78" t="s">
        <v>369</v>
      </c>
      <c r="B78" s="48">
        <v>-3691.03</v>
      </c>
      <c r="C78" s="48">
        <v>-3673.36</v>
      </c>
      <c r="D78" s="48">
        <v>-3655.63</v>
      </c>
      <c r="E78" s="48">
        <v>-3637.86</v>
      </c>
      <c r="F78" s="48">
        <v>-3620.04</v>
      </c>
      <c r="G78" s="48">
        <v>-3602.17</v>
      </c>
      <c r="H78" s="48">
        <v>-3584.24</v>
      </c>
      <c r="I78" s="48">
        <v>-3566.27</v>
      </c>
      <c r="J78" s="48">
        <v>-3548.25</v>
      </c>
      <c r="K78" s="48">
        <v>-3530.18</v>
      </c>
      <c r="L78" s="48">
        <f>SUM(B78:K78)</f>
        <v>-36109.03</v>
      </c>
    </row>
    <row r="79" spans="1:14" s="48" customFormat="1" x14ac:dyDescent="0.25">
      <c r="A79" t="s">
        <v>370</v>
      </c>
      <c r="B79" s="48">
        <v>-6058.71</v>
      </c>
      <c r="C79" s="48">
        <v>-6058.71</v>
      </c>
      <c r="D79" s="48">
        <v>-6058.71</v>
      </c>
      <c r="E79" s="48">
        <v>-6058.71</v>
      </c>
      <c r="F79" s="48">
        <v>-6058.71</v>
      </c>
      <c r="G79" s="48">
        <v>-6058.71</v>
      </c>
      <c r="H79" s="48">
        <v>-6058.71</v>
      </c>
      <c r="I79" s="48">
        <v>-6058.71</v>
      </c>
      <c r="J79" s="48">
        <v>-6058.71</v>
      </c>
      <c r="K79" s="48">
        <v>-6058.71</v>
      </c>
      <c r="L79" s="48">
        <f>SUM(B79:K79)</f>
        <v>-60587.1</v>
      </c>
    </row>
    <row r="80" spans="1:14" x14ac:dyDescent="0.25">
      <c r="A80" s="47" t="s">
        <v>300</v>
      </c>
      <c r="B80" s="50">
        <f t="shared" ref="B80:L80" si="18">SUM(B75:B79)</f>
        <v>-1916.6600000000008</v>
      </c>
      <c r="C80" s="50">
        <f t="shared" si="18"/>
        <v>-3732.07</v>
      </c>
      <c r="D80" s="50">
        <f t="shared" si="18"/>
        <v>-3714.34</v>
      </c>
      <c r="E80" s="50">
        <f t="shared" si="18"/>
        <v>-3696.57</v>
      </c>
      <c r="F80" s="50">
        <f>SUM(F75:F79)</f>
        <v>-4678.75</v>
      </c>
      <c r="G80" s="50">
        <f t="shared" ref="G80:J80" si="19">SUM(G75:G79)</f>
        <v>-4660.88</v>
      </c>
      <c r="H80" s="50">
        <f t="shared" si="19"/>
        <v>-4642.95</v>
      </c>
      <c r="I80" s="50">
        <f t="shared" si="19"/>
        <v>-4624.9799999999996</v>
      </c>
      <c r="J80" s="50">
        <f t="shared" si="19"/>
        <v>-4527.0600000000004</v>
      </c>
      <c r="K80" s="50">
        <f t="shared" si="18"/>
        <v>-4588.8899999999994</v>
      </c>
      <c r="L80" s="50">
        <f t="shared" si="18"/>
        <v>-40783.149999999994</v>
      </c>
    </row>
    <row r="82" spans="1:13" ht="15.75" thickBot="1" x14ac:dyDescent="0.3">
      <c r="A82" s="47" t="s">
        <v>301</v>
      </c>
      <c r="B82" s="52">
        <f t="shared" ref="B82:K82" si="20">B20-B72+B80</f>
        <v>63046.079999999973</v>
      </c>
      <c r="C82" s="52">
        <f t="shared" si="20"/>
        <v>50012.599999999969</v>
      </c>
      <c r="D82" s="52">
        <f t="shared" si="20"/>
        <v>13220.929999999989</v>
      </c>
      <c r="E82" s="52">
        <f t="shared" si="20"/>
        <v>4942.919999999991</v>
      </c>
      <c r="F82" s="52">
        <f>F20-F72+F80</f>
        <v>-30308.14</v>
      </c>
      <c r="G82" s="52">
        <f t="shared" ref="G82:J82" si="21">G20-G72+G80</f>
        <v>-40141.129999999997</v>
      </c>
      <c r="H82" s="52">
        <f t="shared" si="21"/>
        <v>-42423.27</v>
      </c>
      <c r="I82" s="52">
        <f t="shared" si="21"/>
        <v>-35256.51</v>
      </c>
      <c r="J82" s="52">
        <f t="shared" si="21"/>
        <v>-40246.03</v>
      </c>
      <c r="K82" s="52">
        <f t="shared" si="20"/>
        <v>-37502.379999999997</v>
      </c>
      <c r="L82" s="52">
        <f>L20-L72+L80</f>
        <v>-94654.929999999906</v>
      </c>
      <c r="M82"/>
    </row>
    <row r="83" spans="1:13" ht="15.75" thickTop="1" x14ac:dyDescent="0.25"/>
    <row r="84" spans="1:13" x14ac:dyDescent="0.25">
      <c r="B84" s="48">
        <v>63046.080000000002</v>
      </c>
      <c r="C84" s="48">
        <v>50012.6</v>
      </c>
      <c r="D84" s="48">
        <v>13220.93</v>
      </c>
      <c r="E84" s="48">
        <v>4942.92</v>
      </c>
      <c r="F84" s="48">
        <v>-30308.14</v>
      </c>
      <c r="G84" s="48">
        <v>-40141.129999999997</v>
      </c>
      <c r="H84" s="48">
        <v>-42423.27</v>
      </c>
      <c r="I84" s="48">
        <v>-35256.51</v>
      </c>
      <c r="J84" s="48">
        <v>-40246.03</v>
      </c>
      <c r="K84" s="48">
        <v>-37502.379999999997</v>
      </c>
      <c r="L84" s="48">
        <v>-94654.93</v>
      </c>
    </row>
    <row r="85" spans="1:13" x14ac:dyDescent="0.25">
      <c r="B85" s="48">
        <f t="shared" ref="B85:L85" si="22">B82-B84</f>
        <v>0</v>
      </c>
      <c r="C85" s="48">
        <f t="shared" si="22"/>
        <v>0</v>
      </c>
      <c r="D85" s="48">
        <f t="shared" si="22"/>
        <v>0</v>
      </c>
      <c r="E85" s="48">
        <f t="shared" si="22"/>
        <v>-9.0949470177292824E-12</v>
      </c>
      <c r="F85" s="48">
        <f t="shared" si="22"/>
        <v>0</v>
      </c>
      <c r="G85" s="48">
        <f t="shared" ref="G85:J85" si="23">G82-G84</f>
        <v>0</v>
      </c>
      <c r="H85" s="48">
        <f t="shared" si="23"/>
        <v>0</v>
      </c>
      <c r="I85" s="48">
        <f t="shared" si="23"/>
        <v>0</v>
      </c>
      <c r="J85" s="48">
        <f t="shared" si="23"/>
        <v>0</v>
      </c>
      <c r="K85" s="48">
        <f t="shared" si="22"/>
        <v>0</v>
      </c>
      <c r="L85" s="48">
        <f t="shared" si="22"/>
        <v>0</v>
      </c>
    </row>
  </sheetData>
  <mergeCells count="3">
    <mergeCell ref="A1:L1"/>
    <mergeCell ref="A2:L2"/>
    <mergeCell ref="A3:L3"/>
  </mergeCells>
  <pageMargins left="0.7" right="0.7" top="0.75" bottom="0.75" header="0.3" footer="0.3"/>
  <pageSetup scale="48" fitToHeight="0" orientation="portrait" r:id="rId1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M30"/>
  <sheetViews>
    <sheetView zoomScaleNormal="100" workbookViewId="0">
      <pane ySplit="6" topLeftCell="A7" activePane="bottomLeft" state="frozen"/>
      <selection activeCell="C20" sqref="C20"/>
      <selection pane="bottomLeft" activeCell="C20" sqref="C20"/>
    </sheetView>
  </sheetViews>
  <sheetFormatPr defaultRowHeight="15" x14ac:dyDescent="0.25"/>
  <cols>
    <col min="1" max="1" width="44.42578125" bestFit="1" customWidth="1"/>
    <col min="2" max="3" width="13" style="48" bestFit="1" customWidth="1"/>
    <col min="4" max="4" width="13.42578125" style="48" bestFit="1" customWidth="1"/>
    <col min="5" max="11" width="13" style="48" bestFit="1" customWidth="1"/>
    <col min="12" max="12" width="13.42578125" style="48" bestFit="1" customWidth="1"/>
    <col min="13" max="13" width="9.140625" style="48" customWidth="1"/>
    <col min="14" max="14" width="9.5703125" bestFit="1" customWidth="1"/>
    <col min="16" max="16" width="11.5703125" bestFit="1" customWidth="1"/>
  </cols>
  <sheetData>
    <row r="1" spans="1:12" x14ac:dyDescent="0.25">
      <c r="A1" s="218" t="s">
        <v>419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 x14ac:dyDescent="0.25">
      <c r="A2" s="218" t="s">
        <v>275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2" x14ac:dyDescent="0.25">
      <c r="A3" s="218">
        <v>2018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2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2" x14ac:dyDescent="0.25">
      <c r="B6" s="53" t="s">
        <v>302</v>
      </c>
      <c r="C6" s="53" t="s">
        <v>303</v>
      </c>
      <c r="D6" s="53" t="s">
        <v>304</v>
      </c>
      <c r="E6" s="53" t="s">
        <v>305</v>
      </c>
      <c r="F6" s="53" t="s">
        <v>381</v>
      </c>
      <c r="G6" s="53" t="s">
        <v>423</v>
      </c>
      <c r="H6" s="53" t="s">
        <v>443</v>
      </c>
      <c r="I6" s="53" t="s">
        <v>453</v>
      </c>
      <c r="J6" s="53" t="s">
        <v>467</v>
      </c>
      <c r="K6" s="53" t="s">
        <v>486</v>
      </c>
      <c r="L6" s="53" t="s">
        <v>207</v>
      </c>
    </row>
    <row r="8" spans="1:12" s="48" customFormat="1" x14ac:dyDescent="0.25">
      <c r="A8" s="47" t="s">
        <v>209</v>
      </c>
    </row>
    <row r="9" spans="1:12" s="48" customFormat="1" x14ac:dyDescent="0.25">
      <c r="A9" s="47" t="s">
        <v>289</v>
      </c>
    </row>
    <row r="10" spans="1:12" s="48" customFormat="1" x14ac:dyDescent="0.25">
      <c r="A10" t="s">
        <v>358</v>
      </c>
      <c r="B10" s="48">
        <v>0</v>
      </c>
      <c r="C10" s="48">
        <v>0</v>
      </c>
      <c r="D10" s="48">
        <v>0</v>
      </c>
      <c r="E10" s="48">
        <v>520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f>SUM(B10:K10)</f>
        <v>520</v>
      </c>
    </row>
    <row r="11" spans="1:12" s="48" customFormat="1" x14ac:dyDescent="0.25">
      <c r="A11" t="s">
        <v>293</v>
      </c>
      <c r="B11" s="48">
        <v>9251.27</v>
      </c>
      <c r="C11" s="48">
        <v>9251.27</v>
      </c>
      <c r="D11" s="48">
        <v>9251.27</v>
      </c>
      <c r="E11" s="48">
        <v>9251.27</v>
      </c>
      <c r="F11" s="48">
        <v>9251.27</v>
      </c>
      <c r="G11" s="48">
        <v>9251.27</v>
      </c>
      <c r="H11" s="48">
        <v>9251.27</v>
      </c>
      <c r="I11" s="48">
        <v>9251.27</v>
      </c>
      <c r="J11" s="48">
        <v>9251.27</v>
      </c>
      <c r="K11" s="48">
        <v>9251.27</v>
      </c>
      <c r="L11" s="48">
        <f>SUM(B11:K11)</f>
        <v>92512.700000000026</v>
      </c>
    </row>
    <row r="12" spans="1:12" s="48" customFormat="1" x14ac:dyDescent="0.25">
      <c r="A12" s="47" t="s">
        <v>335</v>
      </c>
      <c r="B12" s="50">
        <f t="shared" ref="B12:L12" si="0">SUM(B10:B11)</f>
        <v>9251.27</v>
      </c>
      <c r="C12" s="50">
        <f t="shared" si="0"/>
        <v>9251.27</v>
      </c>
      <c r="D12" s="50">
        <f t="shared" si="0"/>
        <v>9251.27</v>
      </c>
      <c r="E12" s="50">
        <f t="shared" si="0"/>
        <v>9771.27</v>
      </c>
      <c r="F12" s="50">
        <f>SUM(F10:F11)</f>
        <v>9251.27</v>
      </c>
      <c r="G12" s="50">
        <f>SUM(G10:G11)</f>
        <v>9251.27</v>
      </c>
      <c r="H12" s="50">
        <f t="shared" ref="H12:J12" si="1">SUM(H10:H11)</f>
        <v>9251.27</v>
      </c>
      <c r="I12" s="50">
        <f t="shared" si="1"/>
        <v>9251.27</v>
      </c>
      <c r="J12" s="50">
        <f t="shared" si="1"/>
        <v>9251.27</v>
      </c>
      <c r="K12" s="50">
        <f t="shared" si="0"/>
        <v>9251.27</v>
      </c>
      <c r="L12" s="50">
        <f t="shared" si="0"/>
        <v>93032.700000000026</v>
      </c>
    </row>
    <row r="14" spans="1:12" s="48" customFormat="1" x14ac:dyDescent="0.25">
      <c r="A14" s="47" t="s">
        <v>294</v>
      </c>
    </row>
    <row r="15" spans="1:12" s="48" customFormat="1" x14ac:dyDescent="0.25">
      <c r="A15" t="s">
        <v>362</v>
      </c>
      <c r="B15" s="48">
        <v>265</v>
      </c>
      <c r="C15" s="48">
        <v>265</v>
      </c>
      <c r="D15" s="48">
        <v>265</v>
      </c>
      <c r="E15" s="48">
        <v>265</v>
      </c>
      <c r="F15" s="48">
        <v>265</v>
      </c>
      <c r="G15" s="48">
        <v>265</v>
      </c>
      <c r="H15" s="48">
        <v>530</v>
      </c>
      <c r="I15" s="48">
        <v>265</v>
      </c>
      <c r="J15" s="48">
        <v>265</v>
      </c>
      <c r="K15" s="48">
        <v>265</v>
      </c>
      <c r="L15" s="48">
        <f>SUM(B15:K15)</f>
        <v>2915</v>
      </c>
    </row>
    <row r="16" spans="1:12" s="48" customFormat="1" x14ac:dyDescent="0.25">
      <c r="A16" s="47"/>
      <c r="B16" s="50">
        <f t="shared" ref="B16:L16" si="2">SUM(B15:B15)</f>
        <v>265</v>
      </c>
      <c r="C16" s="50">
        <f t="shared" si="2"/>
        <v>265</v>
      </c>
      <c r="D16" s="50">
        <f t="shared" si="2"/>
        <v>265</v>
      </c>
      <c r="E16" s="50">
        <f t="shared" si="2"/>
        <v>265</v>
      </c>
      <c r="F16" s="50">
        <f>SUM(F15:F15)</f>
        <v>265</v>
      </c>
      <c r="G16" s="50">
        <f>SUM(G15:G15)</f>
        <v>265</v>
      </c>
      <c r="H16" s="50">
        <f t="shared" ref="H16:J16" si="3">SUM(H15:H15)</f>
        <v>530</v>
      </c>
      <c r="I16" s="50">
        <f t="shared" si="3"/>
        <v>265</v>
      </c>
      <c r="J16" s="50">
        <f t="shared" si="3"/>
        <v>265</v>
      </c>
      <c r="K16" s="50">
        <f t="shared" si="2"/>
        <v>265</v>
      </c>
      <c r="L16" s="50">
        <f t="shared" si="2"/>
        <v>2915</v>
      </c>
    </row>
    <row r="17" spans="1:13" s="48" customFormat="1" x14ac:dyDescent="0.25">
      <c r="A17" t="s">
        <v>246</v>
      </c>
    </row>
    <row r="18" spans="1:13" s="48" customFormat="1" ht="15.75" thickBot="1" x14ac:dyDescent="0.3">
      <c r="A18" s="47" t="s">
        <v>210</v>
      </c>
      <c r="B18" s="51">
        <f t="shared" ref="B18:L18" si="4">B12+B16</f>
        <v>9516.27</v>
      </c>
      <c r="C18" s="51">
        <f t="shared" si="4"/>
        <v>9516.27</v>
      </c>
      <c r="D18" s="51">
        <f t="shared" si="4"/>
        <v>9516.27</v>
      </c>
      <c r="E18" s="51">
        <f t="shared" si="4"/>
        <v>10036.27</v>
      </c>
      <c r="F18" s="51">
        <f>F12+F16</f>
        <v>9516.27</v>
      </c>
      <c r="G18" s="51">
        <f>G12+G16</f>
        <v>9516.27</v>
      </c>
      <c r="H18" s="51">
        <f t="shared" ref="H18:J18" si="5">H12+H16</f>
        <v>9781.27</v>
      </c>
      <c r="I18" s="51">
        <f t="shared" si="5"/>
        <v>9516.27</v>
      </c>
      <c r="J18" s="51">
        <f t="shared" si="5"/>
        <v>9516.27</v>
      </c>
      <c r="K18" s="51">
        <f t="shared" si="4"/>
        <v>9516.27</v>
      </c>
      <c r="L18" s="51">
        <f t="shared" si="4"/>
        <v>95947.700000000026</v>
      </c>
    </row>
    <row r="20" spans="1:13" s="48" customFormat="1" x14ac:dyDescent="0.25">
      <c r="A20" s="47" t="s">
        <v>298</v>
      </c>
    </row>
    <row r="21" spans="1:13" s="48" customFormat="1" x14ac:dyDescent="0.25">
      <c r="A21" t="s">
        <v>367</v>
      </c>
      <c r="B21" s="48">
        <v>16700</v>
      </c>
      <c r="C21" s="48">
        <v>16700</v>
      </c>
      <c r="D21" s="48">
        <v>16700</v>
      </c>
      <c r="E21" s="48">
        <v>16700</v>
      </c>
      <c r="F21" s="48">
        <v>16700</v>
      </c>
      <c r="G21" s="48">
        <v>16700</v>
      </c>
      <c r="H21" s="48">
        <v>16700</v>
      </c>
      <c r="I21" s="48">
        <v>16700</v>
      </c>
      <c r="J21" s="48">
        <v>16700</v>
      </c>
      <c r="K21" s="48">
        <v>16700</v>
      </c>
      <c r="L21" s="48">
        <f t="shared" ref="L21:L26" si="6">SUM(B21:K21)</f>
        <v>167000</v>
      </c>
    </row>
    <row r="22" spans="1:13" s="48" customFormat="1" x14ac:dyDescent="0.25">
      <c r="A22" t="s">
        <v>410</v>
      </c>
      <c r="B22" s="48">
        <v>1000</v>
      </c>
      <c r="C22" s="48">
        <v>1000</v>
      </c>
      <c r="D22" s="48">
        <v>1000</v>
      </c>
      <c r="E22" s="48">
        <v>1000</v>
      </c>
      <c r="F22" s="48">
        <v>1000</v>
      </c>
      <c r="G22" s="48">
        <v>1000</v>
      </c>
      <c r="H22" s="48">
        <v>1000</v>
      </c>
      <c r="I22" s="48">
        <v>1000</v>
      </c>
      <c r="J22" s="48">
        <v>1000</v>
      </c>
      <c r="K22" s="48">
        <v>1000</v>
      </c>
      <c r="L22" s="48">
        <f t="shared" si="6"/>
        <v>10000</v>
      </c>
    </row>
    <row r="23" spans="1:13" s="48" customFormat="1" x14ac:dyDescent="0.25">
      <c r="A23" t="s">
        <v>484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45000</v>
      </c>
      <c r="K23" s="48">
        <v>5000</v>
      </c>
      <c r="L23" s="48">
        <f t="shared" si="6"/>
        <v>50000</v>
      </c>
    </row>
    <row r="24" spans="1:13" s="48" customFormat="1" x14ac:dyDescent="0.25">
      <c r="A24" t="s">
        <v>368</v>
      </c>
      <c r="B24" s="48">
        <v>1.01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f t="shared" si="6"/>
        <v>1.01</v>
      </c>
    </row>
    <row r="25" spans="1:13" s="48" customFormat="1" x14ac:dyDescent="0.25">
      <c r="A25" t="s">
        <v>271</v>
      </c>
      <c r="B25" s="48">
        <v>3691.03</v>
      </c>
      <c r="C25" s="48">
        <v>3673.36</v>
      </c>
      <c r="D25" s="48">
        <v>3655.63</v>
      </c>
      <c r="E25" s="48">
        <v>3637.86</v>
      </c>
      <c r="F25" s="48">
        <v>3620.04</v>
      </c>
      <c r="G25" s="48">
        <v>3602.17</v>
      </c>
      <c r="H25" s="48">
        <v>3584.24</v>
      </c>
      <c r="I25" s="48">
        <v>3566.27</v>
      </c>
      <c r="J25" s="48">
        <v>3548.25</v>
      </c>
      <c r="K25" s="48">
        <v>3669.07</v>
      </c>
      <c r="L25" s="48">
        <f t="shared" si="6"/>
        <v>36247.920000000006</v>
      </c>
    </row>
    <row r="26" spans="1:13" s="48" customFormat="1" x14ac:dyDescent="0.25">
      <c r="A26" t="s">
        <v>272</v>
      </c>
      <c r="B26" s="48">
        <v>-860.93</v>
      </c>
      <c r="C26" s="48">
        <v>-860.93</v>
      </c>
      <c r="D26" s="48">
        <v>-860.93</v>
      </c>
      <c r="E26" s="48">
        <v>-860.93</v>
      </c>
      <c r="F26" s="48">
        <v>-860.93</v>
      </c>
      <c r="G26" s="48">
        <v>-860.93</v>
      </c>
      <c r="H26" s="48">
        <v>-860.93</v>
      </c>
      <c r="I26" s="48">
        <v>-860.93</v>
      </c>
      <c r="J26" s="48">
        <v>-860.93</v>
      </c>
      <c r="K26" s="48">
        <v>-860.93</v>
      </c>
      <c r="L26" s="48">
        <f t="shared" si="6"/>
        <v>-8609.3000000000011</v>
      </c>
    </row>
    <row r="27" spans="1:13" s="48" customFormat="1" x14ac:dyDescent="0.25">
      <c r="A27" s="47" t="s">
        <v>300</v>
      </c>
      <c r="B27" s="50">
        <f t="shared" ref="B27:K27" si="7">SUM(B21:B26)</f>
        <v>20531.109999999997</v>
      </c>
      <c r="C27" s="50">
        <f t="shared" si="7"/>
        <v>20512.43</v>
      </c>
      <c r="D27" s="50">
        <f t="shared" si="7"/>
        <v>20494.7</v>
      </c>
      <c r="E27" s="50">
        <f t="shared" si="7"/>
        <v>20476.93</v>
      </c>
      <c r="F27" s="50">
        <f>SUM(F21:F26)</f>
        <v>20459.11</v>
      </c>
      <c r="G27" s="50">
        <f>SUM(G21:G26)</f>
        <v>20441.239999999998</v>
      </c>
      <c r="H27" s="50">
        <f t="shared" ref="H27:J27" si="8">SUM(H21:H26)</f>
        <v>20423.309999999998</v>
      </c>
      <c r="I27" s="50">
        <f t="shared" si="8"/>
        <v>20405.34</v>
      </c>
      <c r="J27" s="50">
        <f t="shared" si="8"/>
        <v>65387.32</v>
      </c>
      <c r="K27" s="50">
        <f t="shared" si="7"/>
        <v>25508.14</v>
      </c>
      <c r="L27" s="50">
        <f>SUM(L21:L26)</f>
        <v>254639.63</v>
      </c>
    </row>
    <row r="29" spans="1:13" ht="15.75" thickBot="1" x14ac:dyDescent="0.3">
      <c r="A29" s="47" t="s">
        <v>301</v>
      </c>
      <c r="B29" s="52">
        <f>B27-B18</f>
        <v>11014.839999999997</v>
      </c>
      <c r="C29" s="52">
        <f t="shared" ref="C29:K29" si="9">C27-C18</f>
        <v>10996.16</v>
      </c>
      <c r="D29" s="52">
        <f t="shared" si="9"/>
        <v>10978.43</v>
      </c>
      <c r="E29" s="52">
        <f t="shared" si="9"/>
        <v>10440.66</v>
      </c>
      <c r="F29" s="52">
        <f>F27-F18</f>
        <v>10942.84</v>
      </c>
      <c r="G29" s="52">
        <f>G27-G18</f>
        <v>10924.969999999998</v>
      </c>
      <c r="H29" s="52">
        <f t="shared" ref="H29:J29" si="10">H27-H18</f>
        <v>10642.039999999997</v>
      </c>
      <c r="I29" s="52">
        <f t="shared" si="10"/>
        <v>10889.07</v>
      </c>
      <c r="J29" s="52">
        <f t="shared" si="10"/>
        <v>55871.05</v>
      </c>
      <c r="K29" s="52">
        <f t="shared" si="9"/>
        <v>15991.869999999999</v>
      </c>
      <c r="L29" s="52">
        <f>L27-L18</f>
        <v>158691.93</v>
      </c>
      <c r="M29"/>
    </row>
    <row r="30" spans="1:13" ht="15.75" thickTop="1" x14ac:dyDescent="0.25"/>
  </sheetData>
  <mergeCells count="3">
    <mergeCell ref="A1:L1"/>
    <mergeCell ref="A2:L2"/>
    <mergeCell ref="A3:L3"/>
  </mergeCells>
  <pageMargins left="0.7" right="0.7" top="0.75" bottom="0.75" header="0.3" footer="0.3"/>
  <pageSetup scale="48" fitToHeight="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Summary YTD 10.31.18 (condensd)</vt:lpstr>
      <vt:lpstr>Summary YTD 10.31.18</vt:lpstr>
      <vt:lpstr>Comp Summary YTD 2018-2017 Oct</vt:lpstr>
      <vt:lpstr>Comp YTD 2018-2017 Oct</vt:lpstr>
      <vt:lpstr>DEP</vt:lpstr>
      <vt:lpstr>BPM</vt:lpstr>
      <vt:lpstr>Lending</vt:lpstr>
      <vt:lpstr>BSC (Dome)</vt:lpstr>
      <vt:lpstr>Oliari Co.</vt:lpstr>
      <vt:lpstr>722 Bedford St</vt:lpstr>
      <vt:lpstr>CNT</vt:lpstr>
      <vt:lpstr>'722 Bedford St'!Print_Area</vt:lpstr>
      <vt:lpstr>'BSC (Dome)'!Print_Area</vt:lpstr>
      <vt:lpstr>CNT!Print_Area</vt:lpstr>
      <vt:lpstr>'Comp Summary YTD 2018-2017 Oct'!Print_Area</vt:lpstr>
      <vt:lpstr>'Comp YTD 2018-2017 Oct'!Print_Area</vt:lpstr>
      <vt:lpstr>DEP!Print_Area</vt:lpstr>
      <vt:lpstr>'Oliari Co.'!Print_Area</vt:lpstr>
      <vt:lpstr>'Summary YTD 10.31.18'!Print_Area</vt:lpstr>
      <vt:lpstr>'Summary YTD 10.31.18 (condensd)'!Print_Area</vt:lpstr>
      <vt:lpstr>CNT!Print_Titles</vt:lpstr>
      <vt:lpstr>'Comp Summary YTD 2018-2017 Oct'!Print_Titles</vt:lpstr>
      <vt:lpstr>'Comp YTD 2018-2017 Oct'!Print_Titles</vt:lpstr>
      <vt:lpstr>'Summary YTD 10.31.18'!Print_Titles</vt:lpstr>
      <vt:lpstr>'Summary YTD 10.31.18 (condensd)'!Print_Titles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Pezza</dc:creator>
  <cp:lastModifiedBy>Tessa Neil</cp:lastModifiedBy>
  <cp:lastPrinted>2018-11-19T20:24:09Z</cp:lastPrinted>
  <dcterms:created xsi:type="dcterms:W3CDTF">2018-05-13T15:03:39Z</dcterms:created>
  <dcterms:modified xsi:type="dcterms:W3CDTF">2018-11-19T21:07:25Z</dcterms:modified>
</cp:coreProperties>
</file>