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44B3453F-B7C9-4947-B88A-A1412E5C13FC}" xr6:coauthVersionLast="36" xr6:coauthVersionMax="36" xr10:uidLastSave="{00000000-0000-0000-0000-000000000000}"/>
  <bookViews>
    <workbookView xWindow="0" yWindow="0" windowWidth="19200" windowHeight="7620" tabRatio="727" xr2:uid="{B5677E00-C93E-46D9-A581-8329D76220FA}"/>
  </bookViews>
  <sheets>
    <sheet name="Summary YTD 05.31.18 (condensd)" sheetId="16" r:id="rId1"/>
    <sheet name="Summary YTD 05.31.18" sheetId="11" r:id="rId2"/>
    <sheet name="Comp Summary YTD 2018-2017 May" sheetId="15" r:id="rId3"/>
    <sheet name="Comparative YTD 2018-2017 May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Sheet1" sheetId="9" r:id="rId11"/>
    <sheet name="CNT (G.P. by Metal)" sheetId="3" r:id="rId12"/>
    <sheet name="CNT (from FS Analysis)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9">'722 Bedford St'!$A$1:$G$29</definedName>
    <definedName name="_xlnm.Print_Area" localSheetId="7">'BSC (Dome)'!$A$1:$G$82</definedName>
    <definedName name="_xlnm.Print_Area" localSheetId="12">'CNT (from FS Analysis)'!$A$1:$N$262</definedName>
    <definedName name="_xlnm.Print_Area" localSheetId="11">'CNT (G.P. by Metal)'!$A$186:$A$256</definedName>
    <definedName name="_xlnm.Print_Area" localSheetId="2">'Comp Summary YTD 2018-2017 May'!$A$9:$AE$37</definedName>
    <definedName name="_xlnm.Print_Area" localSheetId="3">'Comparative YTD 2018-2017 May'!$A$5:$AF$113</definedName>
    <definedName name="_xlnm.Print_Area" localSheetId="8">'Oliari Co.'!$A$1:$G$28</definedName>
    <definedName name="_xlnm.Print_Area" localSheetId="1">'Summary YTD 05.31.18'!$A$1:$I$104</definedName>
    <definedName name="_xlnm.Print_Area" localSheetId="0">'Summary YTD 05.31.18 (condensd)'!$A$1:$I$63</definedName>
    <definedName name="_xlnm.Print_Titles" localSheetId="12">'CNT (from FS Analysis)'!$A:$A,'CNT (from FS Analysis)'!$1:$3</definedName>
    <definedName name="_xlnm.Print_Titles" localSheetId="2">'Comp Summary YTD 2018-2017 May'!$9:$18</definedName>
    <definedName name="_xlnm.Print_Titles" localSheetId="3">'Comparative YTD 2018-2017 May'!$5:$14</definedName>
    <definedName name="_xlnm.Print_Titles" localSheetId="1">'Summary YTD 05.31.18'!$1:$6</definedName>
    <definedName name="_xlnm.Print_Titles" localSheetId="0">'Summary YTD 05.31.18 (condensd)'!$1:$6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6" l="1"/>
  <c r="H66" i="16" l="1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Q35" i="15"/>
  <c r="Q24" i="15"/>
  <c r="Q25" i="15" s="1"/>
  <c r="G16" i="17"/>
  <c r="H79" i="12" s="1"/>
  <c r="G49" i="12"/>
  <c r="G30" i="15" s="1"/>
  <c r="G33" i="12"/>
  <c r="G24" i="15" s="1"/>
  <c r="G25" i="15" s="1"/>
  <c r="G9" i="16" s="1"/>
  <c r="G23" i="12"/>
  <c r="G35" i="12" s="1"/>
  <c r="T116" i="12"/>
  <c r="R107" i="12"/>
  <c r="R101" i="12"/>
  <c r="R111" i="12" s="1"/>
  <c r="R82" i="12"/>
  <c r="R96" i="12" s="1"/>
  <c r="Q32" i="15" s="1"/>
  <c r="R74" i="12"/>
  <c r="Q31" i="15" s="1"/>
  <c r="Q33" i="15" s="1"/>
  <c r="R49" i="12"/>
  <c r="Q30" i="15" s="1"/>
  <c r="R33" i="12"/>
  <c r="R23" i="12"/>
  <c r="R35" i="12" s="1"/>
  <c r="G11" i="17"/>
  <c r="H67" i="12" s="1"/>
  <c r="G23" i="17"/>
  <c r="G24" i="17"/>
  <c r="G25" i="17"/>
  <c r="G26" i="17"/>
  <c r="G22" i="17"/>
  <c r="G10" i="17"/>
  <c r="H55" i="11" s="1"/>
  <c r="C17" i="17"/>
  <c r="D17" i="17"/>
  <c r="E17" i="17"/>
  <c r="F17" i="17"/>
  <c r="B17" i="17"/>
  <c r="F27" i="17"/>
  <c r="E27" i="17"/>
  <c r="D27" i="17"/>
  <c r="C27" i="17"/>
  <c r="B27" i="17"/>
  <c r="F12" i="17"/>
  <c r="E12" i="17"/>
  <c r="E19" i="17" s="1"/>
  <c r="D12" i="17"/>
  <c r="C12" i="17"/>
  <c r="B12" i="17"/>
  <c r="H70" i="11" l="1"/>
  <c r="G20" i="15"/>
  <c r="G21" i="15" s="1"/>
  <c r="G7" i="16" s="1"/>
  <c r="G11" i="16" s="1"/>
  <c r="H69" i="12"/>
  <c r="G27" i="11"/>
  <c r="H60" i="11"/>
  <c r="Q20" i="15"/>
  <c r="Q21" i="15" s="1"/>
  <c r="Q27" i="15" s="1"/>
  <c r="Q37" i="15" s="1"/>
  <c r="Q41" i="15" s="1"/>
  <c r="G19" i="16"/>
  <c r="G27" i="15"/>
  <c r="G17" i="17"/>
  <c r="T101" i="12"/>
  <c r="R98" i="12"/>
  <c r="R113" i="12" s="1"/>
  <c r="R117" i="12" s="1"/>
  <c r="G27" i="17"/>
  <c r="C19" i="17"/>
  <c r="C29" i="17" s="1"/>
  <c r="D19" i="17"/>
  <c r="D29" i="17" s="1"/>
  <c r="F19" i="17"/>
  <c r="F29" i="17" s="1"/>
  <c r="B19" i="17"/>
  <c r="B29" i="17" s="1"/>
  <c r="G12" i="17"/>
  <c r="E29" i="17"/>
  <c r="D60" i="16"/>
  <c r="E60" i="16"/>
  <c r="F60" i="16"/>
  <c r="B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F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C22" i="16"/>
  <c r="E22" i="16"/>
  <c r="C23" i="16"/>
  <c r="E23" i="16"/>
  <c r="C18" i="16"/>
  <c r="E18" i="16"/>
  <c r="C17" i="16"/>
  <c r="E17" i="16"/>
  <c r="C16" i="16"/>
  <c r="E16" i="16"/>
  <c r="H18" i="16"/>
  <c r="I66" i="16"/>
  <c r="I62" i="16"/>
  <c r="I52" i="16"/>
  <c r="H48" i="16"/>
  <c r="I38" i="16"/>
  <c r="I37" i="16"/>
  <c r="S40" i="15"/>
  <c r="I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I107" i="11"/>
  <c r="H31" i="16"/>
  <c r="H28" i="16"/>
  <c r="H47" i="16"/>
  <c r="H44" i="16"/>
  <c r="H42" i="16"/>
  <c r="H40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6" i="14"/>
  <c r="F26" i="14"/>
  <c r="E26" i="14"/>
  <c r="D26" i="14"/>
  <c r="C26" i="14"/>
  <c r="G24" i="14"/>
  <c r="G23" i="14"/>
  <c r="G22" i="14"/>
  <c r="G21" i="14"/>
  <c r="F16" i="14"/>
  <c r="E16" i="14"/>
  <c r="D16" i="14"/>
  <c r="C16" i="14"/>
  <c r="B16" i="14"/>
  <c r="G15" i="14"/>
  <c r="G11" i="14"/>
  <c r="G10" i="14"/>
  <c r="F12" i="14"/>
  <c r="E12" i="14"/>
  <c r="C12" i="14"/>
  <c r="B12" i="14"/>
  <c r="S111" i="12"/>
  <c r="R35" i="15" s="1"/>
  <c r="Q107" i="12"/>
  <c r="Q111" i="12" s="1"/>
  <c r="P35" i="15" s="1"/>
  <c r="Q87" i="12"/>
  <c r="Q81" i="12"/>
  <c r="Q58" i="12"/>
  <c r="Q74" i="12" s="1"/>
  <c r="P31" i="15" s="1"/>
  <c r="Q40" i="12"/>
  <c r="Q49" i="12" s="1"/>
  <c r="Q33" i="12"/>
  <c r="P24" i="15" s="1"/>
  <c r="P25" i="15" s="1"/>
  <c r="Q23" i="12"/>
  <c r="P20" i="15" s="1"/>
  <c r="P21" i="15" s="1"/>
  <c r="H49" i="12"/>
  <c r="H30" i="15" s="1"/>
  <c r="G73" i="11" l="1"/>
  <c r="G82" i="12"/>
  <c r="G96" i="12" s="1"/>
  <c r="G32" i="15" s="1"/>
  <c r="G99" i="11"/>
  <c r="G57" i="16" s="1"/>
  <c r="G108" i="12"/>
  <c r="G106" i="12"/>
  <c r="G97" i="11"/>
  <c r="G69" i="12"/>
  <c r="G55" i="11"/>
  <c r="G101" i="12"/>
  <c r="G92" i="11"/>
  <c r="G60" i="11"/>
  <c r="G31" i="16" s="1"/>
  <c r="G67" i="12"/>
  <c r="G74" i="12" s="1"/>
  <c r="H27" i="11"/>
  <c r="H43" i="16"/>
  <c r="H51" i="16" s="1"/>
  <c r="H87" i="11"/>
  <c r="H102" i="11"/>
  <c r="G19" i="17"/>
  <c r="G29" i="17" s="1"/>
  <c r="Q35" i="12"/>
  <c r="Q96" i="12"/>
  <c r="P32" i="15" s="1"/>
  <c r="P30" i="15"/>
  <c r="P33" i="15" s="1"/>
  <c r="E36" i="16"/>
  <c r="E19" i="16"/>
  <c r="C19" i="16"/>
  <c r="H19" i="16"/>
  <c r="H61" i="16"/>
  <c r="H36" i="16"/>
  <c r="P27" i="15"/>
  <c r="H66" i="11"/>
  <c r="E18" i="14"/>
  <c r="E28" i="14" s="1"/>
  <c r="F18" i="14"/>
  <c r="F28" i="14" s="1"/>
  <c r="C18" i="14"/>
  <c r="C28" i="14" s="1"/>
  <c r="G25" i="14"/>
  <c r="B18" i="14"/>
  <c r="B28" i="14" s="1"/>
  <c r="D12" i="14"/>
  <c r="D18" i="14" s="1"/>
  <c r="D28" i="14" s="1"/>
  <c r="G16" i="14"/>
  <c r="G12" i="14"/>
  <c r="G73" i="5"/>
  <c r="G56" i="16" l="1"/>
  <c r="G58" i="16"/>
  <c r="G26" i="14"/>
  <c r="G98" i="11"/>
  <c r="G59" i="16" s="1"/>
  <c r="G107" i="12"/>
  <c r="G111" i="12"/>
  <c r="G35" i="15" s="1"/>
  <c r="G98" i="12"/>
  <c r="G31" i="15"/>
  <c r="G33" i="15" s="1"/>
  <c r="G28" i="16"/>
  <c r="G36" i="16" s="1"/>
  <c r="G53" i="16" s="1"/>
  <c r="G66" i="11"/>
  <c r="G89" i="11" s="1"/>
  <c r="G43" i="16"/>
  <c r="G51" i="16" s="1"/>
  <c r="G87" i="11"/>
  <c r="Q98" i="12"/>
  <c r="Q113" i="12" s="1"/>
  <c r="Q117" i="12" s="1"/>
  <c r="P37" i="15"/>
  <c r="P41" i="15" s="1"/>
  <c r="H53" i="16"/>
  <c r="H89" i="11"/>
  <c r="H104" i="11" s="1"/>
  <c r="G18" i="14"/>
  <c r="G28" i="14" s="1"/>
  <c r="Z50" i="12"/>
  <c r="Z51" i="12"/>
  <c r="Z75" i="12"/>
  <c r="Z76" i="12"/>
  <c r="Z99" i="12"/>
  <c r="Z100" i="12"/>
  <c r="Z104" i="12"/>
  <c r="Z109" i="12"/>
  <c r="Z110" i="12"/>
  <c r="G37" i="15" l="1"/>
  <c r="G41" i="15" s="1"/>
  <c r="G102" i="11"/>
  <c r="G104" i="11"/>
  <c r="G108" i="11" s="1"/>
  <c r="G63" i="16"/>
  <c r="G67" i="16" s="1"/>
  <c r="G113" i="12"/>
  <c r="G117" i="12" s="1"/>
  <c r="G61" i="16"/>
  <c r="H108" i="11"/>
  <c r="I116" i="12"/>
  <c r="T103" i="12"/>
  <c r="Z103" i="12" s="1"/>
  <c r="D134" i="2"/>
  <c r="F134" i="2"/>
  <c r="T85" i="12"/>
  <c r="Z85" i="12" s="1"/>
  <c r="B100" i="11" l="1"/>
  <c r="I100" i="11" s="1"/>
  <c r="N131" i="2"/>
  <c r="E256" i="2"/>
  <c r="D256" i="2"/>
  <c r="C256" i="2"/>
  <c r="B256" i="2"/>
  <c r="D242" i="2"/>
  <c r="C242" i="2"/>
  <c r="B242" i="2"/>
  <c r="E213" i="2"/>
  <c r="F59" i="2"/>
  <c r="F19" i="2"/>
  <c r="N19" i="2" s="1"/>
  <c r="F256" i="2"/>
  <c r="N252" i="2"/>
  <c r="B109" i="12" s="1"/>
  <c r="I109" i="12" s="1"/>
  <c r="X109" i="12" s="1"/>
  <c r="N253" i="2"/>
  <c r="B110" i="12" s="1"/>
  <c r="I110" i="12" s="1"/>
  <c r="X110" i="12" s="1"/>
  <c r="N254" i="2"/>
  <c r="N255" i="2"/>
  <c r="G256" i="2"/>
  <c r="H256" i="2"/>
  <c r="I256" i="2"/>
  <c r="J256" i="2"/>
  <c r="K256" i="2"/>
  <c r="L256" i="2"/>
  <c r="M256" i="2"/>
  <c r="G242" i="2"/>
  <c r="H242" i="2"/>
  <c r="I242" i="2"/>
  <c r="J242" i="2"/>
  <c r="K242" i="2"/>
  <c r="L242" i="2"/>
  <c r="M242" i="2"/>
  <c r="F242" i="2"/>
  <c r="N247" i="2"/>
  <c r="B104" i="12" s="1"/>
  <c r="N241" i="2"/>
  <c r="N240" i="2"/>
  <c r="B69" i="12" s="1"/>
  <c r="N239" i="2"/>
  <c r="B85" i="12" s="1"/>
  <c r="I85" i="12" s="1"/>
  <c r="N238" i="2"/>
  <c r="B83" i="12" s="1"/>
  <c r="N237" i="2"/>
  <c r="B82" i="12" s="1"/>
  <c r="N236" i="2"/>
  <c r="B84" i="12" s="1"/>
  <c r="N212" i="2"/>
  <c r="F213" i="2"/>
  <c r="F194" i="2"/>
  <c r="F180" i="2"/>
  <c r="F5" i="2"/>
  <c r="B76" i="11" l="1"/>
  <c r="I76" i="11" s="1"/>
  <c r="B101" i="11"/>
  <c r="I101" i="11" s="1"/>
  <c r="B73" i="11"/>
  <c r="AB85" i="12"/>
  <c r="X85" i="12"/>
  <c r="B74" i="11"/>
  <c r="B55" i="11"/>
  <c r="B95" i="11"/>
  <c r="B75" i="11"/>
  <c r="B28" i="16" l="1"/>
  <c r="B43" i="16"/>
  <c r="T78" i="12"/>
  <c r="Z78" i="12" s="1"/>
  <c r="I78" i="12"/>
  <c r="X78" i="12" s="1"/>
  <c r="M46" i="12"/>
  <c r="M32" i="12"/>
  <c r="M30" i="12"/>
  <c r="M29" i="12"/>
  <c r="M28" i="12"/>
  <c r="M27" i="12"/>
  <c r="M26" i="12"/>
  <c r="M20" i="12"/>
  <c r="M19" i="12"/>
  <c r="M18" i="12"/>
  <c r="M17" i="12"/>
  <c r="M16" i="12"/>
  <c r="T16" i="12" s="1"/>
  <c r="M22" i="12"/>
  <c r="AD78" i="12" l="1"/>
  <c r="AF78" i="12" s="1"/>
  <c r="AB78" i="12"/>
  <c r="T69" i="12"/>
  <c r="Z69" i="12" s="1"/>
  <c r="O52" i="12"/>
  <c r="T86" i="12"/>
  <c r="Z86" i="12" s="1"/>
  <c r="D83" i="12"/>
  <c r="D64" i="11"/>
  <c r="G60" i="5"/>
  <c r="D69" i="12" s="1"/>
  <c r="F59" i="5"/>
  <c r="G59" i="5" s="1"/>
  <c r="D77" i="11" s="1"/>
  <c r="I77" i="11" s="1"/>
  <c r="G58" i="5"/>
  <c r="D74" i="11" s="1"/>
  <c r="G48" i="5"/>
  <c r="D72" i="12" s="1"/>
  <c r="F36" i="5"/>
  <c r="F35" i="5"/>
  <c r="G18" i="5"/>
  <c r="E69" i="5"/>
  <c r="E62" i="5"/>
  <c r="E50" i="5"/>
  <c r="E35" i="5"/>
  <c r="E32" i="5"/>
  <c r="E20" i="5"/>
  <c r="E15" i="5"/>
  <c r="E22" i="5" s="1"/>
  <c r="N29" i="12"/>
  <c r="N28" i="12"/>
  <c r="N26" i="12"/>
  <c r="N27" i="12"/>
  <c r="N32" i="12"/>
  <c r="N17" i="12"/>
  <c r="N22" i="12"/>
  <c r="C104" i="12"/>
  <c r="I104" i="12" s="1"/>
  <c r="E84" i="12"/>
  <c r="E107" i="12"/>
  <c r="C17" i="7"/>
  <c r="D17" i="7"/>
  <c r="E17" i="7"/>
  <c r="F17" i="7"/>
  <c r="B17" i="7"/>
  <c r="G15" i="7"/>
  <c r="E98" i="11" s="1"/>
  <c r="E59" i="16" s="1"/>
  <c r="E11" i="7"/>
  <c r="E19" i="7" s="1"/>
  <c r="C21" i="11"/>
  <c r="C74" i="11"/>
  <c r="C55" i="6"/>
  <c r="D55" i="6"/>
  <c r="E55" i="6"/>
  <c r="F55" i="6"/>
  <c r="B55" i="6"/>
  <c r="G53" i="6"/>
  <c r="C95" i="11" s="1"/>
  <c r="I95" i="11" s="1"/>
  <c r="G46" i="6"/>
  <c r="G47" i="6"/>
  <c r="C83" i="12" s="1"/>
  <c r="C27" i="6"/>
  <c r="G26" i="6"/>
  <c r="F27" i="6"/>
  <c r="F32" i="6" s="1"/>
  <c r="G25" i="6"/>
  <c r="G31" i="6"/>
  <c r="G19" i="6"/>
  <c r="G20" i="6"/>
  <c r="C28" i="12" s="1"/>
  <c r="G21" i="6"/>
  <c r="C29" i="12" s="1"/>
  <c r="G22" i="6"/>
  <c r="G23" i="6"/>
  <c r="G24" i="6"/>
  <c r="G28" i="6"/>
  <c r="G29" i="6"/>
  <c r="G30" i="6"/>
  <c r="G18" i="6"/>
  <c r="C20" i="11" l="1"/>
  <c r="C24" i="11"/>
  <c r="D55" i="11"/>
  <c r="D28" i="16" s="1"/>
  <c r="D86" i="12"/>
  <c r="I86" i="12" s="1"/>
  <c r="X86" i="12" s="1"/>
  <c r="C32" i="12"/>
  <c r="AB104" i="12"/>
  <c r="X104" i="12"/>
  <c r="AB86" i="12"/>
  <c r="E64" i="5"/>
  <c r="E71" i="5" s="1"/>
  <c r="E74" i="5" s="1"/>
  <c r="N33" i="12"/>
  <c r="M24" i="15" s="1"/>
  <c r="G27" i="6"/>
  <c r="G32" i="6" s="1"/>
  <c r="C26" i="12" l="1"/>
  <c r="M25" i="15"/>
  <c r="G11" i="6"/>
  <c r="F12" i="6"/>
  <c r="F15" i="6" s="1"/>
  <c r="G8" i="6"/>
  <c r="E49" i="6"/>
  <c r="E40" i="6"/>
  <c r="E32" i="6"/>
  <c r="E15" i="6"/>
  <c r="S74" i="12"/>
  <c r="R31" i="15" s="1"/>
  <c r="T107" i="12"/>
  <c r="Z107" i="12" s="1"/>
  <c r="T87" i="12"/>
  <c r="Z87" i="12" s="1"/>
  <c r="T112" i="12"/>
  <c r="Z112" i="12" s="1"/>
  <c r="I112" i="12"/>
  <c r="P111" i="12"/>
  <c r="O35" i="15" s="1"/>
  <c r="O111" i="12"/>
  <c r="N35" i="15" s="1"/>
  <c r="N111" i="12"/>
  <c r="M35" i="15" s="1"/>
  <c r="T108" i="12"/>
  <c r="Z108" i="12" s="1"/>
  <c r="T106" i="12"/>
  <c r="Z106" i="12" s="1"/>
  <c r="T105" i="12"/>
  <c r="Z105" i="12" s="1"/>
  <c r="T102" i="12"/>
  <c r="Z102" i="12" s="1"/>
  <c r="M111" i="12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D92" i="12"/>
  <c r="C92" i="12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I84" i="12"/>
  <c r="X84" i="12" s="1"/>
  <c r="T83" i="12"/>
  <c r="Z83" i="12" s="1"/>
  <c r="T82" i="12"/>
  <c r="Z82" i="12" s="1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Z71" i="12" s="1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Z62" i="12" s="1"/>
  <c r="T61" i="12"/>
  <c r="Z61" i="12" s="1"/>
  <c r="T60" i="12"/>
  <c r="Z60" i="12" s="1"/>
  <c r="T59" i="12"/>
  <c r="Z59" i="12" s="1"/>
  <c r="T57" i="12"/>
  <c r="Z57" i="12" s="1"/>
  <c r="T56" i="12"/>
  <c r="Z56" i="12" s="1"/>
  <c r="T55" i="12"/>
  <c r="Z55" i="12" s="1"/>
  <c r="T54" i="12"/>
  <c r="Z54" i="12" s="1"/>
  <c r="T53" i="12"/>
  <c r="Z53" i="12" s="1"/>
  <c r="O74" i="12"/>
  <c r="N31" i="15" s="1"/>
  <c r="M74" i="12"/>
  <c r="L31" i="15" s="1"/>
  <c r="P49" i="12"/>
  <c r="O30" i="15" s="1"/>
  <c r="O49" i="12"/>
  <c r="N30" i="15" s="1"/>
  <c r="N49" i="12"/>
  <c r="M30" i="15" s="1"/>
  <c r="E49" i="12"/>
  <c r="E30" i="15" s="1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T40" i="12"/>
  <c r="Z40" i="12" s="1"/>
  <c r="S49" i="12"/>
  <c r="R30" i="15" s="1"/>
  <c r="T39" i="12"/>
  <c r="Z39" i="12" s="1"/>
  <c r="I39" i="12"/>
  <c r="T38" i="12"/>
  <c r="Z38" i="12" s="1"/>
  <c r="I38" i="12"/>
  <c r="I37" i="12"/>
  <c r="T36" i="12"/>
  <c r="Z36" i="12" s="1"/>
  <c r="I36" i="12"/>
  <c r="T34" i="12"/>
  <c r="Z34" i="12" s="1"/>
  <c r="I34" i="12"/>
  <c r="X34" i="12" s="1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T31" i="12"/>
  <c r="Z31" i="12" s="1"/>
  <c r="C31" i="12"/>
  <c r="T30" i="12"/>
  <c r="Z30" i="12" s="1"/>
  <c r="C30" i="12"/>
  <c r="T29" i="12"/>
  <c r="Z29" i="12" s="1"/>
  <c r="T28" i="12"/>
  <c r="Z28" i="12" s="1"/>
  <c r="I25" i="12"/>
  <c r="T24" i="12"/>
  <c r="Z24" i="12" s="1"/>
  <c r="I24" i="12"/>
  <c r="S23" i="12"/>
  <c r="R20" i="15" s="1"/>
  <c r="R21" i="15" s="1"/>
  <c r="R27" i="15" s="1"/>
  <c r="P23" i="12"/>
  <c r="O20" i="15" s="1"/>
  <c r="O21" i="15" s="1"/>
  <c r="O23" i="12"/>
  <c r="N20" i="15" s="1"/>
  <c r="N21" i="15" s="1"/>
  <c r="E23" i="12"/>
  <c r="E20" i="15" s="1"/>
  <c r="E21" i="15" s="1"/>
  <c r="T22" i="12"/>
  <c r="Z22" i="12" s="1"/>
  <c r="H23" i="12"/>
  <c r="H20" i="15" s="1"/>
  <c r="H21" i="15" s="1"/>
  <c r="T21" i="12"/>
  <c r="Z21" i="12" s="1"/>
  <c r="T20" i="12"/>
  <c r="Z20" i="12" s="1"/>
  <c r="C20" i="12"/>
  <c r="T19" i="12"/>
  <c r="Z19" i="12" s="1"/>
  <c r="T18" i="12"/>
  <c r="Z18" i="12" s="1"/>
  <c r="N23" i="12"/>
  <c r="M20" i="15" s="1"/>
  <c r="T17" i="12"/>
  <c r="Z17" i="12" s="1"/>
  <c r="C19" i="12" l="1"/>
  <c r="C11" i="11"/>
  <c r="L33" i="15"/>
  <c r="S30" i="15"/>
  <c r="Y30" i="15" s="1"/>
  <c r="N33" i="15"/>
  <c r="O33" i="15"/>
  <c r="T111" i="12"/>
  <c r="L35" i="15"/>
  <c r="S35" i="15" s="1"/>
  <c r="Y35" i="15" s="1"/>
  <c r="S31" i="15"/>
  <c r="M33" i="15"/>
  <c r="M21" i="15"/>
  <c r="E7" i="16"/>
  <c r="E11" i="16" s="1"/>
  <c r="E27" i="15"/>
  <c r="N27" i="15"/>
  <c r="H7" i="16"/>
  <c r="H11" i="16" s="1"/>
  <c r="H63" i="16" s="1"/>
  <c r="H67" i="16" s="1"/>
  <c r="H27" i="15"/>
  <c r="O27" i="15"/>
  <c r="H111" i="12"/>
  <c r="H35" i="15" s="1"/>
  <c r="S96" i="12"/>
  <c r="E35" i="12"/>
  <c r="AD84" i="12"/>
  <c r="AF84" i="12" s="1"/>
  <c r="AB84" i="12"/>
  <c r="P35" i="12"/>
  <c r="O98" i="12"/>
  <c r="H35" i="12"/>
  <c r="E57" i="6"/>
  <c r="E34" i="6"/>
  <c r="S35" i="12"/>
  <c r="N98" i="12"/>
  <c r="O35" i="12"/>
  <c r="N35" i="12"/>
  <c r="M33" i="12"/>
  <c r="L24" i="15" s="1"/>
  <c r="L25" i="15" s="1"/>
  <c r="S25" i="15" s="1"/>
  <c r="Y25" i="15" s="1"/>
  <c r="T26" i="12"/>
  <c r="Z26" i="12" s="1"/>
  <c r="M23" i="12"/>
  <c r="T58" i="12"/>
  <c r="Z58" i="12" s="1"/>
  <c r="T74" i="12"/>
  <c r="Z16" i="12"/>
  <c r="T27" i="12"/>
  <c r="Z27" i="12" s="1"/>
  <c r="P98" i="12"/>
  <c r="T52" i="12"/>
  <c r="Z52" i="12" s="1"/>
  <c r="T32" i="12"/>
  <c r="Z32" i="12" s="1"/>
  <c r="M98" i="12"/>
  <c r="T49" i="12"/>
  <c r="Z49" i="12" s="1"/>
  <c r="AF94" i="12"/>
  <c r="Z101" i="12"/>
  <c r="I103" i="11"/>
  <c r="F99" i="11"/>
  <c r="F57" i="16" s="1"/>
  <c r="F98" i="11"/>
  <c r="F59" i="16" s="1"/>
  <c r="I88" i="11"/>
  <c r="D83" i="11"/>
  <c r="D49" i="16" s="1"/>
  <c r="C83" i="11"/>
  <c r="C49" i="16" s="1"/>
  <c r="C81" i="11"/>
  <c r="C47" i="16" s="1"/>
  <c r="C80" i="11"/>
  <c r="C46" i="16" s="1"/>
  <c r="F72" i="11"/>
  <c r="F42" i="16" s="1"/>
  <c r="I68" i="11"/>
  <c r="I67" i="11"/>
  <c r="E66" i="11"/>
  <c r="F63" i="11"/>
  <c r="F34" i="16" s="1"/>
  <c r="F62" i="11"/>
  <c r="F58" i="11"/>
  <c r="F30" i="16" s="1"/>
  <c r="F57" i="11"/>
  <c r="F52" i="11"/>
  <c r="F25" i="16" s="1"/>
  <c r="F51" i="11"/>
  <c r="I51" i="11" s="1"/>
  <c r="F45" i="11"/>
  <c r="E41" i="11"/>
  <c r="C41" i="11"/>
  <c r="F37" i="11"/>
  <c r="E25" i="11"/>
  <c r="C23" i="11"/>
  <c r="E15" i="11"/>
  <c r="C12" i="11"/>
  <c r="F43" i="10"/>
  <c r="F56" i="10" s="1"/>
  <c r="G76" i="10"/>
  <c r="G77" i="10"/>
  <c r="F108" i="12" s="1"/>
  <c r="G78" i="10"/>
  <c r="G79" i="10"/>
  <c r="G75" i="10"/>
  <c r="G60" i="10"/>
  <c r="F79" i="12" s="1"/>
  <c r="G61" i="10"/>
  <c r="G62" i="10"/>
  <c r="F90" i="12" s="1"/>
  <c r="G63" i="10"/>
  <c r="F87" i="12" s="1"/>
  <c r="G64" i="10"/>
  <c r="G65" i="10"/>
  <c r="F81" i="12" s="1"/>
  <c r="G66" i="10"/>
  <c r="F82" i="12" s="1"/>
  <c r="G67" i="10"/>
  <c r="F83" i="12" s="1"/>
  <c r="I83" i="12" s="1"/>
  <c r="X83" i="12" s="1"/>
  <c r="G68" i="10"/>
  <c r="G69" i="10"/>
  <c r="G59" i="10"/>
  <c r="F77" i="12" s="1"/>
  <c r="G55" i="10"/>
  <c r="F73" i="12" s="1"/>
  <c r="G36" i="10"/>
  <c r="F54" i="12" s="1"/>
  <c r="G37" i="10"/>
  <c r="F53" i="12" s="1"/>
  <c r="G38" i="10"/>
  <c r="F55" i="12" s="1"/>
  <c r="G39" i="10"/>
  <c r="F56" i="12" s="1"/>
  <c r="G40" i="10"/>
  <c r="F49" i="11" s="1"/>
  <c r="G42" i="10"/>
  <c r="F59" i="12" s="1"/>
  <c r="I59" i="12" s="1"/>
  <c r="X59" i="12" s="1"/>
  <c r="G44" i="10"/>
  <c r="F60" i="12" s="1"/>
  <c r="G45" i="10"/>
  <c r="G46" i="10"/>
  <c r="F62" i="12" s="1"/>
  <c r="G47" i="10"/>
  <c r="F69" i="12" s="1"/>
  <c r="G48" i="10"/>
  <c r="G49" i="10"/>
  <c r="F64" i="12" s="1"/>
  <c r="G50" i="10"/>
  <c r="G51" i="10"/>
  <c r="G52" i="10"/>
  <c r="F67" i="12" s="1"/>
  <c r="G53" i="10"/>
  <c r="G54" i="10"/>
  <c r="F72" i="12" s="1"/>
  <c r="I72" i="12" s="1"/>
  <c r="X72" i="12" s="1"/>
  <c r="G35" i="10"/>
  <c r="F52" i="12" s="1"/>
  <c r="G26" i="10"/>
  <c r="F43" i="12" s="1"/>
  <c r="G27" i="10"/>
  <c r="F44" i="12" s="1"/>
  <c r="G28" i="10"/>
  <c r="F46" i="12" s="1"/>
  <c r="G29" i="10"/>
  <c r="F45" i="12" s="1"/>
  <c r="G30" i="10"/>
  <c r="G31" i="10"/>
  <c r="G24" i="10"/>
  <c r="F40" i="12" s="1"/>
  <c r="G17" i="10"/>
  <c r="G18" i="10" s="1"/>
  <c r="F32" i="12" s="1"/>
  <c r="F33" i="12" s="1"/>
  <c r="F24" i="15" s="1"/>
  <c r="F25" i="15" s="1"/>
  <c r="F9" i="16" s="1"/>
  <c r="G9" i="10"/>
  <c r="G11" i="10"/>
  <c r="G12" i="10"/>
  <c r="G13" i="10"/>
  <c r="G8" i="10"/>
  <c r="F80" i="10"/>
  <c r="F70" i="10"/>
  <c r="F32" i="10"/>
  <c r="F18" i="10"/>
  <c r="F14" i="10"/>
  <c r="F20" i="10" s="1"/>
  <c r="F38" i="11" l="1"/>
  <c r="F48" i="11"/>
  <c r="AB72" i="12"/>
  <c r="F80" i="12"/>
  <c r="I80" i="12" s="1"/>
  <c r="F107" i="12"/>
  <c r="F24" i="11"/>
  <c r="F25" i="11" s="1"/>
  <c r="F35" i="11"/>
  <c r="F54" i="11"/>
  <c r="F27" i="16" s="1"/>
  <c r="F64" i="11"/>
  <c r="I64" i="11" s="1"/>
  <c r="F74" i="11"/>
  <c r="I74" i="11" s="1"/>
  <c r="F81" i="11"/>
  <c r="F47" i="16" s="1"/>
  <c r="AD59" i="12"/>
  <c r="AF59" i="12" s="1"/>
  <c r="F101" i="12"/>
  <c r="F111" i="12" s="1"/>
  <c r="F35" i="15" s="1"/>
  <c r="F56" i="16"/>
  <c r="F32" i="11"/>
  <c r="F16" i="16" s="1"/>
  <c r="AB83" i="12"/>
  <c r="F96" i="12"/>
  <c r="F32" i="15" s="1"/>
  <c r="F73" i="11"/>
  <c r="AB59" i="12"/>
  <c r="F91" i="12"/>
  <c r="I91" i="12" s="1"/>
  <c r="F48" i="16"/>
  <c r="I48" i="16" s="1"/>
  <c r="F36" i="11"/>
  <c r="F55" i="11"/>
  <c r="F60" i="11"/>
  <c r="F31" i="16" s="1"/>
  <c r="F65" i="11"/>
  <c r="F35" i="16" s="1"/>
  <c r="F69" i="11"/>
  <c r="F39" i="16" s="1"/>
  <c r="F78" i="11"/>
  <c r="F44" i="16" s="1"/>
  <c r="F82" i="11"/>
  <c r="I82" i="11" s="1"/>
  <c r="F92" i="11"/>
  <c r="F102" i="11" s="1"/>
  <c r="AD83" i="12"/>
  <c r="AF83" i="12" s="1"/>
  <c r="F61" i="16"/>
  <c r="F18" i="16"/>
  <c r="F28" i="16"/>
  <c r="E27" i="11"/>
  <c r="T25" i="12"/>
  <c r="Z25" i="12" s="1"/>
  <c r="L20" i="15"/>
  <c r="S24" i="15"/>
  <c r="Y24" i="15" s="1"/>
  <c r="O37" i="15"/>
  <c r="O41" i="15" s="1"/>
  <c r="N37" i="15"/>
  <c r="N41" i="15" s="1"/>
  <c r="T96" i="12"/>
  <c r="Z96" i="12" s="1"/>
  <c r="R32" i="15"/>
  <c r="S32" i="15" s="1"/>
  <c r="M27" i="15"/>
  <c r="Y31" i="15"/>
  <c r="U69" i="12"/>
  <c r="Z74" i="12"/>
  <c r="Z111" i="12"/>
  <c r="U111" i="12"/>
  <c r="F71" i="11"/>
  <c r="H96" i="12"/>
  <c r="H32" i="15" s="1"/>
  <c r="F70" i="11"/>
  <c r="F40" i="16" s="1"/>
  <c r="F46" i="11"/>
  <c r="F47" i="11"/>
  <c r="H74" i="12"/>
  <c r="H31" i="15" s="1"/>
  <c r="F44" i="11"/>
  <c r="F22" i="16" s="1"/>
  <c r="U85" i="12"/>
  <c r="O113" i="12"/>
  <c r="O117" i="12" s="1"/>
  <c r="U43" i="12"/>
  <c r="T33" i="12"/>
  <c r="T37" i="12"/>
  <c r="Z37" i="12" s="1"/>
  <c r="P113" i="12"/>
  <c r="P117" i="12" s="1"/>
  <c r="U84" i="12"/>
  <c r="E59" i="6"/>
  <c r="U82" i="12"/>
  <c r="U95" i="12"/>
  <c r="U83" i="12"/>
  <c r="U92" i="12"/>
  <c r="U88" i="12"/>
  <c r="U80" i="12"/>
  <c r="U77" i="12"/>
  <c r="U79" i="12"/>
  <c r="U48" i="12"/>
  <c r="N113" i="12"/>
  <c r="N117" i="12" s="1"/>
  <c r="U73" i="12"/>
  <c r="U67" i="12"/>
  <c r="U57" i="12"/>
  <c r="U55" i="12"/>
  <c r="U61" i="12"/>
  <c r="U59" i="12"/>
  <c r="U72" i="12"/>
  <c r="U65" i="12"/>
  <c r="U68" i="12"/>
  <c r="U70" i="12"/>
  <c r="U54" i="12"/>
  <c r="U63" i="12"/>
  <c r="U64" i="12"/>
  <c r="U71" i="12"/>
  <c r="U60" i="12"/>
  <c r="U66" i="12"/>
  <c r="U53" i="12"/>
  <c r="U62" i="12"/>
  <c r="U56" i="12"/>
  <c r="T23" i="12"/>
  <c r="M35" i="12"/>
  <c r="AF92" i="12"/>
  <c r="S98" i="12"/>
  <c r="S113" i="12" s="1"/>
  <c r="S117" i="12" s="1"/>
  <c r="U58" i="12"/>
  <c r="U52" i="12"/>
  <c r="AF89" i="12"/>
  <c r="U44" i="12"/>
  <c r="U42" i="12"/>
  <c r="U41" i="12"/>
  <c r="U47" i="12"/>
  <c r="U46" i="12"/>
  <c r="U45" i="12"/>
  <c r="U40" i="12"/>
  <c r="F72" i="10"/>
  <c r="F82" i="10" s="1"/>
  <c r="AD80" i="12" l="1"/>
  <c r="AF80" i="12" s="1"/>
  <c r="AB80" i="12"/>
  <c r="X80" i="12"/>
  <c r="X91" i="12"/>
  <c r="AB91" i="12"/>
  <c r="AD91" i="12"/>
  <c r="F43" i="16"/>
  <c r="F23" i="16"/>
  <c r="F41" i="16"/>
  <c r="I41" i="16" s="1"/>
  <c r="I71" i="11"/>
  <c r="U89" i="12"/>
  <c r="U87" i="12"/>
  <c r="U93" i="12"/>
  <c r="U86" i="12"/>
  <c r="U96" i="12" s="1"/>
  <c r="U78" i="12"/>
  <c r="L21" i="15"/>
  <c r="S20" i="15"/>
  <c r="Y20" i="15" s="1"/>
  <c r="U94" i="12"/>
  <c r="U90" i="12"/>
  <c r="U81" i="12"/>
  <c r="U91" i="12"/>
  <c r="H33" i="15"/>
  <c r="H37" i="15" s="1"/>
  <c r="H41" i="15" s="1"/>
  <c r="R33" i="15"/>
  <c r="R37" i="15" s="1"/>
  <c r="R41" i="15" s="1"/>
  <c r="M37" i="15"/>
  <c r="F87" i="11"/>
  <c r="U16" i="12"/>
  <c r="Z23" i="12"/>
  <c r="U31" i="12"/>
  <c r="Z33" i="12"/>
  <c r="H98" i="12"/>
  <c r="H113" i="12" s="1"/>
  <c r="H117" i="12" s="1"/>
  <c r="U30" i="12"/>
  <c r="U29" i="12"/>
  <c r="U28" i="12"/>
  <c r="U27" i="12"/>
  <c r="U26" i="12"/>
  <c r="U32" i="12"/>
  <c r="U74" i="12"/>
  <c r="T98" i="12"/>
  <c r="U49" i="12"/>
  <c r="U21" i="12"/>
  <c r="U20" i="12"/>
  <c r="U17" i="12"/>
  <c r="U19" i="12"/>
  <c r="U18" i="12"/>
  <c r="U22" i="12"/>
  <c r="M113" i="12"/>
  <c r="T35" i="12"/>
  <c r="Z35" i="12" s="1"/>
  <c r="E43" i="10"/>
  <c r="E10" i="10"/>
  <c r="G10" i="10" s="1"/>
  <c r="G14" i="10" s="1"/>
  <c r="D43" i="10"/>
  <c r="D41" i="10"/>
  <c r="G41" i="10" s="1"/>
  <c r="C43" i="10"/>
  <c r="B43" i="10"/>
  <c r="G43" i="10" s="1"/>
  <c r="F63" i="12" l="1"/>
  <c r="I63" i="12" s="1"/>
  <c r="F56" i="11"/>
  <c r="F58" i="12"/>
  <c r="F74" i="12" s="1"/>
  <c r="F31" i="15" s="1"/>
  <c r="F50" i="11"/>
  <c r="F22" i="12"/>
  <c r="F23" i="12" s="1"/>
  <c r="F14" i="11"/>
  <c r="F15" i="11" s="1"/>
  <c r="F27" i="11" s="1"/>
  <c r="G20" i="10"/>
  <c r="F51" i="16"/>
  <c r="L27" i="15"/>
  <c r="S21" i="15"/>
  <c r="Y21" i="15" s="1"/>
  <c r="Y32" i="15"/>
  <c r="S33" i="15"/>
  <c r="Y33" i="15" s="1"/>
  <c r="M41" i="15"/>
  <c r="U98" i="12"/>
  <c r="Z98" i="12"/>
  <c r="U33" i="12"/>
  <c r="U23" i="12"/>
  <c r="M117" i="12"/>
  <c r="T113" i="12"/>
  <c r="F66" i="11" l="1"/>
  <c r="F24" i="16"/>
  <c r="F20" i="15"/>
  <c r="F21" i="15" s="1"/>
  <c r="F35" i="12"/>
  <c r="I56" i="11"/>
  <c r="F29" i="16"/>
  <c r="X63" i="12"/>
  <c r="AD63" i="12"/>
  <c r="AF63" i="12" s="1"/>
  <c r="AB63" i="12"/>
  <c r="L37" i="15"/>
  <c r="S27" i="15"/>
  <c r="Y27" i="15" s="1"/>
  <c r="T117" i="12"/>
  <c r="Z113" i="12"/>
  <c r="T118" i="12"/>
  <c r="B25" i="10"/>
  <c r="E80" i="10"/>
  <c r="D80" i="10"/>
  <c r="C80" i="10"/>
  <c r="B80" i="10"/>
  <c r="E70" i="10"/>
  <c r="D70" i="10"/>
  <c r="C70" i="10"/>
  <c r="B70" i="10"/>
  <c r="E56" i="10"/>
  <c r="B56" i="10"/>
  <c r="D56" i="10"/>
  <c r="C56" i="10"/>
  <c r="E32" i="10"/>
  <c r="D32" i="10"/>
  <c r="C32" i="10"/>
  <c r="G23" i="10"/>
  <c r="E18" i="10"/>
  <c r="D18" i="10"/>
  <c r="C18" i="10"/>
  <c r="B18" i="10"/>
  <c r="E14" i="10"/>
  <c r="D14" i="10"/>
  <c r="C14" i="10"/>
  <c r="B14" i="10"/>
  <c r="F36" i="16" l="1"/>
  <c r="B32" i="10"/>
  <c r="G25" i="10"/>
  <c r="F7" i="16"/>
  <c r="F11" i="16" s="1"/>
  <c r="F27" i="15"/>
  <c r="L41" i="15"/>
  <c r="S37" i="15"/>
  <c r="C72" i="10"/>
  <c r="D72" i="10"/>
  <c r="G80" i="10"/>
  <c r="D20" i="10"/>
  <c r="E20" i="10"/>
  <c r="G70" i="10"/>
  <c r="G56" i="10"/>
  <c r="B72" i="10"/>
  <c r="E72" i="10"/>
  <c r="C20" i="10"/>
  <c r="B20" i="10"/>
  <c r="F42" i="12" l="1"/>
  <c r="F49" i="12" s="1"/>
  <c r="F34" i="11"/>
  <c r="Y37" i="15"/>
  <c r="Y41" i="15" s="1"/>
  <c r="S41" i="15"/>
  <c r="G32" i="10"/>
  <c r="G72" i="10" s="1"/>
  <c r="E82" i="10"/>
  <c r="D82" i="10"/>
  <c r="C82" i="10"/>
  <c r="B82" i="10"/>
  <c r="F30" i="15" l="1"/>
  <c r="F33" i="15" s="1"/>
  <c r="F37" i="15" s="1"/>
  <c r="F41" i="15" s="1"/>
  <c r="F98" i="12"/>
  <c r="F113" i="12" s="1"/>
  <c r="F117" i="12" s="1"/>
  <c r="F17" i="16"/>
  <c r="F19" i="16" s="1"/>
  <c r="F53" i="16" s="1"/>
  <c r="F63" i="16" s="1"/>
  <c r="F67" i="16" s="1"/>
  <c r="F41" i="11"/>
  <c r="F89" i="11" s="1"/>
  <c r="F104" i="11" s="1"/>
  <c r="F108" i="11" s="1"/>
  <c r="G82" i="10"/>
  <c r="C19" i="7"/>
  <c r="G16" i="7"/>
  <c r="E75" i="11" s="1"/>
  <c r="G14" i="7"/>
  <c r="G17" i="7" s="1"/>
  <c r="F11" i="7"/>
  <c r="D11" i="7"/>
  <c r="D19" i="7" s="1"/>
  <c r="C11" i="7"/>
  <c r="B11" i="7"/>
  <c r="B19" i="7" s="1"/>
  <c r="G10" i="7"/>
  <c r="E69" i="12" s="1"/>
  <c r="E74" i="12" s="1"/>
  <c r="E31" i="15" s="1"/>
  <c r="G9" i="7"/>
  <c r="G54" i="6"/>
  <c r="G48" i="6"/>
  <c r="F49" i="6"/>
  <c r="G45" i="6"/>
  <c r="C49" i="6"/>
  <c r="D49" i="6"/>
  <c r="B49" i="6"/>
  <c r="C69" i="12" l="1"/>
  <c r="I69" i="12" s="1"/>
  <c r="C55" i="11"/>
  <c r="I75" i="11"/>
  <c r="E43" i="16"/>
  <c r="F19" i="7"/>
  <c r="E72" i="11"/>
  <c r="E42" i="16" s="1"/>
  <c r="E106" i="12"/>
  <c r="E111" i="12" s="1"/>
  <c r="E35" i="15" s="1"/>
  <c r="E97" i="11"/>
  <c r="E79" i="12"/>
  <c r="E96" i="12" s="1"/>
  <c r="E70" i="11"/>
  <c r="C73" i="12"/>
  <c r="C65" i="11"/>
  <c r="C35" i="16" s="1"/>
  <c r="C106" i="12"/>
  <c r="C97" i="11"/>
  <c r="C58" i="16" s="1"/>
  <c r="G11" i="7"/>
  <c r="G44" i="6"/>
  <c r="G52" i="6"/>
  <c r="G55" i="6" s="1"/>
  <c r="G14" i="6"/>
  <c r="C28" i="16" l="1"/>
  <c r="I28" i="16" s="1"/>
  <c r="I55" i="11"/>
  <c r="X69" i="12"/>
  <c r="AD69" i="12"/>
  <c r="AF69" i="12" s="1"/>
  <c r="AB69" i="12"/>
  <c r="E102" i="11"/>
  <c r="E58" i="16"/>
  <c r="E61" i="16" s="1"/>
  <c r="E87" i="11"/>
  <c r="E89" i="11" s="1"/>
  <c r="E104" i="11" s="1"/>
  <c r="E108" i="11" s="1"/>
  <c r="E40" i="16"/>
  <c r="E51" i="16" s="1"/>
  <c r="E53" i="16" s="1"/>
  <c r="E98" i="12"/>
  <c r="E113" i="12" s="1"/>
  <c r="E117" i="12" s="1"/>
  <c r="E32" i="15"/>
  <c r="E33" i="15" s="1"/>
  <c r="E37" i="15" s="1"/>
  <c r="E41" i="15" s="1"/>
  <c r="G19" i="7"/>
  <c r="C27" i="12"/>
  <c r="C19" i="11"/>
  <c r="C88" i="12"/>
  <c r="C79" i="11"/>
  <c r="C45" i="16" s="1"/>
  <c r="C18" i="11"/>
  <c r="C103" i="12"/>
  <c r="C94" i="11"/>
  <c r="G43" i="6"/>
  <c r="G39" i="6"/>
  <c r="G38" i="6"/>
  <c r="F40" i="6"/>
  <c r="F57" i="6" s="1"/>
  <c r="D40" i="6"/>
  <c r="D57" i="6" s="1"/>
  <c r="C40" i="6"/>
  <c r="C57" i="6" s="1"/>
  <c r="B40" i="6"/>
  <c r="B57" i="6" s="1"/>
  <c r="D32" i="6"/>
  <c r="C32" i="6"/>
  <c r="B32" i="6"/>
  <c r="G17" i="6"/>
  <c r="D15" i="6"/>
  <c r="C15" i="6"/>
  <c r="B15" i="6"/>
  <c r="G13" i="6"/>
  <c r="G12" i="6"/>
  <c r="C14" i="11" s="1"/>
  <c r="G10" i="6"/>
  <c r="G9" i="6"/>
  <c r="D35" i="5"/>
  <c r="C35" i="5"/>
  <c r="C50" i="5" s="1"/>
  <c r="G56" i="5"/>
  <c r="B35" i="5"/>
  <c r="B50" i="5" s="1"/>
  <c r="G53" i="5"/>
  <c r="C62" i="5"/>
  <c r="D62" i="5"/>
  <c r="F62" i="5"/>
  <c r="B62" i="5"/>
  <c r="G9" i="5"/>
  <c r="G10" i="5"/>
  <c r="G11" i="5"/>
  <c r="G12" i="5"/>
  <c r="G13" i="5"/>
  <c r="G14" i="5"/>
  <c r="B15" i="5"/>
  <c r="C69" i="5"/>
  <c r="D69" i="5"/>
  <c r="F69" i="5"/>
  <c r="B69" i="5"/>
  <c r="D50" i="5"/>
  <c r="F50" i="5"/>
  <c r="C32" i="5"/>
  <c r="D32" i="5"/>
  <c r="F32" i="5"/>
  <c r="B32" i="5"/>
  <c r="C20" i="5"/>
  <c r="D20" i="5"/>
  <c r="F20" i="5"/>
  <c r="B20" i="5"/>
  <c r="C15" i="5"/>
  <c r="D15" i="5"/>
  <c r="D22" i="5" s="1"/>
  <c r="F15" i="5"/>
  <c r="F22" i="5" s="1"/>
  <c r="G17" i="5"/>
  <c r="G19" i="5"/>
  <c r="G25" i="5"/>
  <c r="G26" i="5"/>
  <c r="G27" i="5"/>
  <c r="G28" i="5"/>
  <c r="G29" i="5"/>
  <c r="G30" i="5"/>
  <c r="G31" i="5"/>
  <c r="G36" i="5"/>
  <c r="G37" i="5"/>
  <c r="G38" i="5"/>
  <c r="G39" i="5"/>
  <c r="G40" i="5"/>
  <c r="G41" i="5"/>
  <c r="G42" i="5"/>
  <c r="G43" i="5"/>
  <c r="G44" i="5"/>
  <c r="G45" i="5"/>
  <c r="G46" i="5"/>
  <c r="G47" i="5"/>
  <c r="G49" i="5"/>
  <c r="G54" i="5"/>
  <c r="G55" i="5"/>
  <c r="G57" i="5"/>
  <c r="G61" i="5"/>
  <c r="G67" i="5"/>
  <c r="D56" i="16" s="1"/>
  <c r="G68" i="5"/>
  <c r="G8" i="5"/>
  <c r="V301" i="3"/>
  <c r="P300" i="3"/>
  <c r="U300" i="3" s="1"/>
  <c r="T299" i="3"/>
  <c r="S299" i="3"/>
  <c r="R299" i="3"/>
  <c r="Q299" i="3"/>
  <c r="P299" i="3"/>
  <c r="U299" i="3" s="1"/>
  <c r="T298" i="3"/>
  <c r="S298" i="3"/>
  <c r="R298" i="3"/>
  <c r="Q298" i="3"/>
  <c r="P298" i="3"/>
  <c r="T297" i="3"/>
  <c r="S297" i="3"/>
  <c r="R297" i="3"/>
  <c r="Q297" i="3"/>
  <c r="P297" i="3"/>
  <c r="T296" i="3"/>
  <c r="S296" i="3"/>
  <c r="R296" i="3"/>
  <c r="T295" i="3"/>
  <c r="S295" i="3"/>
  <c r="T294" i="3"/>
  <c r="S294" i="3"/>
  <c r="R294" i="3"/>
  <c r="Q294" i="3"/>
  <c r="P294" i="3"/>
  <c r="U294" i="3" s="1"/>
  <c r="T289" i="3"/>
  <c r="S289" i="3"/>
  <c r="R289" i="3"/>
  <c r="Q289" i="3"/>
  <c r="T287" i="3"/>
  <c r="V277" i="3"/>
  <c r="U277" i="3"/>
  <c r="U276" i="3"/>
  <c r="U275" i="3"/>
  <c r="U274" i="3"/>
  <c r="U273" i="3"/>
  <c r="U272" i="3"/>
  <c r="U271" i="3"/>
  <c r="U270" i="3"/>
  <c r="T268" i="3"/>
  <c r="S268" i="3"/>
  <c r="R268" i="3"/>
  <c r="Q268" i="3"/>
  <c r="P268" i="3"/>
  <c r="U266" i="3"/>
  <c r="U265" i="3"/>
  <c r="U264" i="3"/>
  <c r="U263" i="3"/>
  <c r="U262" i="3"/>
  <c r="U268" i="3" s="1"/>
  <c r="U278" i="3" s="1"/>
  <c r="V254" i="3"/>
  <c r="U254" i="3"/>
  <c r="U253" i="3"/>
  <c r="U252" i="3"/>
  <c r="U251" i="3"/>
  <c r="U250" i="3"/>
  <c r="U249" i="3"/>
  <c r="U248" i="3"/>
  <c r="U247" i="3"/>
  <c r="T245" i="3"/>
  <c r="S245" i="3"/>
  <c r="R245" i="3"/>
  <c r="Q245" i="3"/>
  <c r="P245" i="3"/>
  <c r="U243" i="3"/>
  <c r="U242" i="3"/>
  <c r="U241" i="3"/>
  <c r="U240" i="3"/>
  <c r="U239" i="3"/>
  <c r="V231" i="3"/>
  <c r="U231" i="3"/>
  <c r="U230" i="3"/>
  <c r="U229" i="3"/>
  <c r="U228" i="3"/>
  <c r="U227" i="3"/>
  <c r="U226" i="3"/>
  <c r="U225" i="3"/>
  <c r="U224" i="3"/>
  <c r="U223" i="3"/>
  <c r="T221" i="3"/>
  <c r="S221" i="3"/>
  <c r="R221" i="3"/>
  <c r="Q221" i="3"/>
  <c r="P221" i="3"/>
  <c r="U219" i="3"/>
  <c r="U218" i="3"/>
  <c r="U217" i="3"/>
  <c r="U216" i="3"/>
  <c r="U215" i="3"/>
  <c r="U214" i="3"/>
  <c r="U221" i="3" s="1"/>
  <c r="U232" i="3" s="1"/>
  <c r="V206" i="3"/>
  <c r="U205" i="3"/>
  <c r="U204" i="3"/>
  <c r="U203" i="3"/>
  <c r="U202" i="3"/>
  <c r="U201" i="3"/>
  <c r="U200" i="3"/>
  <c r="U199" i="3"/>
  <c r="T197" i="3"/>
  <c r="S197" i="3"/>
  <c r="R197" i="3"/>
  <c r="Q197" i="3"/>
  <c r="P197" i="3"/>
  <c r="U195" i="3"/>
  <c r="U194" i="3"/>
  <c r="U193" i="3"/>
  <c r="U192" i="3"/>
  <c r="U191" i="3"/>
  <c r="U182" i="3"/>
  <c r="U181" i="3"/>
  <c r="U180" i="3"/>
  <c r="U179" i="3"/>
  <c r="U178" i="3"/>
  <c r="U177" i="3"/>
  <c r="U176" i="3"/>
  <c r="T174" i="3"/>
  <c r="T184" i="3" s="1"/>
  <c r="S174" i="3"/>
  <c r="S184" i="3" s="1"/>
  <c r="R174" i="3"/>
  <c r="R184" i="3" s="1"/>
  <c r="Q174" i="3"/>
  <c r="Q184" i="3" s="1"/>
  <c r="P174" i="3"/>
  <c r="P184" i="3" s="1"/>
  <c r="U172" i="3"/>
  <c r="U171" i="3"/>
  <c r="U170" i="3"/>
  <c r="U169" i="3"/>
  <c r="U168" i="3"/>
  <c r="V160" i="3"/>
  <c r="U159" i="3"/>
  <c r="U158" i="3"/>
  <c r="U157" i="3"/>
  <c r="U156" i="3"/>
  <c r="U155" i="3"/>
  <c r="U154" i="3"/>
  <c r="U153" i="3"/>
  <c r="T151" i="3"/>
  <c r="S151" i="3"/>
  <c r="R151" i="3"/>
  <c r="Q151" i="3"/>
  <c r="P151" i="3"/>
  <c r="U149" i="3"/>
  <c r="U148" i="3"/>
  <c r="U147" i="3"/>
  <c r="U146" i="3"/>
  <c r="U145" i="3"/>
  <c r="V137" i="3"/>
  <c r="U136" i="3"/>
  <c r="U135" i="3"/>
  <c r="U134" i="3"/>
  <c r="U133" i="3"/>
  <c r="U132" i="3"/>
  <c r="U131" i="3"/>
  <c r="U130" i="3"/>
  <c r="T128" i="3"/>
  <c r="S128" i="3"/>
  <c r="R128" i="3"/>
  <c r="Q128" i="3"/>
  <c r="P128" i="3"/>
  <c r="U126" i="3"/>
  <c r="U125" i="3"/>
  <c r="U124" i="3"/>
  <c r="U123" i="3"/>
  <c r="U122" i="3"/>
  <c r="V114" i="3"/>
  <c r="U113" i="3"/>
  <c r="U112" i="3"/>
  <c r="U111" i="3"/>
  <c r="U110" i="3"/>
  <c r="U109" i="3"/>
  <c r="U108" i="3"/>
  <c r="U107" i="3"/>
  <c r="T105" i="3"/>
  <c r="S105" i="3"/>
  <c r="R105" i="3"/>
  <c r="Q105" i="3"/>
  <c r="P105" i="3"/>
  <c r="U103" i="3"/>
  <c r="U102" i="3"/>
  <c r="U101" i="3"/>
  <c r="U100" i="3"/>
  <c r="U99" i="3"/>
  <c r="V92" i="3"/>
  <c r="U91" i="3"/>
  <c r="U90" i="3"/>
  <c r="U89" i="3"/>
  <c r="U88" i="3"/>
  <c r="U87" i="3"/>
  <c r="P86" i="3"/>
  <c r="U86" i="3" s="1"/>
  <c r="U85" i="3"/>
  <c r="T84" i="3"/>
  <c r="S84" i="3"/>
  <c r="R84" i="3"/>
  <c r="Q84" i="3"/>
  <c r="P84" i="3"/>
  <c r="U81" i="3"/>
  <c r="P80" i="3"/>
  <c r="P289" i="3" s="1"/>
  <c r="U289" i="3" s="1"/>
  <c r="T79" i="3"/>
  <c r="S79" i="3"/>
  <c r="R79" i="3"/>
  <c r="Q79" i="3"/>
  <c r="P79" i="3"/>
  <c r="S78" i="3"/>
  <c r="R78" i="3"/>
  <c r="Q78" i="3"/>
  <c r="P78" i="3"/>
  <c r="S77" i="3"/>
  <c r="R77" i="3"/>
  <c r="Q77" i="3"/>
  <c r="P77" i="3"/>
  <c r="T76" i="3"/>
  <c r="S76" i="3"/>
  <c r="R76" i="3"/>
  <c r="Q76" i="3"/>
  <c r="P76" i="3"/>
  <c r="T75" i="3"/>
  <c r="S75" i="3"/>
  <c r="R75" i="3"/>
  <c r="Q75" i="3"/>
  <c r="P75" i="3"/>
  <c r="V68" i="3"/>
  <c r="U66" i="3"/>
  <c r="U65" i="3"/>
  <c r="U64" i="3"/>
  <c r="Q63" i="3"/>
  <c r="U63" i="3" s="1"/>
  <c r="R62" i="3"/>
  <c r="Q62" i="3"/>
  <c r="P62" i="3"/>
  <c r="U61" i="3"/>
  <c r="T60" i="3"/>
  <c r="S60" i="3"/>
  <c r="R60" i="3"/>
  <c r="Q60" i="3"/>
  <c r="P60" i="3"/>
  <c r="U57" i="3"/>
  <c r="T56" i="3"/>
  <c r="S56" i="3"/>
  <c r="R56" i="3"/>
  <c r="Q56" i="3"/>
  <c r="P56" i="3"/>
  <c r="S55" i="3"/>
  <c r="R55" i="3"/>
  <c r="Q55" i="3"/>
  <c r="P55" i="3"/>
  <c r="S54" i="3"/>
  <c r="R54" i="3"/>
  <c r="Q54" i="3"/>
  <c r="P54" i="3"/>
  <c r="T53" i="3"/>
  <c r="S53" i="3"/>
  <c r="R53" i="3"/>
  <c r="Q53" i="3"/>
  <c r="P53" i="3"/>
  <c r="T52" i="3"/>
  <c r="S52" i="3"/>
  <c r="R52" i="3"/>
  <c r="Q52" i="3"/>
  <c r="P52" i="3"/>
  <c r="V46" i="3"/>
  <c r="U43" i="3"/>
  <c r="U42" i="3"/>
  <c r="U41" i="3"/>
  <c r="U40" i="3"/>
  <c r="R39" i="3"/>
  <c r="Q39" i="3"/>
  <c r="P39" i="3"/>
  <c r="U38" i="3"/>
  <c r="T37" i="3"/>
  <c r="S37" i="3"/>
  <c r="R37" i="3"/>
  <c r="Q37" i="3"/>
  <c r="P37" i="3"/>
  <c r="T33" i="3"/>
  <c r="S33" i="3"/>
  <c r="R33" i="3"/>
  <c r="Q33" i="3"/>
  <c r="P33" i="3"/>
  <c r="S32" i="3"/>
  <c r="R32" i="3"/>
  <c r="Q32" i="3"/>
  <c r="P32" i="3"/>
  <c r="S31" i="3"/>
  <c r="R31" i="3"/>
  <c r="Q31" i="3"/>
  <c r="P31" i="3"/>
  <c r="T30" i="3"/>
  <c r="S30" i="3"/>
  <c r="R30" i="3"/>
  <c r="Q30" i="3"/>
  <c r="P30" i="3"/>
  <c r="T29" i="3"/>
  <c r="S29" i="3"/>
  <c r="R29" i="3"/>
  <c r="Q29" i="3"/>
  <c r="P29" i="3"/>
  <c r="V23" i="3"/>
  <c r="U20" i="3"/>
  <c r="U19" i="3"/>
  <c r="U18" i="3"/>
  <c r="Q17" i="3"/>
  <c r="P17" i="3"/>
  <c r="U17" i="3" s="1"/>
  <c r="R16" i="3"/>
  <c r="Q16" i="3"/>
  <c r="P16" i="3"/>
  <c r="U15" i="3"/>
  <c r="T14" i="3"/>
  <c r="S14" i="3"/>
  <c r="R14" i="3"/>
  <c r="Q14" i="3"/>
  <c r="P14" i="3"/>
  <c r="T10" i="3"/>
  <c r="S10" i="3"/>
  <c r="R10" i="3"/>
  <c r="Q10" i="3"/>
  <c r="P10" i="3"/>
  <c r="S9" i="3"/>
  <c r="R9" i="3"/>
  <c r="Q9" i="3"/>
  <c r="P9" i="3"/>
  <c r="T8" i="3"/>
  <c r="T286" i="3" s="1"/>
  <c r="S8" i="3"/>
  <c r="R8" i="3"/>
  <c r="Q8" i="3"/>
  <c r="P8" i="3"/>
  <c r="T7" i="3"/>
  <c r="S7" i="3"/>
  <c r="R7" i="3"/>
  <c r="Q7" i="3"/>
  <c r="P7" i="3"/>
  <c r="T6" i="3"/>
  <c r="S6" i="3"/>
  <c r="R6" i="3"/>
  <c r="Q6" i="3"/>
  <c r="P6" i="3"/>
  <c r="B5" i="2"/>
  <c r="B6" i="2"/>
  <c r="B7" i="2"/>
  <c r="B8" i="2"/>
  <c r="B9" i="2"/>
  <c r="B14" i="2"/>
  <c r="B15" i="2"/>
  <c r="B16" i="2"/>
  <c r="B17" i="2"/>
  <c r="B18" i="2"/>
  <c r="B22" i="2"/>
  <c r="B23" i="2"/>
  <c r="B24" i="2"/>
  <c r="B25" i="2"/>
  <c r="B27" i="2"/>
  <c r="B28" i="2"/>
  <c r="B29" i="2"/>
  <c r="B32" i="2"/>
  <c r="B33" i="2"/>
  <c r="B38" i="2"/>
  <c r="B39" i="2"/>
  <c r="B40" i="2"/>
  <c r="B41" i="2"/>
  <c r="N41" i="2" s="1"/>
  <c r="P41" i="2" s="1"/>
  <c r="Q41" i="2" s="1"/>
  <c r="B42" i="2"/>
  <c r="B51" i="2"/>
  <c r="B52" i="2"/>
  <c r="B82" i="2" s="1"/>
  <c r="B53" i="2"/>
  <c r="B54" i="2"/>
  <c r="B57" i="2"/>
  <c r="B86" i="2" s="1"/>
  <c r="B58" i="2"/>
  <c r="B59" i="2"/>
  <c r="B60" i="2"/>
  <c r="B61" i="2"/>
  <c r="B62" i="2"/>
  <c r="B64" i="2"/>
  <c r="B90" i="2" s="1"/>
  <c r="B72" i="2"/>
  <c r="B81" i="2"/>
  <c r="B87" i="2"/>
  <c r="B88" i="2"/>
  <c r="B89" i="2"/>
  <c r="B123" i="2"/>
  <c r="B180" i="2"/>
  <c r="B194" i="2"/>
  <c r="B68" i="2" s="1"/>
  <c r="B213" i="2"/>
  <c r="B69" i="2" s="1"/>
  <c r="B70" i="2"/>
  <c r="B71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1" i="2"/>
  <c r="C42" i="2"/>
  <c r="C44" i="2"/>
  <c r="N44" i="2" s="1"/>
  <c r="P44" i="2" s="1"/>
  <c r="Q44" i="2" s="1"/>
  <c r="C51" i="2"/>
  <c r="C81" i="2" s="1"/>
  <c r="C52" i="2"/>
  <c r="C53" i="2"/>
  <c r="C54" i="2"/>
  <c r="C57" i="2"/>
  <c r="C86" i="2" s="1"/>
  <c r="C58" i="2"/>
  <c r="C59" i="2"/>
  <c r="C60" i="2"/>
  <c r="C61" i="2"/>
  <c r="C62" i="2"/>
  <c r="C64" i="2"/>
  <c r="C90" i="2" s="1"/>
  <c r="C72" i="2"/>
  <c r="C82" i="2"/>
  <c r="C87" i="2"/>
  <c r="C88" i="2"/>
  <c r="C89" i="2"/>
  <c r="C123" i="2"/>
  <c r="C180" i="2"/>
  <c r="C194" i="2"/>
  <c r="C68" i="2" s="1"/>
  <c r="C213" i="2"/>
  <c r="C69" i="2" s="1"/>
  <c r="C70" i="2"/>
  <c r="C71" i="2"/>
  <c r="P259" i="2"/>
  <c r="Q259" i="2" s="1"/>
  <c r="P257" i="2"/>
  <c r="Q257" i="2" s="1"/>
  <c r="L71" i="2"/>
  <c r="K71" i="2"/>
  <c r="J71" i="2"/>
  <c r="H71" i="2"/>
  <c r="G71" i="2"/>
  <c r="F71" i="2"/>
  <c r="D71" i="2"/>
  <c r="N251" i="2"/>
  <c r="N250" i="2"/>
  <c r="N249" i="2"/>
  <c r="N248" i="2"/>
  <c r="N246" i="2"/>
  <c r="N245" i="2"/>
  <c r="P244" i="2"/>
  <c r="Q244" i="2" s="1"/>
  <c r="P243" i="2"/>
  <c r="Q243" i="2" s="1"/>
  <c r="M70" i="2"/>
  <c r="L70" i="2"/>
  <c r="K70" i="2"/>
  <c r="J70" i="2"/>
  <c r="I70" i="2"/>
  <c r="H70" i="2"/>
  <c r="G70" i="2"/>
  <c r="F70" i="2"/>
  <c r="D70" i="2"/>
  <c r="N235" i="2"/>
  <c r="N234" i="2"/>
  <c r="N233" i="2"/>
  <c r="N232" i="2"/>
  <c r="N231" i="2"/>
  <c r="N230" i="2"/>
  <c r="P230" i="2" s="1"/>
  <c r="Q230" i="2" s="1"/>
  <c r="N229" i="2"/>
  <c r="N228" i="2"/>
  <c r="N227" i="2"/>
  <c r="E226" i="2"/>
  <c r="N225" i="2"/>
  <c r="P225" i="2" s="1"/>
  <c r="Q225" i="2" s="1"/>
  <c r="N224" i="2"/>
  <c r="N223" i="2"/>
  <c r="P223" i="2" s="1"/>
  <c r="Q223" i="2" s="1"/>
  <c r="N222" i="2"/>
  <c r="P222" i="2" s="1"/>
  <c r="Q222" i="2" s="1"/>
  <c r="N221" i="2"/>
  <c r="N220" i="2"/>
  <c r="N219" i="2"/>
  <c r="P219" i="2" s="1"/>
  <c r="Q219" i="2" s="1"/>
  <c r="N218" i="2"/>
  <c r="N217" i="2"/>
  <c r="N216" i="2"/>
  <c r="N215" i="2"/>
  <c r="P214" i="2"/>
  <c r="Q214" i="2" s="1"/>
  <c r="M213" i="2"/>
  <c r="M69" i="2" s="1"/>
  <c r="L213" i="2"/>
  <c r="L69" i="2" s="1"/>
  <c r="K213" i="2"/>
  <c r="K69" i="2" s="1"/>
  <c r="J213" i="2"/>
  <c r="I213" i="2"/>
  <c r="I69" i="2" s="1"/>
  <c r="H213" i="2"/>
  <c r="H69" i="2" s="1"/>
  <c r="G213" i="2"/>
  <c r="F69" i="2"/>
  <c r="E69" i="2"/>
  <c r="D213" i="2"/>
  <c r="D69" i="2" s="1"/>
  <c r="N211" i="2"/>
  <c r="N210" i="2"/>
  <c r="P210" i="2" s="1"/>
  <c r="Q210" i="2" s="1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P197" i="2" s="1"/>
  <c r="Q197" i="2" s="1"/>
  <c r="N196" i="2"/>
  <c r="P195" i="2"/>
  <c r="Q195" i="2" s="1"/>
  <c r="M194" i="2"/>
  <c r="M68" i="2" s="1"/>
  <c r="L194" i="2"/>
  <c r="L68" i="2" s="1"/>
  <c r="K194" i="2"/>
  <c r="K68" i="2" s="1"/>
  <c r="J194" i="2"/>
  <c r="J68" i="2" s="1"/>
  <c r="I194" i="2"/>
  <c r="I68" i="2" s="1"/>
  <c r="H194" i="2"/>
  <c r="H68" i="2" s="1"/>
  <c r="G194" i="2"/>
  <c r="G68" i="2" s="1"/>
  <c r="F68" i="2"/>
  <c r="E194" i="2"/>
  <c r="E68" i="2" s="1"/>
  <c r="D194" i="2"/>
  <c r="D68" i="2" s="1"/>
  <c r="N193" i="2"/>
  <c r="P193" i="2" s="1"/>
  <c r="Q193" i="2" s="1"/>
  <c r="N192" i="2"/>
  <c r="N191" i="2"/>
  <c r="P191" i="2" s="1"/>
  <c r="Q191" i="2" s="1"/>
  <c r="N190" i="2"/>
  <c r="N189" i="2"/>
  <c r="N188" i="2"/>
  <c r="N187" i="2"/>
  <c r="N186" i="2"/>
  <c r="N185" i="2"/>
  <c r="N184" i="2"/>
  <c r="P184" i="2" s="1"/>
  <c r="Q184" i="2" s="1"/>
  <c r="N183" i="2"/>
  <c r="P182" i="2"/>
  <c r="Q182" i="2" s="1"/>
  <c r="M180" i="2"/>
  <c r="L180" i="2"/>
  <c r="K180" i="2"/>
  <c r="J180" i="2"/>
  <c r="I180" i="2"/>
  <c r="H180" i="2"/>
  <c r="G180" i="2"/>
  <c r="D180" i="2"/>
  <c r="N179" i="2"/>
  <c r="N178" i="2"/>
  <c r="E177" i="2"/>
  <c r="E61" i="2" s="1"/>
  <c r="N176" i="2"/>
  <c r="P176" i="2" s="1"/>
  <c r="Q176" i="2" s="1"/>
  <c r="N175" i="2"/>
  <c r="P175" i="2" s="1"/>
  <c r="Q175" i="2" s="1"/>
  <c r="N174" i="2"/>
  <c r="P174" i="2" s="1"/>
  <c r="Q174" i="2" s="1"/>
  <c r="N173" i="2"/>
  <c r="P173" i="2" s="1"/>
  <c r="Q173" i="2" s="1"/>
  <c r="N172" i="2"/>
  <c r="P172" i="2" s="1"/>
  <c r="Q172" i="2" s="1"/>
  <c r="N171" i="2"/>
  <c r="P171" i="2" s="1"/>
  <c r="Q171" i="2" s="1"/>
  <c r="N170" i="2"/>
  <c r="P170" i="2" s="1"/>
  <c r="Q170" i="2" s="1"/>
  <c r="N169" i="2"/>
  <c r="P169" i="2" s="1"/>
  <c r="Q169" i="2" s="1"/>
  <c r="N168" i="2"/>
  <c r="P168" i="2" s="1"/>
  <c r="Q168" i="2" s="1"/>
  <c r="N167" i="2"/>
  <c r="P167" i="2" s="1"/>
  <c r="Q167" i="2" s="1"/>
  <c r="N166" i="2"/>
  <c r="P166" i="2" s="1"/>
  <c r="Q166" i="2" s="1"/>
  <c r="N165" i="2"/>
  <c r="P165" i="2" s="1"/>
  <c r="Q165" i="2" s="1"/>
  <c r="N164" i="2"/>
  <c r="P164" i="2" s="1"/>
  <c r="Q164" i="2" s="1"/>
  <c r="N163" i="2"/>
  <c r="P163" i="2" s="1"/>
  <c r="Q163" i="2" s="1"/>
  <c r="E162" i="2"/>
  <c r="N162" i="2" s="1"/>
  <c r="P162" i="2" s="1"/>
  <c r="Q162" i="2" s="1"/>
  <c r="N161" i="2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P154" i="2" s="1"/>
  <c r="Q154" i="2" s="1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P144" i="2" s="1"/>
  <c r="Q144" i="2" s="1"/>
  <c r="N143" i="2"/>
  <c r="P143" i="2" s="1"/>
  <c r="Q143" i="2" s="1"/>
  <c r="N142" i="2"/>
  <c r="P142" i="2" s="1"/>
  <c r="Q142" i="2" s="1"/>
  <c r="N141" i="2"/>
  <c r="P141" i="2" s="1"/>
  <c r="Q141" i="2" s="1"/>
  <c r="N140" i="2"/>
  <c r="P140" i="2" s="1"/>
  <c r="Q140" i="2" s="1"/>
  <c r="N139" i="2"/>
  <c r="P139" i="2" s="1"/>
  <c r="Q139" i="2" s="1"/>
  <c r="N138" i="2"/>
  <c r="P138" i="2" s="1"/>
  <c r="Q138" i="2" s="1"/>
  <c r="N137" i="2"/>
  <c r="P137" i="2" s="1"/>
  <c r="Q137" i="2" s="1"/>
  <c r="N136" i="2"/>
  <c r="P136" i="2" s="1"/>
  <c r="Q136" i="2" s="1"/>
  <c r="N135" i="2"/>
  <c r="P135" i="2" s="1"/>
  <c r="Q135" i="2" s="1"/>
  <c r="N134" i="2"/>
  <c r="N133" i="2"/>
  <c r="N132" i="2"/>
  <c r="P132" i="2" s="1"/>
  <c r="Q132" i="2" s="1"/>
  <c r="P131" i="2"/>
  <c r="Q131" i="2" s="1"/>
  <c r="N130" i="2"/>
  <c r="N129" i="2"/>
  <c r="N128" i="2"/>
  <c r="N127" i="2"/>
  <c r="N126" i="2"/>
  <c r="P126" i="2" s="1"/>
  <c r="Q126" i="2" s="1"/>
  <c r="N125" i="2"/>
  <c r="P124" i="2"/>
  <c r="Q124" i="2" s="1"/>
  <c r="M123" i="2"/>
  <c r="L123" i="2"/>
  <c r="K123" i="2"/>
  <c r="K181" i="2" s="1"/>
  <c r="J123" i="2"/>
  <c r="I123" i="2"/>
  <c r="H123" i="2"/>
  <c r="G123" i="2"/>
  <c r="G181" i="2" s="1"/>
  <c r="F123" i="2"/>
  <c r="E123" i="2"/>
  <c r="D123" i="2"/>
  <c r="N122" i="2"/>
  <c r="N121" i="2"/>
  <c r="N120" i="2"/>
  <c r="P120" i="2" s="1"/>
  <c r="Q120" i="2" s="1"/>
  <c r="N119" i="2"/>
  <c r="P119" i="2" s="1"/>
  <c r="Q119" i="2" s="1"/>
  <c r="N118" i="2"/>
  <c r="P118" i="2" s="1"/>
  <c r="Q118" i="2" s="1"/>
  <c r="N117" i="2"/>
  <c r="P117" i="2" s="1"/>
  <c r="Q117" i="2" s="1"/>
  <c r="N116" i="2"/>
  <c r="P116" i="2" s="1"/>
  <c r="Q116" i="2" s="1"/>
  <c r="N115" i="2"/>
  <c r="P115" i="2" s="1"/>
  <c r="Q115" i="2" s="1"/>
  <c r="N114" i="2"/>
  <c r="P114" i="2" s="1"/>
  <c r="Q114" i="2" s="1"/>
  <c r="N113" i="2"/>
  <c r="P113" i="2" s="1"/>
  <c r="Q113" i="2" s="1"/>
  <c r="N112" i="2"/>
  <c r="P112" i="2" s="1"/>
  <c r="Q112" i="2" s="1"/>
  <c r="N111" i="2"/>
  <c r="P111" i="2" s="1"/>
  <c r="Q111" i="2" s="1"/>
  <c r="N110" i="2"/>
  <c r="N109" i="2"/>
  <c r="P109" i="2" s="1"/>
  <c r="Q109" i="2" s="1"/>
  <c r="N108" i="2"/>
  <c r="N107" i="2"/>
  <c r="P107" i="2" s="1"/>
  <c r="Q107" i="2" s="1"/>
  <c r="N106" i="2"/>
  <c r="N105" i="2"/>
  <c r="N104" i="2"/>
  <c r="N103" i="2"/>
  <c r="N102" i="2"/>
  <c r="P101" i="2"/>
  <c r="Q101" i="2" s="1"/>
  <c r="P100" i="2"/>
  <c r="Q100" i="2" s="1"/>
  <c r="P99" i="2"/>
  <c r="Q99" i="2" s="1"/>
  <c r="P98" i="2"/>
  <c r="Q98" i="2" s="1"/>
  <c r="P97" i="2"/>
  <c r="Q97" i="2" s="1"/>
  <c r="N96" i="2"/>
  <c r="P96" i="2" s="1"/>
  <c r="Q96" i="2" s="1"/>
  <c r="P95" i="2"/>
  <c r="Q95" i="2" s="1"/>
  <c r="P94" i="2"/>
  <c r="Q94" i="2" s="1"/>
  <c r="P93" i="2"/>
  <c r="Q93" i="2" s="1"/>
  <c r="F90" i="2"/>
  <c r="M89" i="2"/>
  <c r="L89" i="2"/>
  <c r="K89" i="2"/>
  <c r="J89" i="2"/>
  <c r="I89" i="2"/>
  <c r="H89" i="2"/>
  <c r="G89" i="2"/>
  <c r="F89" i="2"/>
  <c r="E89" i="2"/>
  <c r="D89" i="2"/>
  <c r="L88" i="2"/>
  <c r="K88" i="2"/>
  <c r="J88" i="2"/>
  <c r="I88" i="2"/>
  <c r="H88" i="2"/>
  <c r="G88" i="2"/>
  <c r="F88" i="2"/>
  <c r="E88" i="2"/>
  <c r="D88" i="2"/>
  <c r="G87" i="2"/>
  <c r="F87" i="2"/>
  <c r="E87" i="2"/>
  <c r="D87" i="2"/>
  <c r="F86" i="2"/>
  <c r="P85" i="2"/>
  <c r="Q85" i="2" s="1"/>
  <c r="P84" i="2"/>
  <c r="Q84" i="2" s="1"/>
  <c r="F82" i="2"/>
  <c r="F81" i="2"/>
  <c r="P80" i="2"/>
  <c r="Q80" i="2" s="1"/>
  <c r="P79" i="2"/>
  <c r="Q79" i="2" s="1"/>
  <c r="P78" i="2"/>
  <c r="Q78" i="2" s="1"/>
  <c r="P76" i="2"/>
  <c r="Q76" i="2" s="1"/>
  <c r="P75" i="2"/>
  <c r="Q75" i="2" s="1"/>
  <c r="M72" i="2"/>
  <c r="L72" i="2"/>
  <c r="K72" i="2"/>
  <c r="J72" i="2"/>
  <c r="I72" i="2"/>
  <c r="H72" i="2"/>
  <c r="G72" i="2"/>
  <c r="F72" i="2"/>
  <c r="E72" i="2"/>
  <c r="D72" i="2"/>
  <c r="M71" i="2"/>
  <c r="I71" i="2"/>
  <c r="E71" i="2"/>
  <c r="G69" i="2"/>
  <c r="P67" i="2"/>
  <c r="Q67" i="2" s="1"/>
  <c r="M64" i="2"/>
  <c r="M90" i="2" s="1"/>
  <c r="L64" i="2"/>
  <c r="L90" i="2" s="1"/>
  <c r="K64" i="2"/>
  <c r="K90" i="2" s="1"/>
  <c r="J64" i="2"/>
  <c r="J90" i="2" s="1"/>
  <c r="I64" i="2"/>
  <c r="I90" i="2" s="1"/>
  <c r="H64" i="2"/>
  <c r="H90" i="2" s="1"/>
  <c r="G64" i="2"/>
  <c r="G90" i="2" s="1"/>
  <c r="F64" i="2"/>
  <c r="E64" i="2"/>
  <c r="E90" i="2" s="1"/>
  <c r="D64" i="2"/>
  <c r="D90" i="2" s="1"/>
  <c r="N63" i="2"/>
  <c r="P63" i="2" s="1"/>
  <c r="Q63" i="2" s="1"/>
  <c r="M62" i="2"/>
  <c r="L62" i="2"/>
  <c r="K62" i="2"/>
  <c r="J62" i="2"/>
  <c r="I62" i="2"/>
  <c r="H62" i="2"/>
  <c r="G62" i="2"/>
  <c r="F62" i="2"/>
  <c r="E62" i="2"/>
  <c r="D62" i="2"/>
  <c r="M61" i="2"/>
  <c r="L61" i="2"/>
  <c r="K61" i="2"/>
  <c r="J61" i="2"/>
  <c r="I61" i="2"/>
  <c r="H61" i="2"/>
  <c r="G61" i="2"/>
  <c r="F61" i="2"/>
  <c r="D61" i="2"/>
  <c r="M60" i="2"/>
  <c r="L60" i="2"/>
  <c r="K60" i="2"/>
  <c r="J60" i="2"/>
  <c r="I60" i="2"/>
  <c r="H60" i="2"/>
  <c r="G60" i="2"/>
  <c r="F60" i="2"/>
  <c r="E60" i="2"/>
  <c r="D60" i="2"/>
  <c r="M59" i="2"/>
  <c r="L59" i="2"/>
  <c r="K59" i="2"/>
  <c r="J59" i="2"/>
  <c r="I59" i="2"/>
  <c r="H59" i="2"/>
  <c r="G59" i="2"/>
  <c r="E59" i="2"/>
  <c r="D59" i="2"/>
  <c r="M58" i="2"/>
  <c r="L58" i="2"/>
  <c r="L87" i="2" s="1"/>
  <c r="K58" i="2"/>
  <c r="K87" i="2" s="1"/>
  <c r="J58" i="2"/>
  <c r="J87" i="2" s="1"/>
  <c r="I58" i="2"/>
  <c r="I87" i="2" s="1"/>
  <c r="H58" i="2"/>
  <c r="H87" i="2" s="1"/>
  <c r="G58" i="2"/>
  <c r="F58" i="2"/>
  <c r="E58" i="2"/>
  <c r="D58" i="2"/>
  <c r="M57" i="2"/>
  <c r="L57" i="2"/>
  <c r="L86" i="2" s="1"/>
  <c r="K57" i="2"/>
  <c r="K86" i="2" s="1"/>
  <c r="J57" i="2"/>
  <c r="J86" i="2" s="1"/>
  <c r="I57" i="2"/>
  <c r="I86" i="2" s="1"/>
  <c r="H57" i="2"/>
  <c r="H86" i="2" s="1"/>
  <c r="G57" i="2"/>
  <c r="G86" i="2" s="1"/>
  <c r="F57" i="2"/>
  <c r="E57" i="2"/>
  <c r="E86" i="2" s="1"/>
  <c r="D57" i="2"/>
  <c r="D86" i="2" s="1"/>
  <c r="P56" i="2"/>
  <c r="Q56" i="2" s="1"/>
  <c r="M54" i="2"/>
  <c r="L54" i="2"/>
  <c r="K54" i="2"/>
  <c r="J54" i="2"/>
  <c r="I54" i="2"/>
  <c r="H54" i="2"/>
  <c r="G54" i="2"/>
  <c r="F54" i="2"/>
  <c r="E54" i="2"/>
  <c r="D54" i="2"/>
  <c r="M53" i="2"/>
  <c r="L53" i="2"/>
  <c r="K53" i="2"/>
  <c r="J53" i="2"/>
  <c r="I53" i="2"/>
  <c r="H53" i="2"/>
  <c r="G53" i="2"/>
  <c r="F53" i="2"/>
  <c r="E53" i="2"/>
  <c r="D53" i="2"/>
  <c r="M52" i="2"/>
  <c r="L52" i="2"/>
  <c r="L82" i="2" s="1"/>
  <c r="K52" i="2"/>
  <c r="K82" i="2" s="1"/>
  <c r="J52" i="2"/>
  <c r="J82" i="2" s="1"/>
  <c r="I52" i="2"/>
  <c r="H52" i="2"/>
  <c r="H82" i="2" s="1"/>
  <c r="G52" i="2"/>
  <c r="G82" i="2" s="1"/>
  <c r="F52" i="2"/>
  <c r="E52" i="2"/>
  <c r="E82" i="2" s="1"/>
  <c r="D52" i="2"/>
  <c r="D82" i="2" s="1"/>
  <c r="M51" i="2"/>
  <c r="M81" i="2" s="1"/>
  <c r="L51" i="2"/>
  <c r="L81" i="2" s="1"/>
  <c r="K51" i="2"/>
  <c r="K81" i="2" s="1"/>
  <c r="J51" i="2"/>
  <c r="I51" i="2"/>
  <c r="I81" i="2" s="1"/>
  <c r="H51" i="2"/>
  <c r="H81" i="2" s="1"/>
  <c r="G51" i="2"/>
  <c r="G81" i="2" s="1"/>
  <c r="F51" i="2"/>
  <c r="E51" i="2"/>
  <c r="D51" i="2"/>
  <c r="D81" i="2" s="1"/>
  <c r="P50" i="2"/>
  <c r="Q50" i="2" s="1"/>
  <c r="P49" i="2"/>
  <c r="Q49" i="2" s="1"/>
  <c r="P48" i="2"/>
  <c r="Q48" i="2" s="1"/>
  <c r="P47" i="2"/>
  <c r="Q47" i="2" s="1"/>
  <c r="M45" i="2"/>
  <c r="L45" i="2"/>
  <c r="K45" i="2"/>
  <c r="J45" i="2"/>
  <c r="I45" i="2"/>
  <c r="H45" i="2"/>
  <c r="G45" i="2"/>
  <c r="F45" i="2"/>
  <c r="N43" i="2"/>
  <c r="P43" i="2" s="1"/>
  <c r="Q43" i="2" s="1"/>
  <c r="E42" i="2"/>
  <c r="D42" i="2"/>
  <c r="E40" i="2"/>
  <c r="D40" i="2"/>
  <c r="E39" i="2"/>
  <c r="D39" i="2"/>
  <c r="E38" i="2"/>
  <c r="D38" i="2"/>
  <c r="P37" i="2"/>
  <c r="Q37" i="2" s="1"/>
  <c r="M33" i="2"/>
  <c r="L33" i="2"/>
  <c r="K33" i="2"/>
  <c r="J33" i="2"/>
  <c r="I33" i="2"/>
  <c r="H33" i="2"/>
  <c r="G33" i="2"/>
  <c r="F33" i="2"/>
  <c r="E33" i="2"/>
  <c r="D33" i="2"/>
  <c r="M32" i="2"/>
  <c r="L32" i="2"/>
  <c r="K32" i="2"/>
  <c r="J32" i="2"/>
  <c r="I32" i="2"/>
  <c r="H32" i="2"/>
  <c r="G32" i="2"/>
  <c r="F32" i="2"/>
  <c r="E32" i="2"/>
  <c r="D32" i="2"/>
  <c r="P31" i="2"/>
  <c r="Q31" i="2" s="1"/>
  <c r="M30" i="2"/>
  <c r="L30" i="2"/>
  <c r="K30" i="2"/>
  <c r="J30" i="2"/>
  <c r="I30" i="2"/>
  <c r="H30" i="2"/>
  <c r="F30" i="2"/>
  <c r="M29" i="2"/>
  <c r="L29" i="2"/>
  <c r="K29" i="2"/>
  <c r="J29" i="2"/>
  <c r="I29" i="2"/>
  <c r="H29" i="2"/>
  <c r="G29" i="2"/>
  <c r="F29" i="2"/>
  <c r="E29" i="2"/>
  <c r="D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P26" i="2"/>
  <c r="Q26" i="2" s="1"/>
  <c r="M25" i="2"/>
  <c r="L25" i="2"/>
  <c r="K25" i="2"/>
  <c r="J25" i="2"/>
  <c r="I25" i="2"/>
  <c r="H25" i="2"/>
  <c r="G25" i="2"/>
  <c r="F25" i="2"/>
  <c r="E25" i="2"/>
  <c r="D25" i="2"/>
  <c r="M24" i="2"/>
  <c r="L24" i="2"/>
  <c r="K24" i="2"/>
  <c r="J24" i="2"/>
  <c r="I24" i="2"/>
  <c r="H24" i="2"/>
  <c r="G24" i="2"/>
  <c r="F24" i="2"/>
  <c r="E24" i="2"/>
  <c r="D24" i="2"/>
  <c r="M23" i="2"/>
  <c r="L23" i="2"/>
  <c r="K23" i="2"/>
  <c r="J23" i="2"/>
  <c r="I23" i="2"/>
  <c r="H23" i="2"/>
  <c r="G23" i="2"/>
  <c r="F23" i="2"/>
  <c r="E23" i="2"/>
  <c r="D23" i="2"/>
  <c r="M22" i="2"/>
  <c r="L22" i="2"/>
  <c r="K22" i="2"/>
  <c r="J22" i="2"/>
  <c r="I22" i="2"/>
  <c r="H22" i="2"/>
  <c r="G22" i="2"/>
  <c r="F22" i="2"/>
  <c r="E22" i="2"/>
  <c r="D22" i="2"/>
  <c r="P21" i="2"/>
  <c r="Q21" i="2" s="1"/>
  <c r="M20" i="2"/>
  <c r="L20" i="2"/>
  <c r="K20" i="2"/>
  <c r="J20" i="2"/>
  <c r="I20" i="2"/>
  <c r="H20" i="2"/>
  <c r="G20" i="2"/>
  <c r="F20" i="2"/>
  <c r="E20" i="2"/>
  <c r="M18" i="2"/>
  <c r="L18" i="2"/>
  <c r="K18" i="2"/>
  <c r="J18" i="2"/>
  <c r="I18" i="2"/>
  <c r="H18" i="2"/>
  <c r="G18" i="2"/>
  <c r="F18" i="2"/>
  <c r="E18" i="2"/>
  <c r="D18" i="2"/>
  <c r="M17" i="2"/>
  <c r="L17" i="2"/>
  <c r="K17" i="2"/>
  <c r="J17" i="2"/>
  <c r="I17" i="2"/>
  <c r="H17" i="2"/>
  <c r="G17" i="2"/>
  <c r="F17" i="2"/>
  <c r="E17" i="2"/>
  <c r="D17" i="2"/>
  <c r="M16" i="2"/>
  <c r="L16" i="2"/>
  <c r="K16" i="2"/>
  <c r="J16" i="2"/>
  <c r="I16" i="2"/>
  <c r="H16" i="2"/>
  <c r="G16" i="2"/>
  <c r="F16" i="2"/>
  <c r="E16" i="2"/>
  <c r="D16" i="2"/>
  <c r="M15" i="2"/>
  <c r="L15" i="2"/>
  <c r="K15" i="2"/>
  <c r="J15" i="2"/>
  <c r="I15" i="2"/>
  <c r="H15" i="2"/>
  <c r="G15" i="2"/>
  <c r="F15" i="2"/>
  <c r="E15" i="2"/>
  <c r="D15" i="2"/>
  <c r="M14" i="2"/>
  <c r="L14" i="2"/>
  <c r="K14" i="2"/>
  <c r="J14" i="2"/>
  <c r="I14" i="2"/>
  <c r="H14" i="2"/>
  <c r="G14" i="2"/>
  <c r="F14" i="2"/>
  <c r="E14" i="2"/>
  <c r="D14" i="2"/>
  <c r="P13" i="2"/>
  <c r="Q13" i="2" s="1"/>
  <c r="P12" i="2"/>
  <c r="Q12" i="2" s="1"/>
  <c r="M10" i="2"/>
  <c r="L10" i="2"/>
  <c r="K10" i="2"/>
  <c r="J10" i="2"/>
  <c r="I10" i="2"/>
  <c r="H10" i="2"/>
  <c r="G10" i="2"/>
  <c r="F10" i="2"/>
  <c r="E10" i="2"/>
  <c r="M9" i="2"/>
  <c r="L9" i="2"/>
  <c r="K9" i="2"/>
  <c r="J9" i="2"/>
  <c r="I9" i="2"/>
  <c r="H9" i="2"/>
  <c r="G9" i="2"/>
  <c r="F9" i="2"/>
  <c r="E9" i="2"/>
  <c r="D9" i="2"/>
  <c r="M8" i="2"/>
  <c r="L8" i="2"/>
  <c r="K8" i="2"/>
  <c r="J8" i="2"/>
  <c r="I8" i="2"/>
  <c r="H8" i="2"/>
  <c r="G8" i="2"/>
  <c r="F8" i="2"/>
  <c r="E8" i="2"/>
  <c r="D8" i="2"/>
  <c r="M7" i="2"/>
  <c r="L7" i="2"/>
  <c r="K7" i="2"/>
  <c r="J7" i="2"/>
  <c r="I7" i="2"/>
  <c r="H7" i="2"/>
  <c r="G7" i="2"/>
  <c r="F7" i="2"/>
  <c r="E7" i="2"/>
  <c r="D7" i="2"/>
  <c r="M6" i="2"/>
  <c r="L6" i="2"/>
  <c r="K6" i="2"/>
  <c r="J6" i="2"/>
  <c r="I6" i="2"/>
  <c r="H6" i="2"/>
  <c r="G6" i="2"/>
  <c r="F6" i="2"/>
  <c r="E6" i="2"/>
  <c r="D6" i="2"/>
  <c r="M5" i="2"/>
  <c r="L5" i="2"/>
  <c r="K5" i="2"/>
  <c r="J5" i="2"/>
  <c r="I5" i="2"/>
  <c r="H5" i="2"/>
  <c r="G5" i="2"/>
  <c r="E5" i="2"/>
  <c r="D5" i="2"/>
  <c r="F34" i="2" l="1"/>
  <c r="E242" i="2"/>
  <c r="E70" i="2" s="1"/>
  <c r="E63" i="16"/>
  <c r="E67" i="16" s="1"/>
  <c r="C102" i="11"/>
  <c r="C60" i="16"/>
  <c r="I94" i="11"/>
  <c r="C111" i="12"/>
  <c r="C35" i="15" s="1"/>
  <c r="I103" i="12"/>
  <c r="N256" i="2"/>
  <c r="B22" i="12"/>
  <c r="B14" i="11"/>
  <c r="P200" i="2"/>
  <c r="Q200" i="2" s="1"/>
  <c r="B47" i="11"/>
  <c r="I47" i="11" s="1"/>
  <c r="B55" i="12"/>
  <c r="I55" i="12" s="1"/>
  <c r="X55" i="12" s="1"/>
  <c r="B87" i="12"/>
  <c r="B78" i="11"/>
  <c r="B60" i="11"/>
  <c r="B67" i="12"/>
  <c r="P134" i="2"/>
  <c r="Q134" i="2" s="1"/>
  <c r="N213" i="2"/>
  <c r="C55" i="2"/>
  <c r="P251" i="2"/>
  <c r="Q251" i="2" s="1"/>
  <c r="B108" i="12"/>
  <c r="I108" i="12" s="1"/>
  <c r="B99" i="11"/>
  <c r="I99" i="11" s="1"/>
  <c r="B105" i="12"/>
  <c r="B96" i="11"/>
  <c r="I96" i="11" s="1"/>
  <c r="P249" i="2"/>
  <c r="Q249" i="2" s="1"/>
  <c r="B106" i="12"/>
  <c r="B97" i="11"/>
  <c r="P250" i="2"/>
  <c r="Q250" i="2" s="1"/>
  <c r="B107" i="12"/>
  <c r="I107" i="12" s="1"/>
  <c r="B98" i="11"/>
  <c r="P246" i="2"/>
  <c r="Q246" i="2" s="1"/>
  <c r="B102" i="12"/>
  <c r="I102" i="12" s="1"/>
  <c r="B93" i="11"/>
  <c r="P245" i="2"/>
  <c r="Q245" i="2" s="1"/>
  <c r="B101" i="12"/>
  <c r="B92" i="11"/>
  <c r="P215" i="2"/>
  <c r="Q215" i="2" s="1"/>
  <c r="P224" i="2"/>
  <c r="Q224" i="2" s="1"/>
  <c r="P235" i="2"/>
  <c r="Q235" i="2" s="1"/>
  <c r="B73" i="12"/>
  <c r="B65" i="11"/>
  <c r="B83" i="2"/>
  <c r="P234" i="2"/>
  <c r="Q234" i="2" s="1"/>
  <c r="B95" i="12"/>
  <c r="I95" i="12" s="1"/>
  <c r="B86" i="11"/>
  <c r="I86" i="11" s="1"/>
  <c r="P233" i="2"/>
  <c r="Q233" i="2" s="1"/>
  <c r="B94" i="12"/>
  <c r="I94" i="12" s="1"/>
  <c r="B85" i="11"/>
  <c r="P232" i="2"/>
  <c r="Q232" i="2" s="1"/>
  <c r="B93" i="12"/>
  <c r="I93" i="12" s="1"/>
  <c r="B84" i="11"/>
  <c r="I84" i="11" s="1"/>
  <c r="P231" i="2"/>
  <c r="Q231" i="2" s="1"/>
  <c r="B92" i="12"/>
  <c r="I92" i="12" s="1"/>
  <c r="B83" i="11"/>
  <c r="P229" i="2"/>
  <c r="Q229" i="2" s="1"/>
  <c r="B89" i="12"/>
  <c r="I89" i="12" s="1"/>
  <c r="B80" i="11"/>
  <c r="P228" i="2"/>
  <c r="Q228" i="2" s="1"/>
  <c r="B88" i="12"/>
  <c r="B79" i="11"/>
  <c r="P227" i="2"/>
  <c r="Q227" i="2" s="1"/>
  <c r="B68" i="12"/>
  <c r="I68" i="12" s="1"/>
  <c r="X68" i="12" s="1"/>
  <c r="B61" i="11"/>
  <c r="P221" i="2"/>
  <c r="Q221" i="2" s="1"/>
  <c r="P220" i="2"/>
  <c r="Q220" i="2" s="1"/>
  <c r="B81" i="12"/>
  <c r="I81" i="12" s="1"/>
  <c r="X81" i="12" s="1"/>
  <c r="B72" i="11"/>
  <c r="P218" i="2"/>
  <c r="Q218" i="2" s="1"/>
  <c r="B79" i="12"/>
  <c r="B70" i="11"/>
  <c r="P217" i="2"/>
  <c r="Q217" i="2" s="1"/>
  <c r="B77" i="12"/>
  <c r="B69" i="11"/>
  <c r="B48" i="12"/>
  <c r="I48" i="12" s="1"/>
  <c r="X48" i="12" s="1"/>
  <c r="B40" i="11"/>
  <c r="I40" i="11" s="1"/>
  <c r="B21" i="12"/>
  <c r="I21" i="12" s="1"/>
  <c r="B13" i="11"/>
  <c r="I13" i="11" s="1"/>
  <c r="B11" i="2"/>
  <c r="P211" i="2"/>
  <c r="Q211" i="2" s="1"/>
  <c r="B71" i="12"/>
  <c r="B63" i="11"/>
  <c r="P209" i="2"/>
  <c r="Q209" i="2" s="1"/>
  <c r="P208" i="2"/>
  <c r="Q208" i="2" s="1"/>
  <c r="B66" i="12"/>
  <c r="I66" i="12" s="1"/>
  <c r="X66" i="12" s="1"/>
  <c r="B59" i="11"/>
  <c r="P207" i="2"/>
  <c r="Q207" i="2" s="1"/>
  <c r="B65" i="12"/>
  <c r="B58" i="11"/>
  <c r="P206" i="2"/>
  <c r="Q206" i="2" s="1"/>
  <c r="B64" i="12"/>
  <c r="B57" i="11"/>
  <c r="P205" i="2"/>
  <c r="Q205" i="2" s="1"/>
  <c r="B62" i="12"/>
  <c r="B54" i="11"/>
  <c r="P204" i="2"/>
  <c r="Q204" i="2" s="1"/>
  <c r="B61" i="12"/>
  <c r="B53" i="11"/>
  <c r="P203" i="2"/>
  <c r="Q203" i="2" s="1"/>
  <c r="B60" i="12"/>
  <c r="B52" i="11"/>
  <c r="P202" i="2"/>
  <c r="Q202" i="2" s="1"/>
  <c r="B58" i="12"/>
  <c r="B50" i="11"/>
  <c r="P201" i="2"/>
  <c r="Q201" i="2" s="1"/>
  <c r="B57" i="12"/>
  <c r="B49" i="11"/>
  <c r="P199" i="2"/>
  <c r="Q199" i="2" s="1"/>
  <c r="B54" i="12"/>
  <c r="I54" i="12" s="1"/>
  <c r="X54" i="12" s="1"/>
  <c r="B46" i="11"/>
  <c r="I46" i="11" s="1"/>
  <c r="P198" i="2"/>
  <c r="Q198" i="2" s="1"/>
  <c r="B53" i="12"/>
  <c r="B45" i="11"/>
  <c r="B52" i="12"/>
  <c r="B44" i="11"/>
  <c r="P192" i="2"/>
  <c r="Q192" i="2" s="1"/>
  <c r="B47" i="12"/>
  <c r="I47" i="12" s="1"/>
  <c r="X47" i="12" s="1"/>
  <c r="B39" i="11"/>
  <c r="I39" i="11" s="1"/>
  <c r="P190" i="2"/>
  <c r="Q190" i="2" s="1"/>
  <c r="B46" i="12"/>
  <c r="B38" i="11"/>
  <c r="P189" i="2"/>
  <c r="Q189" i="2" s="1"/>
  <c r="B45" i="12"/>
  <c r="B37" i="11"/>
  <c r="P188" i="2"/>
  <c r="Q188" i="2" s="1"/>
  <c r="B44" i="12"/>
  <c r="B36" i="11"/>
  <c r="P187" i="2"/>
  <c r="Q187" i="2" s="1"/>
  <c r="B43" i="12"/>
  <c r="B35" i="11"/>
  <c r="P186" i="2"/>
  <c r="Q186" i="2" s="1"/>
  <c r="B42" i="12"/>
  <c r="B34" i="11"/>
  <c r="P185" i="2"/>
  <c r="Q185" i="2" s="1"/>
  <c r="B41" i="12"/>
  <c r="I41" i="12" s="1"/>
  <c r="X41" i="12" s="1"/>
  <c r="B33" i="11"/>
  <c r="P183" i="2"/>
  <c r="Q183" i="2" s="1"/>
  <c r="B40" i="12"/>
  <c r="B32" i="11"/>
  <c r="B31" i="12"/>
  <c r="I31" i="12" s="1"/>
  <c r="B23" i="11"/>
  <c r="I23" i="11" s="1"/>
  <c r="P133" i="2"/>
  <c r="Q133" i="2" s="1"/>
  <c r="B30" i="12"/>
  <c r="I30" i="12" s="1"/>
  <c r="X30" i="12" s="1"/>
  <c r="B22" i="11"/>
  <c r="I22" i="11" s="1"/>
  <c r="P130" i="2"/>
  <c r="Q130" i="2" s="1"/>
  <c r="B29" i="12"/>
  <c r="I29" i="12" s="1"/>
  <c r="X29" i="12" s="1"/>
  <c r="B21" i="11"/>
  <c r="I21" i="11" s="1"/>
  <c r="P129" i="2"/>
  <c r="Q129" i="2" s="1"/>
  <c r="B28" i="12"/>
  <c r="I28" i="12" s="1"/>
  <c r="B20" i="11"/>
  <c r="I20" i="11" s="1"/>
  <c r="P128" i="2"/>
  <c r="Q128" i="2" s="1"/>
  <c r="B27" i="12"/>
  <c r="I27" i="12" s="1"/>
  <c r="X27" i="12" s="1"/>
  <c r="B19" i="11"/>
  <c r="I19" i="11" s="1"/>
  <c r="P127" i="2"/>
  <c r="Q127" i="2" s="1"/>
  <c r="B26" i="12"/>
  <c r="I26" i="12" s="1"/>
  <c r="B18" i="11"/>
  <c r="I18" i="11" s="1"/>
  <c r="P125" i="2"/>
  <c r="Q125" i="2" s="1"/>
  <c r="P110" i="2"/>
  <c r="Q110" i="2" s="1"/>
  <c r="B20" i="12"/>
  <c r="I20" i="12" s="1"/>
  <c r="X20" i="12" s="1"/>
  <c r="B12" i="11"/>
  <c r="I12" i="11" s="1"/>
  <c r="P108" i="2"/>
  <c r="Q108" i="2" s="1"/>
  <c r="P106" i="2"/>
  <c r="Q106" i="2" s="1"/>
  <c r="B19" i="12"/>
  <c r="I19" i="12" s="1"/>
  <c r="X19" i="12" s="1"/>
  <c r="B11" i="11"/>
  <c r="I11" i="11" s="1"/>
  <c r="P105" i="2"/>
  <c r="Q105" i="2" s="1"/>
  <c r="B18" i="12"/>
  <c r="B10" i="11"/>
  <c r="P104" i="2"/>
  <c r="Q104" i="2" s="1"/>
  <c r="B17" i="12"/>
  <c r="B9" i="11"/>
  <c r="P103" i="2"/>
  <c r="Q103" i="2" s="1"/>
  <c r="B16" i="12"/>
  <c r="B8" i="11"/>
  <c r="D88" i="12"/>
  <c r="D79" i="11"/>
  <c r="D45" i="16" s="1"/>
  <c r="D71" i="12"/>
  <c r="D63" i="11"/>
  <c r="D34" i="16" s="1"/>
  <c r="D60" i="12"/>
  <c r="D52" i="11"/>
  <c r="D25" i="16" s="1"/>
  <c r="D53" i="12"/>
  <c r="D45" i="11"/>
  <c r="D23" i="16" s="1"/>
  <c r="D43" i="12"/>
  <c r="D35" i="11"/>
  <c r="D77" i="12"/>
  <c r="D69" i="11"/>
  <c r="D39" i="16" s="1"/>
  <c r="D82" i="12"/>
  <c r="D73" i="11"/>
  <c r="D43" i="16" s="1"/>
  <c r="D70" i="12"/>
  <c r="D62" i="11"/>
  <c r="D64" i="12"/>
  <c r="D57" i="11"/>
  <c r="D29" i="16" s="1"/>
  <c r="D58" i="12"/>
  <c r="D50" i="11"/>
  <c r="D46" i="12"/>
  <c r="D38" i="11"/>
  <c r="D42" i="12"/>
  <c r="D34" i="11"/>
  <c r="D17" i="16" s="1"/>
  <c r="D106" i="12"/>
  <c r="D97" i="11"/>
  <c r="D58" i="16" s="1"/>
  <c r="D61" i="16" s="1"/>
  <c r="D90" i="12"/>
  <c r="I90" i="12" s="1"/>
  <c r="D81" i="11"/>
  <c r="D67" i="12"/>
  <c r="D60" i="11"/>
  <c r="D31" i="16" s="1"/>
  <c r="D62" i="12"/>
  <c r="D54" i="11"/>
  <c r="D27" i="16" s="1"/>
  <c r="D57" i="12"/>
  <c r="D49" i="11"/>
  <c r="D45" i="12"/>
  <c r="D37" i="11"/>
  <c r="D40" i="12"/>
  <c r="D32" i="11"/>
  <c r="D16" i="16" s="1"/>
  <c r="D87" i="12"/>
  <c r="D78" i="11"/>
  <c r="D44" i="16" s="1"/>
  <c r="D73" i="12"/>
  <c r="D65" i="11"/>
  <c r="D101" i="12"/>
  <c r="D92" i="11"/>
  <c r="D79" i="12"/>
  <c r="D70" i="11"/>
  <c r="D40" i="16" s="1"/>
  <c r="D65" i="12"/>
  <c r="D58" i="11"/>
  <c r="D30" i="16" s="1"/>
  <c r="D61" i="12"/>
  <c r="D53" i="11"/>
  <c r="D26" i="16" s="1"/>
  <c r="D56" i="12"/>
  <c r="I56" i="12" s="1"/>
  <c r="X56" i="12" s="1"/>
  <c r="D48" i="11"/>
  <c r="D44" i="12"/>
  <c r="D36" i="11"/>
  <c r="C58" i="12"/>
  <c r="C50" i="11"/>
  <c r="C24" i="16" s="1"/>
  <c r="C36" i="16" s="1"/>
  <c r="C22" i="12"/>
  <c r="C67" i="12"/>
  <c r="C60" i="11"/>
  <c r="C31" i="16" s="1"/>
  <c r="C17" i="12"/>
  <c r="C9" i="11"/>
  <c r="C82" i="12"/>
  <c r="C73" i="11"/>
  <c r="C18" i="12"/>
  <c r="C10" i="11"/>
  <c r="C16" i="12"/>
  <c r="C8" i="11"/>
  <c r="G15" i="6"/>
  <c r="C79" i="12"/>
  <c r="C70" i="11"/>
  <c r="C40" i="16" s="1"/>
  <c r="C25" i="11"/>
  <c r="C33" i="12"/>
  <c r="C24" i="15" s="1"/>
  <c r="C25" i="15" s="1"/>
  <c r="S35" i="3"/>
  <c r="S45" i="3" s="1"/>
  <c r="R58" i="3"/>
  <c r="R68" i="3" s="1"/>
  <c r="U62" i="3"/>
  <c r="T82" i="3"/>
  <c r="T92" i="3" s="1"/>
  <c r="G49" i="6"/>
  <c r="F34" i="6"/>
  <c r="F59" i="6" s="1"/>
  <c r="C34" i="6"/>
  <c r="C59" i="6" s="1"/>
  <c r="D34" i="6"/>
  <c r="D59" i="6" s="1"/>
  <c r="Q12" i="3"/>
  <c r="Q22" i="3" s="1"/>
  <c r="U7" i="3"/>
  <c r="T285" i="3"/>
  <c r="S286" i="3"/>
  <c r="R287" i="3"/>
  <c r="R288" i="3"/>
  <c r="Q293" i="3"/>
  <c r="R35" i="3"/>
  <c r="R45" i="3" s="1"/>
  <c r="U31" i="3"/>
  <c r="U32" i="3"/>
  <c r="U33" i="3"/>
  <c r="Q58" i="3"/>
  <c r="Q68" i="3" s="1"/>
  <c r="U53" i="3"/>
  <c r="S82" i="3"/>
  <c r="S92" i="3" s="1"/>
  <c r="U290" i="3"/>
  <c r="B34" i="6"/>
  <c r="B59" i="6" s="1"/>
  <c r="G40" i="6"/>
  <c r="F64" i="5"/>
  <c r="F71" i="5" s="1"/>
  <c r="F74" i="5" s="1"/>
  <c r="G35" i="5"/>
  <c r="C64" i="5"/>
  <c r="D64" i="5"/>
  <c r="D71" i="5" s="1"/>
  <c r="D74" i="5" s="1"/>
  <c r="C22" i="5"/>
  <c r="G62" i="5"/>
  <c r="B64" i="5"/>
  <c r="B22" i="5"/>
  <c r="G20" i="5"/>
  <c r="D24" i="11" s="1"/>
  <c r="G50" i="5"/>
  <c r="G15" i="5"/>
  <c r="G69" i="5"/>
  <c r="G32" i="5"/>
  <c r="R284" i="3"/>
  <c r="S287" i="3"/>
  <c r="P295" i="3"/>
  <c r="Q296" i="3"/>
  <c r="U55" i="3"/>
  <c r="P82" i="3"/>
  <c r="P92" i="3" s="1"/>
  <c r="U128" i="3"/>
  <c r="U138" i="3" s="1"/>
  <c r="W138" i="3" s="1"/>
  <c r="U174" i="3"/>
  <c r="U184" i="3" s="1"/>
  <c r="S284" i="3"/>
  <c r="R285" i="3"/>
  <c r="Q286" i="3"/>
  <c r="U9" i="3"/>
  <c r="P288" i="3"/>
  <c r="T288" i="3"/>
  <c r="S293" i="3"/>
  <c r="Q295" i="3"/>
  <c r="P35" i="3"/>
  <c r="P45" i="3" s="1"/>
  <c r="T35" i="3"/>
  <c r="T45" i="3" s="1"/>
  <c r="S58" i="3"/>
  <c r="S68" i="3" s="1"/>
  <c r="Q82" i="3"/>
  <c r="Q92" i="3" s="1"/>
  <c r="U76" i="3"/>
  <c r="U84" i="3"/>
  <c r="U197" i="3"/>
  <c r="U207" i="3" s="1"/>
  <c r="W207" i="3" s="1"/>
  <c r="U297" i="3"/>
  <c r="Q285" i="3"/>
  <c r="P286" i="3"/>
  <c r="S288" i="3"/>
  <c r="R293" i="3"/>
  <c r="U37" i="3"/>
  <c r="U54" i="3"/>
  <c r="U56" i="3"/>
  <c r="U245" i="3"/>
  <c r="U255" i="3" s="1"/>
  <c r="P284" i="3"/>
  <c r="T284" i="3"/>
  <c r="S285" i="3"/>
  <c r="R286" i="3"/>
  <c r="Q287" i="3"/>
  <c r="Q288" i="3"/>
  <c r="P293" i="3"/>
  <c r="T293" i="3"/>
  <c r="R295" i="3"/>
  <c r="Q35" i="3"/>
  <c r="Q45" i="3" s="1"/>
  <c r="U30" i="3"/>
  <c r="U39" i="3"/>
  <c r="P58" i="3"/>
  <c r="P68" i="3" s="1"/>
  <c r="T58" i="3"/>
  <c r="T68" i="3" s="1"/>
  <c r="U60" i="3"/>
  <c r="R82" i="3"/>
  <c r="R92" i="3" s="1"/>
  <c r="U77" i="3"/>
  <c r="U78" i="3"/>
  <c r="U79" i="3"/>
  <c r="U105" i="3"/>
  <c r="U115" i="3" s="1"/>
  <c r="W115" i="3" s="1"/>
  <c r="U151" i="3"/>
  <c r="U161" i="3" s="1"/>
  <c r="U298" i="3"/>
  <c r="W232" i="3"/>
  <c r="W231" i="3"/>
  <c r="W278" i="3"/>
  <c r="W277" i="3"/>
  <c r="W137" i="3"/>
  <c r="W184" i="3"/>
  <c r="W255" i="3"/>
  <c r="W257" i="3" s="1"/>
  <c r="W254" i="3"/>
  <c r="V183" i="3"/>
  <c r="W183" i="3" s="1"/>
  <c r="W114" i="3"/>
  <c r="W160" i="3"/>
  <c r="W161" i="3"/>
  <c r="U10" i="3"/>
  <c r="V10" i="3" s="1"/>
  <c r="R12" i="3"/>
  <c r="R22" i="3" s="1"/>
  <c r="U29" i="3"/>
  <c r="U75" i="3"/>
  <c r="U80" i="3"/>
  <c r="Q284" i="3"/>
  <c r="P296" i="3"/>
  <c r="U296" i="3" s="1"/>
  <c r="U6" i="3"/>
  <c r="U8" i="3"/>
  <c r="S12" i="3"/>
  <c r="S22" i="3" s="1"/>
  <c r="U14" i="3"/>
  <c r="P285" i="3"/>
  <c r="P287" i="3"/>
  <c r="P12" i="3"/>
  <c r="P22" i="3" s="1"/>
  <c r="T12" i="3"/>
  <c r="T22" i="3" s="1"/>
  <c r="U16" i="3"/>
  <c r="U52" i="3"/>
  <c r="C83" i="2"/>
  <c r="B91" i="2"/>
  <c r="B45" i="2"/>
  <c r="B73" i="2"/>
  <c r="B34" i="2"/>
  <c r="C34" i="2"/>
  <c r="B181" i="2"/>
  <c r="B258" i="2" s="1"/>
  <c r="B65" i="2"/>
  <c r="C11" i="2"/>
  <c r="B55" i="2"/>
  <c r="C45" i="2"/>
  <c r="C73" i="2"/>
  <c r="C91" i="2"/>
  <c r="C65" i="2"/>
  <c r="C181" i="2"/>
  <c r="C258" i="2" s="1"/>
  <c r="C66" i="2"/>
  <c r="H83" i="2"/>
  <c r="L83" i="2"/>
  <c r="N62" i="2"/>
  <c r="P62" i="2" s="1"/>
  <c r="Q62" i="2" s="1"/>
  <c r="N42" i="2"/>
  <c r="P42" i="2" s="1"/>
  <c r="Q42" i="2" s="1"/>
  <c r="L181" i="2"/>
  <c r="L258" i="2" s="1"/>
  <c r="N53" i="2"/>
  <c r="P53" i="2" s="1"/>
  <c r="Q53" i="2" s="1"/>
  <c r="N59" i="2"/>
  <c r="P59" i="2" s="1"/>
  <c r="Q59" i="2" s="1"/>
  <c r="N18" i="2"/>
  <c r="P18" i="2" s="1"/>
  <c r="Q18" i="2" s="1"/>
  <c r="N28" i="2"/>
  <c r="P28" i="2" s="1"/>
  <c r="Q28" i="2" s="1"/>
  <c r="D83" i="2"/>
  <c r="N52" i="2"/>
  <c r="P52" i="2" s="1"/>
  <c r="Q52" i="2" s="1"/>
  <c r="J11" i="2"/>
  <c r="D11" i="2"/>
  <c r="F181" i="2"/>
  <c r="F258" i="2" s="1"/>
  <c r="J181" i="2"/>
  <c r="J258" i="2" s="1"/>
  <c r="N8" i="2"/>
  <c r="P8" i="2" s="1"/>
  <c r="Q8" i="2" s="1"/>
  <c r="N15" i="2"/>
  <c r="P15" i="2" s="1"/>
  <c r="Q15" i="2" s="1"/>
  <c r="N27" i="2"/>
  <c r="P27" i="2" s="1"/>
  <c r="Q27" i="2" s="1"/>
  <c r="N89" i="2"/>
  <c r="P89" i="2" s="1"/>
  <c r="Q89" i="2" s="1"/>
  <c r="H11" i="2"/>
  <c r="E34" i="2"/>
  <c r="N25" i="2"/>
  <c r="P25" i="2" s="1"/>
  <c r="Q25" i="2" s="1"/>
  <c r="N24" i="2"/>
  <c r="P24" i="2" s="1"/>
  <c r="Q24" i="2" s="1"/>
  <c r="N32" i="2"/>
  <c r="P32" i="2" s="1"/>
  <c r="Q32" i="2" s="1"/>
  <c r="N38" i="2"/>
  <c r="P38" i="2" s="1"/>
  <c r="Q38" i="2" s="1"/>
  <c r="N58" i="2"/>
  <c r="P58" i="2" s="1"/>
  <c r="Q58" i="2" s="1"/>
  <c r="G258" i="2"/>
  <c r="K258" i="2"/>
  <c r="H73" i="2"/>
  <c r="L73" i="2"/>
  <c r="L11" i="2"/>
  <c r="I34" i="2"/>
  <c r="N33" i="2"/>
  <c r="P33" i="2" s="1"/>
  <c r="Q33" i="2" s="1"/>
  <c r="E55" i="2"/>
  <c r="L55" i="2"/>
  <c r="N60" i="2"/>
  <c r="P60" i="2" s="1"/>
  <c r="Q60" i="2" s="1"/>
  <c r="N9" i="2"/>
  <c r="P9" i="2" s="1"/>
  <c r="Q9" i="2" s="1"/>
  <c r="N22" i="2"/>
  <c r="P22" i="2" s="1"/>
  <c r="Q22" i="2" s="1"/>
  <c r="N29" i="2"/>
  <c r="P29" i="2" s="1"/>
  <c r="Q29" i="2" s="1"/>
  <c r="I91" i="2"/>
  <c r="N71" i="2"/>
  <c r="P71" i="2" s="1"/>
  <c r="Q71" i="2" s="1"/>
  <c r="F83" i="2"/>
  <c r="D181" i="2"/>
  <c r="D258" i="2" s="1"/>
  <c r="H181" i="2"/>
  <c r="H258" i="2" s="1"/>
  <c r="D73" i="2"/>
  <c r="E91" i="2"/>
  <c r="K73" i="2"/>
  <c r="N30" i="2"/>
  <c r="P30" i="2" s="1"/>
  <c r="Q30" i="2" s="1"/>
  <c r="F55" i="2"/>
  <c r="N177" i="2"/>
  <c r="P177" i="2" s="1"/>
  <c r="Q177" i="2" s="1"/>
  <c r="E180" i="2"/>
  <c r="E181" i="2" s="1"/>
  <c r="E258" i="2" s="1"/>
  <c r="I73" i="2"/>
  <c r="N226" i="2"/>
  <c r="N242" i="2" s="1"/>
  <c r="E11" i="2"/>
  <c r="N10" i="2"/>
  <c r="K34" i="2"/>
  <c r="D45" i="2"/>
  <c r="K83" i="2"/>
  <c r="F91" i="2"/>
  <c r="E65" i="2"/>
  <c r="E81" i="2"/>
  <c r="E83" i="2" s="1"/>
  <c r="G34" i="2"/>
  <c r="J55" i="2"/>
  <c r="G73" i="2"/>
  <c r="G91" i="2"/>
  <c r="F11" i="2"/>
  <c r="F35" i="2" s="1"/>
  <c r="N6" i="2"/>
  <c r="P6" i="2" s="1"/>
  <c r="Q6" i="2" s="1"/>
  <c r="N20" i="2"/>
  <c r="I55" i="2"/>
  <c r="H55" i="2"/>
  <c r="D91" i="2"/>
  <c r="H91" i="2"/>
  <c r="L91" i="2"/>
  <c r="K65" i="2"/>
  <c r="F73" i="2"/>
  <c r="M34" i="2"/>
  <c r="M73" i="2"/>
  <c r="N14" i="2"/>
  <c r="J34" i="2"/>
  <c r="N17" i="2"/>
  <c r="P17" i="2" s="1"/>
  <c r="Q17" i="2" s="1"/>
  <c r="K91" i="2"/>
  <c r="I11" i="2"/>
  <c r="M11" i="2"/>
  <c r="N87" i="2"/>
  <c r="P87" i="2" s="1"/>
  <c r="Q87" i="2" s="1"/>
  <c r="N90" i="2"/>
  <c r="P90" i="2" s="1"/>
  <c r="Q90" i="2" s="1"/>
  <c r="N40" i="2"/>
  <c r="P40" i="2" s="1"/>
  <c r="Q40" i="2" s="1"/>
  <c r="N51" i="2"/>
  <c r="H65" i="2"/>
  <c r="M65" i="2"/>
  <c r="N68" i="2"/>
  <c r="J81" i="2"/>
  <c r="J83" i="2" s="1"/>
  <c r="N5" i="2"/>
  <c r="G83" i="2"/>
  <c r="M55" i="2"/>
  <c r="N64" i="2"/>
  <c r="P64" i="2" s="1"/>
  <c r="Q64" i="2" s="1"/>
  <c r="D65" i="2"/>
  <c r="I65" i="2"/>
  <c r="N72" i="2"/>
  <c r="P72" i="2" s="1"/>
  <c r="Q72" i="2" s="1"/>
  <c r="I82" i="2"/>
  <c r="I83" i="2" s="1"/>
  <c r="M86" i="2"/>
  <c r="N86" i="2" s="1"/>
  <c r="P213" i="2"/>
  <c r="Q213" i="2" s="1"/>
  <c r="P216" i="2"/>
  <c r="Q216" i="2" s="1"/>
  <c r="G11" i="2"/>
  <c r="K11" i="2"/>
  <c r="N7" i="2"/>
  <c r="P7" i="2" s="1"/>
  <c r="Q7" i="2" s="1"/>
  <c r="N16" i="2"/>
  <c r="P16" i="2" s="1"/>
  <c r="Q16" i="2" s="1"/>
  <c r="N23" i="2"/>
  <c r="P23" i="2" s="1"/>
  <c r="Q23" i="2" s="1"/>
  <c r="E45" i="2"/>
  <c r="N39" i="2"/>
  <c r="P39" i="2" s="1"/>
  <c r="Q39" i="2" s="1"/>
  <c r="D55" i="2"/>
  <c r="F65" i="2"/>
  <c r="J91" i="2"/>
  <c r="J69" i="2"/>
  <c r="J73" i="2" s="1"/>
  <c r="P102" i="2"/>
  <c r="Q102" i="2" s="1"/>
  <c r="N123" i="2"/>
  <c r="P123" i="2" s="1"/>
  <c r="Q123" i="2" s="1"/>
  <c r="D34" i="2"/>
  <c r="H34" i="2"/>
  <c r="L34" i="2"/>
  <c r="N54" i="2"/>
  <c r="P54" i="2" s="1"/>
  <c r="Q54" i="2" s="1"/>
  <c r="N61" i="2"/>
  <c r="P61" i="2" s="1"/>
  <c r="Q61" i="2" s="1"/>
  <c r="G65" i="2"/>
  <c r="L65" i="2"/>
  <c r="M82" i="2"/>
  <c r="M83" i="2" s="1"/>
  <c r="I181" i="2"/>
  <c r="I258" i="2" s="1"/>
  <c r="M181" i="2"/>
  <c r="P256" i="2"/>
  <c r="Q256" i="2" s="1"/>
  <c r="G55" i="2"/>
  <c r="K55" i="2"/>
  <c r="N57" i="2"/>
  <c r="J65" i="2"/>
  <c r="N88" i="2"/>
  <c r="P88" i="2" s="1"/>
  <c r="Q88" i="2" s="1"/>
  <c r="N194" i="2"/>
  <c r="P194" i="2" s="1"/>
  <c r="Q194" i="2" s="1"/>
  <c r="N70" i="2" l="1"/>
  <c r="P70" i="2" s="1"/>
  <c r="Q70" i="2" s="1"/>
  <c r="E73" i="2"/>
  <c r="D111" i="12"/>
  <c r="D35" i="15" s="1"/>
  <c r="I87" i="12"/>
  <c r="X87" i="12" s="1"/>
  <c r="I97" i="11"/>
  <c r="U287" i="3"/>
  <c r="I35" i="11"/>
  <c r="I65" i="11"/>
  <c r="I9" i="11"/>
  <c r="B32" i="16"/>
  <c r="I32" i="16" s="1"/>
  <c r="I59" i="11"/>
  <c r="I48" i="11"/>
  <c r="D24" i="16"/>
  <c r="D47" i="16"/>
  <c r="I47" i="16" s="1"/>
  <c r="I81" i="11"/>
  <c r="D35" i="16"/>
  <c r="I8" i="11"/>
  <c r="I34" i="11"/>
  <c r="B17" i="16"/>
  <c r="I17" i="16" s="1"/>
  <c r="I38" i="11"/>
  <c r="B23" i="16"/>
  <c r="I23" i="16" s="1"/>
  <c r="I45" i="11"/>
  <c r="B25" i="16"/>
  <c r="I25" i="16" s="1"/>
  <c r="I52" i="11"/>
  <c r="B30" i="16"/>
  <c r="I30" i="16" s="1"/>
  <c r="I58" i="11"/>
  <c r="B45" i="16"/>
  <c r="I45" i="16" s="1"/>
  <c r="I79" i="11"/>
  <c r="B50" i="16"/>
  <c r="I50" i="16" s="1"/>
  <c r="I85" i="11"/>
  <c r="B56" i="16"/>
  <c r="I92" i="11"/>
  <c r="I53" i="11"/>
  <c r="B26" i="16"/>
  <c r="I26" i="16" s="1"/>
  <c r="B34" i="16"/>
  <c r="I34" i="16" s="1"/>
  <c r="I63" i="11"/>
  <c r="B39" i="16"/>
  <c r="I69" i="11"/>
  <c r="I80" i="11"/>
  <c r="B46" i="16"/>
  <c r="I46" i="16" s="1"/>
  <c r="B57" i="16"/>
  <c r="I57" i="16" s="1"/>
  <c r="I93" i="11"/>
  <c r="C43" i="16"/>
  <c r="I43" i="16" s="1"/>
  <c r="I73" i="11"/>
  <c r="I33" i="11"/>
  <c r="B18" i="16"/>
  <c r="I37" i="11"/>
  <c r="I50" i="11"/>
  <c r="B29" i="16"/>
  <c r="I29" i="16" s="1"/>
  <c r="I57" i="11"/>
  <c r="I72" i="11"/>
  <c r="B42" i="16"/>
  <c r="I42" i="16" s="1"/>
  <c r="B33" i="16"/>
  <c r="I33" i="16" s="1"/>
  <c r="I61" i="11"/>
  <c r="B58" i="16"/>
  <c r="I58" i="16" s="1"/>
  <c r="B31" i="16"/>
  <c r="I31" i="16" s="1"/>
  <c r="I60" i="11"/>
  <c r="I60" i="16"/>
  <c r="C61" i="16"/>
  <c r="D18" i="16"/>
  <c r="D19" i="16" s="1"/>
  <c r="I10" i="11"/>
  <c r="B16" i="16"/>
  <c r="I32" i="11"/>
  <c r="I36" i="11"/>
  <c r="B22" i="16"/>
  <c r="B24" i="16"/>
  <c r="I24" i="16" s="1"/>
  <c r="I49" i="11"/>
  <c r="B27" i="16"/>
  <c r="I27" i="16" s="1"/>
  <c r="I54" i="11"/>
  <c r="I70" i="11"/>
  <c r="B40" i="16"/>
  <c r="I40" i="16" s="1"/>
  <c r="B49" i="16"/>
  <c r="I49" i="16" s="1"/>
  <c r="I83" i="11"/>
  <c r="B59" i="16"/>
  <c r="I59" i="16" s="1"/>
  <c r="I98" i="11"/>
  <c r="I78" i="11"/>
  <c r="B44" i="16"/>
  <c r="I44" i="16" s="1"/>
  <c r="I16" i="12"/>
  <c r="I88" i="12"/>
  <c r="X88" i="12" s="1"/>
  <c r="C9" i="16"/>
  <c r="D102" i="11"/>
  <c r="B102" i="11"/>
  <c r="AB90" i="12"/>
  <c r="X90" i="12"/>
  <c r="AB31" i="12"/>
  <c r="X31" i="12"/>
  <c r="AB93" i="12"/>
  <c r="X93" i="12"/>
  <c r="AB92" i="12"/>
  <c r="X92" i="12"/>
  <c r="AB107" i="12"/>
  <c r="X107" i="12"/>
  <c r="AB108" i="12"/>
  <c r="X108" i="12"/>
  <c r="AB103" i="12"/>
  <c r="X103" i="12"/>
  <c r="AB94" i="12"/>
  <c r="X94" i="12"/>
  <c r="AD26" i="12"/>
  <c r="AF26" i="12" s="1"/>
  <c r="X26" i="12"/>
  <c r="AB28" i="12"/>
  <c r="X28" i="12"/>
  <c r="AB21" i="12"/>
  <c r="X21" i="12"/>
  <c r="AB89" i="12"/>
  <c r="X89" i="12"/>
  <c r="AB95" i="12"/>
  <c r="X95" i="12"/>
  <c r="AB102" i="12"/>
  <c r="X102" i="12"/>
  <c r="I62" i="12"/>
  <c r="X62" i="12" s="1"/>
  <c r="I105" i="12"/>
  <c r="B32" i="12"/>
  <c r="B33" i="12" s="1"/>
  <c r="B24" i="15" s="1"/>
  <c r="B25" i="15" s="1"/>
  <c r="B24" i="11"/>
  <c r="I61" i="12"/>
  <c r="I73" i="12"/>
  <c r="AB55" i="12"/>
  <c r="AD55" i="12"/>
  <c r="AF55" i="12" s="1"/>
  <c r="B111" i="12"/>
  <c r="I46" i="12"/>
  <c r="AD46" i="12" s="1"/>
  <c r="AF46" i="12" s="1"/>
  <c r="I60" i="12"/>
  <c r="AB26" i="12"/>
  <c r="I45" i="12"/>
  <c r="B92" i="2"/>
  <c r="I17" i="12"/>
  <c r="C35" i="2"/>
  <c r="I64" i="12"/>
  <c r="B35" i="2"/>
  <c r="B36" i="2" s="1"/>
  <c r="C92" i="2"/>
  <c r="I106" i="12"/>
  <c r="B66" i="2"/>
  <c r="D92" i="2"/>
  <c r="B87" i="11"/>
  <c r="I65" i="12"/>
  <c r="B96" i="12"/>
  <c r="B32" i="15" s="1"/>
  <c r="I42" i="12"/>
  <c r="I53" i="12"/>
  <c r="B49" i="12"/>
  <c r="B30" i="15" s="1"/>
  <c r="I71" i="12"/>
  <c r="AB68" i="12"/>
  <c r="AD68" i="12"/>
  <c r="AF68" i="12" s="1"/>
  <c r="P226" i="2"/>
  <c r="Q226" i="2" s="1"/>
  <c r="B70" i="12"/>
  <c r="I70" i="12" s="1"/>
  <c r="X70" i="12" s="1"/>
  <c r="B62" i="11"/>
  <c r="AD81" i="12"/>
  <c r="AF81" i="12" s="1"/>
  <c r="AB81" i="12"/>
  <c r="AB48" i="12"/>
  <c r="AD48" i="12"/>
  <c r="AF48" i="12" s="1"/>
  <c r="I57" i="12"/>
  <c r="I43" i="12"/>
  <c r="I44" i="12"/>
  <c r="I35" i="2"/>
  <c r="I36" i="2" s="1"/>
  <c r="I67" i="12"/>
  <c r="AD66" i="12"/>
  <c r="AF66" i="12" s="1"/>
  <c r="AB66" i="12"/>
  <c r="AD54" i="12"/>
  <c r="AF54" i="12" s="1"/>
  <c r="AB54" i="12"/>
  <c r="AD47" i="12"/>
  <c r="AF47" i="12" s="1"/>
  <c r="AB47" i="12"/>
  <c r="B41" i="11"/>
  <c r="AB41" i="12"/>
  <c r="AD41" i="12"/>
  <c r="AF41" i="12" s="1"/>
  <c r="AD28" i="12"/>
  <c r="AF28" i="12" s="1"/>
  <c r="AD30" i="12"/>
  <c r="AF30" i="12" s="1"/>
  <c r="AB30" i="12"/>
  <c r="AB29" i="12"/>
  <c r="AD29" i="12"/>
  <c r="AF29" i="12" s="1"/>
  <c r="I18" i="12"/>
  <c r="AD20" i="12"/>
  <c r="AF20" i="12" s="1"/>
  <c r="AB20" i="12"/>
  <c r="B23" i="12"/>
  <c r="B20" i="15" s="1"/>
  <c r="AD19" i="12"/>
  <c r="AF19" i="12" s="1"/>
  <c r="AB19" i="12"/>
  <c r="B15" i="11"/>
  <c r="AB87" i="12"/>
  <c r="AB88" i="12"/>
  <c r="AD88" i="12"/>
  <c r="AF88" i="12" s="1"/>
  <c r="I82" i="12"/>
  <c r="X82" i="12" s="1"/>
  <c r="C71" i="5"/>
  <c r="C74" i="5" s="1"/>
  <c r="D41" i="11"/>
  <c r="D22" i="12"/>
  <c r="D23" i="12" s="1"/>
  <c r="D20" i="15" s="1"/>
  <c r="D21" i="15" s="1"/>
  <c r="D14" i="11"/>
  <c r="I14" i="11" s="1"/>
  <c r="AD56" i="12"/>
  <c r="AF56" i="12" s="1"/>
  <c r="AB56" i="12"/>
  <c r="D52" i="12"/>
  <c r="D44" i="11"/>
  <c r="D22" i="16" s="1"/>
  <c r="D87" i="11"/>
  <c r="AD65" i="12"/>
  <c r="AF65" i="12" s="1"/>
  <c r="I101" i="12"/>
  <c r="I40" i="12"/>
  <c r="X40" i="12" s="1"/>
  <c r="D49" i="12"/>
  <c r="D30" i="15" s="1"/>
  <c r="I77" i="12"/>
  <c r="X77" i="12" s="1"/>
  <c r="D96" i="12"/>
  <c r="D32" i="15" s="1"/>
  <c r="D32" i="12"/>
  <c r="AB62" i="12"/>
  <c r="AD62" i="12"/>
  <c r="AF62" i="12" s="1"/>
  <c r="C15" i="11"/>
  <c r="R291" i="3"/>
  <c r="C87" i="11"/>
  <c r="C96" i="12"/>
  <c r="C32" i="15" s="1"/>
  <c r="I79" i="12"/>
  <c r="X79" i="12" s="1"/>
  <c r="I58" i="12"/>
  <c r="X58" i="12" s="1"/>
  <c r="C74" i="12"/>
  <c r="C31" i="15" s="1"/>
  <c r="C23" i="12"/>
  <c r="C20" i="15" s="1"/>
  <c r="C21" i="15" s="1"/>
  <c r="C7" i="16" s="1"/>
  <c r="X16" i="12"/>
  <c r="C66" i="11"/>
  <c r="AD27" i="12"/>
  <c r="AF27" i="12" s="1"/>
  <c r="AB27" i="12"/>
  <c r="S291" i="3"/>
  <c r="U293" i="3"/>
  <c r="V91" i="3"/>
  <c r="U288" i="3"/>
  <c r="T291" i="3"/>
  <c r="G57" i="6"/>
  <c r="G34" i="6"/>
  <c r="U285" i="3"/>
  <c r="Q301" i="3"/>
  <c r="V67" i="3"/>
  <c r="U286" i="3"/>
  <c r="U295" i="3"/>
  <c r="C46" i="2"/>
  <c r="U35" i="3"/>
  <c r="U45" i="3" s="1"/>
  <c r="W46" i="3" s="1"/>
  <c r="R301" i="3"/>
  <c r="G64" i="5"/>
  <c r="B71" i="5"/>
  <c r="B74" i="5" s="1"/>
  <c r="G22" i="5"/>
  <c r="T301" i="3"/>
  <c r="U58" i="3"/>
  <c r="U68" i="3" s="1"/>
  <c r="S301" i="3"/>
  <c r="Q291" i="3"/>
  <c r="W206" i="3"/>
  <c r="V45" i="3"/>
  <c r="U12" i="3"/>
  <c r="U22" i="3" s="1"/>
  <c r="U82" i="3"/>
  <c r="U92" i="3" s="1"/>
  <c r="V22" i="3"/>
  <c r="P301" i="3"/>
  <c r="U284" i="3"/>
  <c r="P291" i="3"/>
  <c r="D35" i="2"/>
  <c r="D46" i="2" s="1"/>
  <c r="L66" i="2"/>
  <c r="L35" i="2"/>
  <c r="L74" i="2" s="1"/>
  <c r="L260" i="2" s="1"/>
  <c r="C74" i="2"/>
  <c r="C78" i="2" s="1"/>
  <c r="B46" i="2"/>
  <c r="C36" i="2"/>
  <c r="E35" i="2"/>
  <c r="E36" i="2" s="1"/>
  <c r="J66" i="2"/>
  <c r="L92" i="2"/>
  <c r="H92" i="2"/>
  <c r="H35" i="2"/>
  <c r="H36" i="2" s="1"/>
  <c r="K35" i="2"/>
  <c r="K36" i="2" s="1"/>
  <c r="E92" i="2"/>
  <c r="K92" i="2"/>
  <c r="I66" i="2"/>
  <c r="K66" i="2"/>
  <c r="E66" i="2"/>
  <c r="H66" i="2"/>
  <c r="F92" i="2"/>
  <c r="N69" i="2"/>
  <c r="P69" i="2" s="1"/>
  <c r="Q69" i="2" s="1"/>
  <c r="I92" i="2"/>
  <c r="N180" i="2"/>
  <c r="P180" i="2" s="1"/>
  <c r="Q180" i="2" s="1"/>
  <c r="J35" i="2"/>
  <c r="J36" i="2" s="1"/>
  <c r="G92" i="2"/>
  <c r="P242" i="2"/>
  <c r="Q242" i="2" s="1"/>
  <c r="N81" i="2"/>
  <c r="P81" i="2" s="1"/>
  <c r="Q81" i="2" s="1"/>
  <c r="N82" i="2"/>
  <c r="P82" i="2" s="1"/>
  <c r="Q82" i="2" s="1"/>
  <c r="D66" i="2"/>
  <c r="J92" i="2"/>
  <c r="F66" i="2"/>
  <c r="F74" i="2" s="1"/>
  <c r="F260" i="2" s="1"/>
  <c r="G35" i="2"/>
  <c r="G36" i="2" s="1"/>
  <c r="N45" i="2"/>
  <c r="P45" i="2" s="1"/>
  <c r="Q45" i="2" s="1"/>
  <c r="N65" i="2"/>
  <c r="P65" i="2" s="1"/>
  <c r="Q65" i="2" s="1"/>
  <c r="P57" i="2"/>
  <c r="Q57" i="2" s="1"/>
  <c r="M258" i="2"/>
  <c r="N11" i="2"/>
  <c r="P5" i="2"/>
  <c r="Q5" i="2" s="1"/>
  <c r="M35" i="2"/>
  <c r="P86" i="2"/>
  <c r="Q86" i="2" s="1"/>
  <c r="N91" i="2"/>
  <c r="N181" i="2"/>
  <c r="M66" i="2"/>
  <c r="P14" i="2"/>
  <c r="Q14" i="2" s="1"/>
  <c r="N34" i="2"/>
  <c r="P34" i="2" s="1"/>
  <c r="Q34" i="2" s="1"/>
  <c r="M91" i="2"/>
  <c r="P51" i="2"/>
  <c r="Q51" i="2" s="1"/>
  <c r="N55" i="2"/>
  <c r="I46" i="2"/>
  <c r="G66" i="2"/>
  <c r="P68" i="2"/>
  <c r="Q68" i="2" s="1"/>
  <c r="AD87" i="12" l="1"/>
  <c r="AF87" i="12" s="1"/>
  <c r="B74" i="2"/>
  <c r="C11" i="16"/>
  <c r="D36" i="16"/>
  <c r="C51" i="16"/>
  <c r="C53" i="16" s="1"/>
  <c r="I87" i="11"/>
  <c r="I44" i="11"/>
  <c r="B19" i="16"/>
  <c r="I16" i="16"/>
  <c r="I41" i="11"/>
  <c r="B35" i="16"/>
  <c r="I35" i="16" s="1"/>
  <c r="I62" i="11"/>
  <c r="I22" i="16"/>
  <c r="D51" i="16"/>
  <c r="C63" i="16"/>
  <c r="C67" i="16" s="1"/>
  <c r="B61" i="16"/>
  <c r="I61" i="16" s="1"/>
  <c r="I56" i="16"/>
  <c r="B51" i="16"/>
  <c r="I39" i="16"/>
  <c r="B25" i="11"/>
  <c r="I24" i="11"/>
  <c r="I102" i="11"/>
  <c r="I18" i="16"/>
  <c r="I20" i="15"/>
  <c r="B21" i="15"/>
  <c r="I111" i="12"/>
  <c r="X111" i="12" s="1"/>
  <c r="B35" i="15"/>
  <c r="I35" i="15" s="1"/>
  <c r="C27" i="15"/>
  <c r="I30" i="15"/>
  <c r="D7" i="16"/>
  <c r="C33" i="15"/>
  <c r="B9" i="16"/>
  <c r="AB44" i="12"/>
  <c r="X44" i="12"/>
  <c r="AB106" i="12"/>
  <c r="X106" i="12"/>
  <c r="AB61" i="12"/>
  <c r="X61" i="12"/>
  <c r="AB101" i="12"/>
  <c r="X101" i="12"/>
  <c r="AB43" i="12"/>
  <c r="X43" i="12"/>
  <c r="AB53" i="12"/>
  <c r="X53" i="12"/>
  <c r="AB45" i="12"/>
  <c r="X45" i="12"/>
  <c r="AB67" i="12"/>
  <c r="X67" i="12"/>
  <c r="AD57" i="12"/>
  <c r="AF57" i="12" s="1"/>
  <c r="X57" i="12"/>
  <c r="AD71" i="12"/>
  <c r="AF71" i="12" s="1"/>
  <c r="X71" i="12"/>
  <c r="AB42" i="12"/>
  <c r="X42" i="12"/>
  <c r="AD60" i="12"/>
  <c r="AF60" i="12" s="1"/>
  <c r="X60" i="12"/>
  <c r="AB105" i="12"/>
  <c r="X105" i="12"/>
  <c r="AB18" i="12"/>
  <c r="X18" i="12"/>
  <c r="AB65" i="12"/>
  <c r="X65" i="12"/>
  <c r="AD64" i="12"/>
  <c r="AF64" i="12" s="1"/>
  <c r="X64" i="12"/>
  <c r="AB17" i="12"/>
  <c r="X17" i="12"/>
  <c r="AB46" i="12"/>
  <c r="X46" i="12"/>
  <c r="AB73" i="12"/>
  <c r="X73" i="12"/>
  <c r="AB60" i="12"/>
  <c r="AD61" i="12"/>
  <c r="AF61" i="12" s="1"/>
  <c r="AD44" i="12"/>
  <c r="AF44" i="12" s="1"/>
  <c r="AD18" i="12"/>
  <c r="AF18" i="12" s="1"/>
  <c r="AD42" i="12"/>
  <c r="AF42" i="12" s="1"/>
  <c r="AD45" i="12"/>
  <c r="AF45" i="12" s="1"/>
  <c r="L36" i="2"/>
  <c r="L46" i="2"/>
  <c r="AD17" i="12"/>
  <c r="AF17" i="12" s="1"/>
  <c r="AB64" i="12"/>
  <c r="B66" i="11"/>
  <c r="J74" i="2"/>
  <c r="AD53" i="12"/>
  <c r="AF53" i="12" s="1"/>
  <c r="AD67" i="12"/>
  <c r="AF67" i="12" s="1"/>
  <c r="AB57" i="12"/>
  <c r="J46" i="2"/>
  <c r="D36" i="2"/>
  <c r="B27" i="11"/>
  <c r="H46" i="2"/>
  <c r="H74" i="2"/>
  <c r="D74" i="2"/>
  <c r="D260" i="2" s="1"/>
  <c r="I74" i="2"/>
  <c r="I78" i="2" s="1"/>
  <c r="AB71" i="12"/>
  <c r="B74" i="12"/>
  <c r="AB70" i="12"/>
  <c r="AD70" i="12"/>
  <c r="AF70" i="12" s="1"/>
  <c r="K46" i="2"/>
  <c r="K74" i="2"/>
  <c r="K78" i="2" s="1"/>
  <c r="E74" i="2"/>
  <c r="E260" i="2" s="1"/>
  <c r="AD43" i="12"/>
  <c r="AF43" i="12" s="1"/>
  <c r="B35" i="12"/>
  <c r="AD82" i="12"/>
  <c r="AF82" i="12" s="1"/>
  <c r="AB82" i="12"/>
  <c r="AB79" i="12"/>
  <c r="AD79" i="12"/>
  <c r="AF79" i="12" s="1"/>
  <c r="D25" i="11"/>
  <c r="AD77" i="12"/>
  <c r="AF77" i="12" s="1"/>
  <c r="AB77" i="12"/>
  <c r="AD40" i="12"/>
  <c r="AF40" i="12" s="1"/>
  <c r="AB40" i="12"/>
  <c r="D74" i="12"/>
  <c r="D31" i="15" s="1"/>
  <c r="D33" i="15" s="1"/>
  <c r="I52" i="12"/>
  <c r="X52" i="12" s="1"/>
  <c r="D33" i="12"/>
  <c r="I32" i="12"/>
  <c r="X32" i="12" s="1"/>
  <c r="I96" i="12"/>
  <c r="I32" i="15" s="1"/>
  <c r="I22" i="12"/>
  <c r="X22" i="12" s="1"/>
  <c r="I49" i="12"/>
  <c r="D66" i="11"/>
  <c r="D89" i="11" s="1"/>
  <c r="D15" i="11"/>
  <c r="I15" i="11" s="1"/>
  <c r="AB16" i="12"/>
  <c r="AD16" i="12"/>
  <c r="AF16" i="12" s="1"/>
  <c r="C35" i="12"/>
  <c r="I23" i="12"/>
  <c r="C89" i="11"/>
  <c r="C98" i="12"/>
  <c r="AD58" i="12"/>
  <c r="AF58" i="12" s="1"/>
  <c r="AB58" i="12"/>
  <c r="C27" i="11"/>
  <c r="W45" i="3"/>
  <c r="W67" i="3"/>
  <c r="G59" i="6"/>
  <c r="U291" i="3"/>
  <c r="U301" i="3" s="1"/>
  <c r="W301" i="3" s="1"/>
  <c r="W68" i="3"/>
  <c r="V300" i="3"/>
  <c r="G71" i="5"/>
  <c r="G74" i="5" s="1"/>
  <c r="W92" i="3"/>
  <c r="W91" i="3"/>
  <c r="W23" i="3"/>
  <c r="W22" i="3"/>
  <c r="C260" i="2"/>
  <c r="B260" i="2"/>
  <c r="B78" i="2"/>
  <c r="E46" i="2"/>
  <c r="G46" i="2"/>
  <c r="G74" i="2"/>
  <c r="G78" i="2" s="1"/>
  <c r="N73" i="2"/>
  <c r="P73" i="2" s="1"/>
  <c r="Q73" i="2" s="1"/>
  <c r="N83" i="2"/>
  <c r="N92" i="2" s="1"/>
  <c r="F78" i="2"/>
  <c r="F36" i="2"/>
  <c r="F46" i="2"/>
  <c r="K260" i="2"/>
  <c r="H260" i="2"/>
  <c r="H78" i="2"/>
  <c r="P55" i="2"/>
  <c r="Q55" i="2" s="1"/>
  <c r="N66" i="2"/>
  <c r="P66" i="2" s="1"/>
  <c r="Q66" i="2" s="1"/>
  <c r="M92" i="2"/>
  <c r="P181" i="2"/>
  <c r="Q181" i="2" s="1"/>
  <c r="N258" i="2"/>
  <c r="P258" i="2" s="1"/>
  <c r="Q258" i="2" s="1"/>
  <c r="M46" i="2"/>
  <c r="M36" i="2"/>
  <c r="M74" i="2"/>
  <c r="J260" i="2"/>
  <c r="J78" i="2"/>
  <c r="P91" i="2"/>
  <c r="Q91" i="2" s="1"/>
  <c r="P11" i="2"/>
  <c r="Q11" i="2" s="1"/>
  <c r="N35" i="2"/>
  <c r="D78" i="2"/>
  <c r="D53" i="16" l="1"/>
  <c r="I51" i="16"/>
  <c r="I25" i="11"/>
  <c r="B36" i="16"/>
  <c r="I36" i="16" s="1"/>
  <c r="I19" i="16"/>
  <c r="B89" i="11"/>
  <c r="I89" i="11" s="1"/>
  <c r="I66" i="11"/>
  <c r="AB111" i="12"/>
  <c r="C37" i="15"/>
  <c r="C41" i="15" s="1"/>
  <c r="I33" i="12"/>
  <c r="J27" i="12" s="1"/>
  <c r="D24" i="15"/>
  <c r="D25" i="15" s="1"/>
  <c r="W30" i="15"/>
  <c r="AC30" i="15"/>
  <c r="AE30" i="15" s="1"/>
  <c r="AA30" i="15"/>
  <c r="J111" i="12"/>
  <c r="B7" i="16"/>
  <c r="B27" i="15"/>
  <c r="I21" i="15"/>
  <c r="W32" i="15"/>
  <c r="AA32" i="15"/>
  <c r="AC32" i="15"/>
  <c r="AE32" i="15" s="1"/>
  <c r="AA20" i="15"/>
  <c r="W20" i="15"/>
  <c r="AC20" i="15"/>
  <c r="AE20" i="15" s="1"/>
  <c r="B98" i="12"/>
  <c r="B113" i="12" s="1"/>
  <c r="B31" i="15"/>
  <c r="AA35" i="15"/>
  <c r="W35" i="15"/>
  <c r="AC35" i="15"/>
  <c r="AE35" i="15" s="1"/>
  <c r="J85" i="12"/>
  <c r="X96" i="12"/>
  <c r="J16" i="12"/>
  <c r="X23" i="12"/>
  <c r="AB49" i="12"/>
  <c r="X49" i="12"/>
  <c r="I74" i="12"/>
  <c r="AD74" i="12" s="1"/>
  <c r="AF74" i="12" s="1"/>
  <c r="I260" i="2"/>
  <c r="E78" i="2"/>
  <c r="J82" i="12"/>
  <c r="J78" i="12"/>
  <c r="J86" i="12"/>
  <c r="J79" i="12"/>
  <c r="D27" i="11"/>
  <c r="D104" i="11" s="1"/>
  <c r="D108" i="11" s="1"/>
  <c r="J87" i="12"/>
  <c r="J93" i="12"/>
  <c r="J91" i="12"/>
  <c r="J89" i="12"/>
  <c r="AB96" i="12"/>
  <c r="J90" i="12"/>
  <c r="J81" i="12"/>
  <c r="J94" i="12"/>
  <c r="J83" i="12"/>
  <c r="J92" i="12"/>
  <c r="J84" i="12"/>
  <c r="J77" i="12"/>
  <c r="J88" i="12"/>
  <c r="J95" i="12"/>
  <c r="AD96" i="12"/>
  <c r="AF96" i="12" s="1"/>
  <c r="J80" i="12"/>
  <c r="D98" i="12"/>
  <c r="I98" i="12" s="1"/>
  <c r="AD22" i="12"/>
  <c r="AF22" i="12" s="1"/>
  <c r="AB22" i="12"/>
  <c r="D35" i="12"/>
  <c r="I35" i="12" s="1"/>
  <c r="X35" i="12" s="1"/>
  <c r="J28" i="12"/>
  <c r="J40" i="12"/>
  <c r="J41" i="12"/>
  <c r="J47" i="12"/>
  <c r="AD49" i="12"/>
  <c r="AF49" i="12" s="1"/>
  <c r="J48" i="12"/>
  <c r="J43" i="12"/>
  <c r="J42" i="12"/>
  <c r="J44" i="12"/>
  <c r="J45" i="12"/>
  <c r="J46" i="12"/>
  <c r="AD32" i="12"/>
  <c r="AF32" i="12" s="1"/>
  <c r="AB32" i="12"/>
  <c r="AB33" i="12" s="1"/>
  <c r="AD52" i="12"/>
  <c r="AF52" i="12" s="1"/>
  <c r="AB52" i="12"/>
  <c r="C104" i="11"/>
  <c r="AD23" i="12"/>
  <c r="AF23" i="12" s="1"/>
  <c r="AB23" i="12"/>
  <c r="J20" i="12"/>
  <c r="J19" i="12"/>
  <c r="J21" i="12"/>
  <c r="J18" i="12"/>
  <c r="J17" i="12"/>
  <c r="J22" i="12"/>
  <c r="C113" i="12"/>
  <c r="W300" i="3"/>
  <c r="G260" i="2"/>
  <c r="P83" i="2"/>
  <c r="Q83" i="2" s="1"/>
  <c r="P92" i="2"/>
  <c r="Q92" i="2" s="1"/>
  <c r="N46" i="2"/>
  <c r="P46" i="2" s="1"/>
  <c r="Q46" i="2" s="1"/>
  <c r="N36" i="2"/>
  <c r="P36" i="2" s="1"/>
  <c r="Q36" i="2" s="1"/>
  <c r="N74" i="2"/>
  <c r="N77" i="2" s="1"/>
  <c r="P77" i="2" s="1"/>
  <c r="Q77" i="2" s="1"/>
  <c r="P35" i="2"/>
  <c r="Q35" i="2" s="1"/>
  <c r="M260" i="2"/>
  <c r="J30" i="12" l="1"/>
  <c r="B53" i="16"/>
  <c r="I53" i="16" s="1"/>
  <c r="B104" i="11"/>
  <c r="I27" i="11"/>
  <c r="J26" i="12"/>
  <c r="J31" i="12"/>
  <c r="J29" i="12"/>
  <c r="J32" i="12"/>
  <c r="J33" i="12" s="1"/>
  <c r="AD33" i="12"/>
  <c r="AF33" i="12" s="1"/>
  <c r="I31" i="15"/>
  <c r="B33" i="15"/>
  <c r="B37" i="15" s="1"/>
  <c r="B41" i="15" s="1"/>
  <c r="W21" i="15"/>
  <c r="AC21" i="15"/>
  <c r="AE21" i="15" s="1"/>
  <c r="AA21" i="15"/>
  <c r="D9" i="16"/>
  <c r="I25" i="15"/>
  <c r="D27" i="15"/>
  <c r="D37" i="15" s="1"/>
  <c r="D41" i="15" s="1"/>
  <c r="I7" i="16"/>
  <c r="B11" i="16"/>
  <c r="X33" i="12"/>
  <c r="I24" i="15"/>
  <c r="J70" i="12"/>
  <c r="J66" i="12"/>
  <c r="J98" i="12"/>
  <c r="X98" i="12"/>
  <c r="J58" i="12"/>
  <c r="X74" i="12"/>
  <c r="J57" i="12"/>
  <c r="J65" i="12"/>
  <c r="J73" i="12"/>
  <c r="J56" i="12"/>
  <c r="J59" i="12"/>
  <c r="J61" i="12"/>
  <c r="J62" i="12"/>
  <c r="J60" i="12"/>
  <c r="J64" i="12"/>
  <c r="J63" i="12"/>
  <c r="J53" i="12"/>
  <c r="J69" i="12"/>
  <c r="J55" i="12"/>
  <c r="J71" i="12"/>
  <c r="J67" i="12"/>
  <c r="J72" i="12"/>
  <c r="J52" i="12"/>
  <c r="J54" i="12"/>
  <c r="J68" i="12"/>
  <c r="AB74" i="12"/>
  <c r="B117" i="12"/>
  <c r="J96" i="12"/>
  <c r="AB35" i="12"/>
  <c r="AD35" i="12"/>
  <c r="AF35" i="12" s="1"/>
  <c r="D113" i="12"/>
  <c r="D117" i="12" s="1"/>
  <c r="J49" i="12"/>
  <c r="J23" i="12"/>
  <c r="C117" i="12"/>
  <c r="C108" i="11"/>
  <c r="AD98" i="12"/>
  <c r="AB98" i="12"/>
  <c r="N260" i="2"/>
  <c r="P260" i="2" s="1"/>
  <c r="Q260" i="2" s="1"/>
  <c r="P74" i="2"/>
  <c r="Q74" i="2" s="1"/>
  <c r="B108" i="11" l="1"/>
  <c r="I104" i="11"/>
  <c r="I108" i="11" s="1"/>
  <c r="B63" i="16"/>
  <c r="I9" i="16"/>
  <c r="D11" i="16"/>
  <c r="D63" i="16" s="1"/>
  <c r="D67" i="16" s="1"/>
  <c r="I27" i="15"/>
  <c r="W24" i="15"/>
  <c r="AA24" i="15"/>
  <c r="AA25" i="15" s="1"/>
  <c r="AC24" i="15"/>
  <c r="AE24" i="15" s="1"/>
  <c r="AC25" i="15"/>
  <c r="AE25" i="15" s="1"/>
  <c r="W25" i="15"/>
  <c r="AA31" i="15"/>
  <c r="W31" i="15"/>
  <c r="AC31" i="15"/>
  <c r="AE31" i="15" s="1"/>
  <c r="I33" i="15"/>
  <c r="I113" i="12"/>
  <c r="J74" i="12"/>
  <c r="AC33" i="15" l="1"/>
  <c r="AE33" i="15" s="1"/>
  <c r="AA33" i="15"/>
  <c r="W33" i="15"/>
  <c r="I63" i="16"/>
  <c r="I67" i="16" s="1"/>
  <c r="B67" i="16"/>
  <c r="I37" i="15"/>
  <c r="AA27" i="15"/>
  <c r="AC27" i="15"/>
  <c r="AE27" i="15" s="1"/>
  <c r="W27" i="15"/>
  <c r="I11" i="16"/>
  <c r="I118" i="12"/>
  <c r="X113" i="12"/>
  <c r="AB113" i="12"/>
  <c r="I117" i="12"/>
  <c r="AA37" i="15" l="1"/>
  <c r="AA41" i="15" s="1"/>
  <c r="I41" i="15"/>
  <c r="AC37" i="15"/>
  <c r="AE37" i="15" s="1"/>
  <c r="W37" i="15"/>
  <c r="W41" i="15" s="1"/>
</calcChain>
</file>

<file path=xl/sharedStrings.xml><?xml version="1.0" encoding="utf-8"?>
<sst xmlns="http://schemas.openxmlformats.org/spreadsheetml/2006/main" count="1457" uniqueCount="471">
  <si>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</si>
  <si>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</si>
  <si>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</si>
  <si>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</si>
  <si>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</si>
  <si>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</si>
  <si>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</si>
  <si>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</si>
  <si>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</si>
  <si>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</si>
  <si>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</si>
  <si>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</si>
  <si>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</si>
  <si>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</si>
  <si>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</si>
  <si>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</si>
  <si>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Platinum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</si>
  <si>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</si>
  <si>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</si>
  <si>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</si>
  <si>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</si>
  <si>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</si>
  <si>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</si>
  <si>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</si>
  <si>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</si>
  <si>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</si>
  <si>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</si>
  <si>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</si>
  <si>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</si>
  <si>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</si>
  <si>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</si>
  <si>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</si>
  <si>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</si>
  <si>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</si>
  <si>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</si>
  <si>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</si>
  <si>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</si>
  <si>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</si>
  <si>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</si>
  <si>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</si>
  <si>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</si>
  <si>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</si>
  <si>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</si>
  <si>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</si>
  <si>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</si>
  <si>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</si>
  <si>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</si>
  <si>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</si>
  <si>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</si>
  <si>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</si>
  <si>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</si>
  <si>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</si>
  <si>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</si>
  <si>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</si>
  <si>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</si>
  <si>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</si>
  <si>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</si>
  <si>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</si>
  <si>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</si>
  <si>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</si>
  <si>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</si>
  <si>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</si>
  <si>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</si>
  <si>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</si>
  <si>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</si>
  <si>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</si>
  <si>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</si>
  <si>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</si>
  <si>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</si>
  <si>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</si>
  <si>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</si>
  <si>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</si>
  <si>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</si>
  <si>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</si>
  <si>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</si>
  <si>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</si>
  <si>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</si>
  <si>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</si>
  <si>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</si>
  <si>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</si>
  <si>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</si>
  <si>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</si>
  <si>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</si>
  <si>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</si>
  <si>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</si>
  <si>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</si>
  <si>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</si>
  <si>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</si>
  <si>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</si>
  <si>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</si>
  <si>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</si>
  <si>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</si>
  <si>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</si>
  <si>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</si>
  <si>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</si>
  <si>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</si>
  <si>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</si>
  <si>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</si>
  <si>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</si>
  <si>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</si>
  <si>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</si>
  <si>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</si>
  <si>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</si>
  <si>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</si>
  <si>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</si>
  <si>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</si>
  <si>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</si>
  <si>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</si>
  <si>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</si>
  <si>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</si>
  <si>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</si>
  <si>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</si>
  <si>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</si>
  <si>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</si>
  <si>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</si>
  <si>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</si>
  <si>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</si>
  <si>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</si>
  <si>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</si>
  <si>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</si>
  <si>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</si>
  <si>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</si>
  <si>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</si>
  <si>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</si>
  <si>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</si>
  <si>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</si>
  <si>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</si>
  <si>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</si>
  <si>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</si>
  <si>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</si>
  <si>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</si>
  <si>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</si>
  <si>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</si>
  <si>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</si>
  <si>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</si>
  <si>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</si>
  <si>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</si>
  <si>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</si>
  <si>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</si>
  <si>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</si>
  <si>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</si>
  <si>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</si>
  <si>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</si>
  <si>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</si>
  <si>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</si>
  <si>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</si>
  <si>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</si>
  <si>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</si>
  <si>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</si>
  <si>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</si>
  <si>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</si>
  <si>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</si>
  <si>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</si>
  <si>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</si>
  <si>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</si>
  <si>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</si>
  <si>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</si>
  <si>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</si>
  <si>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</si>
  <si>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</si>
  <si>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</si>
  <si>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</si>
  <si>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</si>
  <si>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</si>
  <si>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 SPACE - ROOF SOLAR PANELS</t>
  </si>
  <si>
    <t>RENT</t>
  </si>
  <si>
    <t>UTILITIES - ELECTRIC</t>
  </si>
  <si>
    <t>UTIILTIES - GAS</t>
  </si>
  <si>
    <t>UTILITIES - WATER &amp; SEWER</t>
  </si>
  <si>
    <t>SNOW PLOWING &amp; ICE REMOVAL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</si>
  <si>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</si>
  <si>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</si>
  <si>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</si>
  <si>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</si>
  <si>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</si>
  <si>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</si>
  <si>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</si>
  <si>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</si>
  <si>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</si>
  <si>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</si>
  <si>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</si>
  <si>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</si>
  <si>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</si>
  <si>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</si>
  <si>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</si>
  <si>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</si>
  <si>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</si>
  <si>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</si>
  <si>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</si>
  <si>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</si>
  <si>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</si>
  <si>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</si>
  <si>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</si>
  <si>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</si>
  <si>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</si>
  <si>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</si>
  <si>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</si>
  <si>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</si>
  <si>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</si>
  <si>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</si>
  <si>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</si>
  <si>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</si>
  <si>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</si>
  <si>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</si>
  <si>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</si>
  <si>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</si>
  <si>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</si>
  <si>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</si>
  <si>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</si>
  <si>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</si>
  <si>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CNT, Inc.</t>
  </si>
  <si>
    <t>Gross Profit by Metal</t>
  </si>
  <si>
    <t>AU</t>
  </si>
  <si>
    <t>AG</t>
  </si>
  <si>
    <t>PT</t>
  </si>
  <si>
    <t>PD</t>
  </si>
  <si>
    <t>RH</t>
  </si>
  <si>
    <t>Total</t>
  </si>
  <si>
    <t>COGS</t>
  </si>
  <si>
    <t>Pool</t>
  </si>
  <si>
    <t>COMEX</t>
  </si>
  <si>
    <t>Market Price Variance</t>
  </si>
  <si>
    <t>Variance</t>
  </si>
  <si>
    <t>Refining &amp; Fabrication</t>
  </si>
  <si>
    <t>Hedge</t>
  </si>
  <si>
    <t>Hedge Tracing</t>
  </si>
  <si>
    <t>Melt Profits</t>
  </si>
  <si>
    <t>Offline Trading Profits</t>
  </si>
  <si>
    <t>Futures Contracts EFP</t>
  </si>
  <si>
    <t>PY Audit Adjustments</t>
  </si>
  <si>
    <t>Double Check</t>
  </si>
  <si>
    <t>Metal Price EOM</t>
  </si>
  <si>
    <t>Financial Statement Analysis</t>
  </si>
  <si>
    <t>Minting</t>
  </si>
  <si>
    <t>ICE Market Adjustment</t>
  </si>
  <si>
    <t>Premium Proof USE to Coin Gold</t>
  </si>
  <si>
    <t>Owners Consignments</t>
  </si>
  <si>
    <t>House Postion Adjustments</t>
  </si>
  <si>
    <t>Projected Gross profits  Dec</t>
  </si>
  <si>
    <t>YTD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</si>
  <si>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</si>
  <si>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</si>
  <si>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</si>
  <si>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</si>
  <si>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</si>
  <si>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</si>
  <si>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</si>
  <si>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</si>
  <si>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</si>
  <si>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</si>
  <si>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</si>
  <si>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Paladium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</si>
  <si>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</si>
  <si>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</si>
  <si>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</si>
  <si>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</si>
  <si>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</si>
  <si>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</si>
  <si>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</si>
  <si>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</si>
  <si>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</si>
  <si>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</si>
  <si>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</si>
  <si>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</si>
  <si>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</si>
  <si>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</si>
  <si>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</si>
  <si>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</si>
  <si>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</si>
  <si>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</si>
  <si>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Snow Plowing &amp; Sanding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</si>
  <si>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</si>
  <si>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</si>
  <si>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</si>
  <si>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</si>
  <si>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</si>
  <si>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</si>
  <si>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</si>
  <si>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</si>
  <si>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</si>
  <si>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</si>
  <si>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</si>
  <si>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</si>
  <si>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</si>
  <si>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</si>
  <si>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</si>
  <si>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</si>
  <si>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</si>
  <si>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</si>
  <si>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</si>
  <si>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</si>
  <si>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</si>
  <si>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</si>
  <si>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</si>
  <si>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</si>
  <si>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</si>
  <si>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</si>
  <si>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</si>
  <si>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</si>
  <si>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</si>
  <si>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</si>
  <si>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</si>
  <si>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</si>
  <si>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</si>
  <si>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</si>
  <si>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</si>
  <si>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</si>
  <si>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Total Other Income &amp; Expense</t>
  </si>
  <si>
    <t>Other Income &amp; Expense</t>
  </si>
  <si>
    <t>Depository</t>
  </si>
  <si>
    <t>Income and loss</t>
  </si>
  <si>
    <t xml:space="preserve">      Shipping Fees</t>
  </si>
  <si>
    <t xml:space="preserve">      Handling Fees</t>
  </si>
  <si>
    <t xml:space="preserve">      Storage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</si>
  <si>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</si>
  <si>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</si>
  <si>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</si>
  <si>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</si>
  <si>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</si>
  <si>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</si>
  <si>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</si>
  <si>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</si>
  <si>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</si>
  <si>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</si>
  <si>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</si>
  <si>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</si>
  <si>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</si>
  <si>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</si>
  <si>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</si>
  <si>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</si>
  <si>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</si>
  <si>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</si>
  <si>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</si>
  <si>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</si>
  <si>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</si>
  <si>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</si>
  <si>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</si>
  <si>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</si>
  <si>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</si>
  <si>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</si>
  <si>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</si>
  <si>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</si>
  <si>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</si>
  <si>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</si>
  <si>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</si>
  <si>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</si>
  <si>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</si>
  <si>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</si>
  <si>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</si>
  <si>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</si>
  <si>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</si>
  <si>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</si>
  <si>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</si>
  <si>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</si>
  <si>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</si>
  <si>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</si>
  <si>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</si>
  <si>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</si>
  <si>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</si>
  <si>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</si>
  <si>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</si>
  <si>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</si>
  <si>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</si>
  <si>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</si>
  <si>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</si>
  <si>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</si>
  <si>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</si>
  <si>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</si>
  <si>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</si>
  <si>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</si>
  <si>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</si>
  <si>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</si>
  <si>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</si>
  <si>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</si>
  <si>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</si>
  <si>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</si>
  <si>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</si>
  <si>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</si>
  <si>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</si>
  <si>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</si>
  <si>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</si>
  <si>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</si>
  <si>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</si>
  <si>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</si>
  <si>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</si>
  <si>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</si>
  <si>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</si>
  <si>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</si>
  <si>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</si>
  <si>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</si>
  <si>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</si>
  <si>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</si>
  <si>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</si>
  <si>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</si>
  <si>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</si>
  <si>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</si>
  <si>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</si>
  <si>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</si>
  <si>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</si>
  <si>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</si>
  <si>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</si>
  <si>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</si>
  <si>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</si>
  <si>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</si>
  <si>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</si>
  <si>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</si>
  <si>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</si>
  <si>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</si>
  <si>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</si>
  <si>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</si>
  <si>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</si>
  <si>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</si>
  <si>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</si>
  <si>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</si>
  <si>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</si>
  <si>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</si>
  <si>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</si>
  <si>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</si>
  <si>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</si>
  <si>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</si>
  <si>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</si>
  <si>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</si>
  <si>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</si>
  <si>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</si>
  <si>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</si>
  <si>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</si>
  <si>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Professional Fees - legal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</si>
  <si>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</si>
  <si>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</si>
  <si>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</si>
  <si>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</si>
  <si>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</si>
  <si>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05/31/2018 to 5/31/2017</t>
  </si>
  <si>
    <t>MINTING - DEPRECIATION EXPENSE</t>
  </si>
  <si>
    <t>PROFESSIONAL FEES - LEGAL</t>
  </si>
  <si>
    <t>PROFESSIONAL FEES - AUDIT TAX ADVISOR</t>
  </si>
  <si>
    <t>PROFESSIONAL FEES - IT</t>
  </si>
  <si>
    <t>PROFESSIONAL FEES - HR</t>
  </si>
  <si>
    <t>LICENCES &amp; FEES</t>
  </si>
  <si>
    <t>MINTING - MARKETING EXPENSE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</si>
  <si>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</si>
  <si>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</si>
  <si>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</si>
  <si>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</si>
  <si>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</si>
  <si>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</si>
  <si>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</si>
  <si>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</si>
  <si>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</si>
  <si>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</si>
  <si>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</si>
  <si>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</si>
  <si>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</si>
  <si>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</si>
  <si>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</si>
  <si>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</si>
  <si>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</si>
  <si>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</si>
  <si>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</si>
  <si>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</si>
  <si>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</si>
  <si>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</si>
  <si>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</si>
  <si>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 xml:space="preserve">      Bank Charges</t>
  </si>
  <si>
    <t>722 Bedford</t>
  </si>
  <si>
    <t xml:space="preserve">722 Bedford 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</si>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</sst>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Fill="1" applyAlignment="1"/>
    <xf numFmtId="44" fontId="1" fillId="0" borderId="0" xfId="2" applyFont="1" applyFill="1"/>
    <xf numFmtId="0" fontId="1" fillId="0" borderId="0" xfId="0" applyFont="1" applyFill="1"/>
    <xf numFmtId="17" fontId="3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/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2" fillId="0" borderId="0" xfId="2" applyNumberFormat="1" applyFont="1" applyFill="1"/>
    <xf numFmtId="44" fontId="6" fillId="0" borderId="0" xfId="2" applyNumberFormat="1" applyFont="1" applyFill="1"/>
    <xf numFmtId="44" fontId="2" fillId="0" borderId="0" xfId="2" applyFont="1" applyFill="1"/>
    <xf numFmtId="0" fontId="1" fillId="2" borderId="0" xfId="0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1" fillId="0" borderId="0" xfId="0" applyFont="1" applyFill="1" applyBorder="1"/>
    <xf numFmtId="8" fontId="1" fillId="0" borderId="0" xfId="2" applyNumberFormat="1" applyFont="1" applyFill="1" applyBorder="1"/>
    <xf numFmtId="8" fontId="0" fillId="0" borderId="0" xfId="2" applyNumberFormat="1" applyFont="1" applyFill="1" applyBorder="1"/>
    <xf numFmtId="44" fontId="1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7" fillId="0" borderId="0" xfId="2" applyFont="1" applyFill="1"/>
    <xf numFmtId="0" fontId="3" fillId="0" borderId="0" xfId="0" applyFont="1" applyFill="1" applyAlignment="1">
      <alignment wrapText="1"/>
    </xf>
    <xf numFmtId="44" fontId="1" fillId="0" borderId="5" xfId="2" applyFont="1" applyFill="1" applyBorder="1"/>
    <xf numFmtId="44" fontId="6" fillId="0" borderId="6" xfId="2" applyNumberFormat="1" applyFont="1" applyFill="1" applyBorder="1"/>
    <xf numFmtId="44" fontId="6" fillId="0" borderId="2" xfId="2" applyNumberFormat="1" applyFont="1" applyFill="1" applyBorder="1"/>
    <xf numFmtId="44" fontId="6" fillId="0" borderId="5" xfId="2" applyNumberFormat="1" applyFont="1" applyFill="1" applyBorder="1"/>
    <xf numFmtId="0" fontId="1" fillId="0" borderId="7" xfId="0" applyFont="1" applyFill="1" applyBorder="1"/>
    <xf numFmtId="44" fontId="1" fillId="0" borderId="8" xfId="2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44" fontId="1" fillId="0" borderId="11" xfId="0" applyNumberFormat="1" applyFont="1" applyFill="1" applyBorder="1"/>
    <xf numFmtId="44" fontId="1" fillId="0" borderId="12" xfId="2" applyFont="1" applyFill="1" applyBorder="1"/>
    <xf numFmtId="0" fontId="1" fillId="0" borderId="11" xfId="0" applyFont="1" applyFill="1" applyBorder="1"/>
    <xf numFmtId="44" fontId="1" fillId="0" borderId="3" xfId="2" applyFont="1" applyFill="1" applyBorder="1"/>
    <xf numFmtId="44" fontId="1" fillId="0" borderId="13" xfId="2" applyFont="1" applyFill="1" applyBorder="1"/>
    <xf numFmtId="0" fontId="1" fillId="0" borderId="14" xfId="0" applyFont="1" applyFill="1" applyBorder="1"/>
    <xf numFmtId="44" fontId="1" fillId="0" borderId="15" xfId="2" applyFont="1" applyFill="1" applyBorder="1"/>
    <xf numFmtId="0" fontId="1" fillId="0" borderId="16" xfId="0" applyFont="1" applyFill="1" applyBorder="1"/>
    <xf numFmtId="0" fontId="1" fillId="0" borderId="15" xfId="0" applyFont="1" applyFill="1" applyBorder="1"/>
    <xf numFmtId="0" fontId="1" fillId="0" borderId="0" xfId="0" applyFont="1" applyAlignment="1">
      <alignment vertical="top"/>
    </xf>
    <xf numFmtId="0" fontId="3" fillId="0" borderId="0" xfId="0" applyFont="1" applyFill="1"/>
    <xf numFmtId="44" fontId="3" fillId="0" borderId="3" xfId="2" applyFont="1" applyFill="1" applyBorder="1"/>
    <xf numFmtId="0" fontId="1" fillId="3" borderId="0" xfId="0" applyFont="1" applyFill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3" fillId="0" borderId="5" xfId="2" applyFont="1" applyFill="1" applyBorder="1"/>
    <xf numFmtId="44" fontId="3" fillId="0" borderId="3" xfId="0" applyNumberFormat="1" applyFont="1" applyFill="1" applyBorder="1"/>
    <xf numFmtId="44" fontId="1" fillId="0" borderId="0" xfId="0" applyNumberFormat="1" applyFont="1" applyFill="1"/>
    <xf numFmtId="44" fontId="1" fillId="0" borderId="0" xfId="2" applyFont="1"/>
    <xf numFmtId="0" fontId="1" fillId="0" borderId="0" xfId="0" applyFont="1"/>
    <xf numFmtId="43" fontId="1" fillId="0" borderId="0" xfId="1" applyFont="1"/>
    <xf numFmtId="17" fontId="3" fillId="0" borderId="10" xfId="0" applyNumberFormat="1" applyFont="1" applyBorder="1" applyAlignment="1">
      <alignment horizontal="centerContinuous"/>
    </xf>
    <xf numFmtId="43" fontId="3" fillId="0" borderId="0" xfId="1" applyFont="1" applyBorder="1" applyAlignment="1">
      <alignment horizontal="centerContinuous"/>
    </xf>
    <xf numFmtId="43" fontId="3" fillId="0" borderId="11" xfId="1" applyFont="1" applyBorder="1" applyAlignment="1">
      <alignment horizontal="centerContinuous"/>
    </xf>
    <xf numFmtId="0" fontId="3" fillId="0" borderId="10" xfId="0" applyFont="1" applyBorder="1"/>
    <xf numFmtId="43" fontId="3" fillId="0" borderId="0" xfId="1" applyFont="1" applyBorder="1"/>
    <xf numFmtId="43" fontId="3" fillId="0" borderId="11" xfId="1" applyFont="1" applyBorder="1"/>
    <xf numFmtId="44" fontId="3" fillId="0" borderId="0" xfId="2" applyFont="1"/>
    <xf numFmtId="0" fontId="3" fillId="0" borderId="0" xfId="0" applyFont="1"/>
    <xf numFmtId="44" fontId="1" fillId="0" borderId="11" xfId="2" applyFont="1" applyBorder="1"/>
    <xf numFmtId="44" fontId="1" fillId="0" borderId="0" xfId="2" applyNumberFormat="1" applyFont="1"/>
    <xf numFmtId="0" fontId="0" fillId="0" borderId="0" xfId="0" applyFont="1"/>
    <xf numFmtId="8" fontId="1" fillId="4" borderId="0" xfId="2" applyNumberFormat="1" applyFont="1" applyFill="1" applyBorder="1"/>
    <xf numFmtId="8" fontId="1" fillId="0" borderId="1" xfId="2" applyNumberFormat="1" applyFont="1" applyBorder="1"/>
    <xf numFmtId="44" fontId="1" fillId="0" borderId="3" xfId="2" applyNumberFormat="1" applyFont="1" applyBorder="1"/>
    <xf numFmtId="8" fontId="1" fillId="0" borderId="3" xfId="2" applyNumberFormat="1" applyFont="1" applyBorder="1"/>
    <xf numFmtId="44" fontId="1" fillId="0" borderId="13" xfId="2" applyFont="1" applyBorder="1"/>
    <xf numFmtId="8" fontId="1" fillId="0" borderId="0" xfId="2" applyNumberFormat="1" applyFont="1" applyBorder="1"/>
    <xf numFmtId="8" fontId="1" fillId="0" borderId="11" xfId="2" applyNumberFormat="1" applyFont="1" applyBorder="1"/>
    <xf numFmtId="44" fontId="1" fillId="0" borderId="10" xfId="2" applyNumberFormat="1" applyFont="1" applyBorder="1"/>
    <xf numFmtId="44" fontId="1" fillId="0" borderId="0" xfId="0" applyNumberFormat="1" applyFont="1"/>
    <xf numFmtId="44" fontId="1" fillId="0" borderId="0" xfId="2" applyFont="1" applyAlignment="1">
      <alignment horizontal="left"/>
    </xf>
    <xf numFmtId="0" fontId="1" fillId="0" borderId="14" xfId="0" applyFont="1" applyBorder="1"/>
    <xf numFmtId="44" fontId="1" fillId="0" borderId="11" xfId="2" applyFont="1" applyFill="1" applyBorder="1"/>
    <xf numFmtId="44" fontId="1" fillId="4" borderId="0" xfId="2" applyFont="1" applyFill="1" applyBorder="1"/>
    <xf numFmtId="44" fontId="1" fillId="0" borderId="1" xfId="2" applyFont="1" applyBorder="1"/>
    <xf numFmtId="44" fontId="1" fillId="0" borderId="3" xfId="2" applyFont="1" applyBorder="1"/>
    <xf numFmtId="44" fontId="1" fillId="0" borderId="0" xfId="2" applyFont="1" applyBorder="1"/>
    <xf numFmtId="43" fontId="1" fillId="0" borderId="0" xfId="1" applyFont="1" applyBorder="1"/>
    <xf numFmtId="44" fontId="1" fillId="0" borderId="15" xfId="2" applyFont="1" applyBorder="1"/>
    <xf numFmtId="44" fontId="1" fillId="0" borderId="16" xfId="2" applyFont="1" applyBorder="1"/>
    <xf numFmtId="43" fontId="1" fillId="0" borderId="0" xfId="2" applyNumberFormat="1" applyFont="1" applyFill="1"/>
    <xf numFmtId="44" fontId="3" fillId="0" borderId="11" xfId="2" applyNumberFormat="1" applyFont="1" applyBorder="1"/>
    <xf numFmtId="43" fontId="0" fillId="0" borderId="0" xfId="1" applyFont="1"/>
    <xf numFmtId="17" fontId="3" fillId="0" borderId="10" xfId="0" applyNumberFormat="1" applyFont="1" applyFill="1" applyBorder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43" fontId="3" fillId="0" borderId="11" xfId="1" applyFont="1" applyFill="1" applyBorder="1" applyAlignment="1">
      <alignment horizontal="centerContinuous"/>
    </xf>
    <xf numFmtId="0" fontId="3" fillId="0" borderId="10" xfId="0" applyFont="1" applyFill="1" applyBorder="1"/>
    <xf numFmtId="43" fontId="3" fillId="0" borderId="0" xfId="1" applyFont="1" applyFill="1" applyBorder="1"/>
    <xf numFmtId="43" fontId="3" fillId="0" borderId="11" xfId="1" applyFont="1" applyFill="1" applyBorder="1"/>
    <xf numFmtId="8" fontId="1" fillId="0" borderId="11" xfId="2" applyNumberFormat="1" applyFont="1" applyFill="1" applyBorder="1"/>
    <xf numFmtId="44" fontId="1" fillId="0" borderId="1" xfId="2" applyFont="1" applyFill="1" applyBorder="1"/>
    <xf numFmtId="44" fontId="0" fillId="0" borderId="0" xfId="2" applyFont="1" applyFill="1" applyBorder="1"/>
    <xf numFmtId="43" fontId="1" fillId="0" borderId="0" xfId="1" applyFont="1" applyFill="1" applyBorder="1"/>
    <xf numFmtId="44" fontId="3" fillId="0" borderId="11" xfId="2" applyNumberFormat="1" applyFont="1" applyFill="1" applyBorder="1"/>
    <xf numFmtId="44" fontId="0" fillId="0" borderId="0" xfId="2" applyFont="1"/>
    <xf numFmtId="8" fontId="1" fillId="0" borderId="0" xfId="0" applyNumberFormat="1" applyFont="1"/>
    <xf numFmtId="44" fontId="1" fillId="5" borderId="1" xfId="2" applyFont="1" applyFill="1" applyBorder="1"/>
    <xf numFmtId="0" fontId="1" fillId="0" borderId="10" xfId="0" applyFont="1" applyBorder="1"/>
    <xf numFmtId="0" fontId="3" fillId="0" borderId="17" xfId="0" applyFont="1" applyBorder="1" applyAlignment="1">
      <alignment horizontal="centerContinuous"/>
    </xf>
    <xf numFmtId="43" fontId="3" fillId="0" borderId="5" xfId="1" applyFont="1" applyBorder="1" applyAlignment="1">
      <alignment horizontal="centerContinuous"/>
    </xf>
    <xf numFmtId="43" fontId="3" fillId="0" borderId="18" xfId="1" applyFont="1" applyBorder="1" applyAlignment="1">
      <alignment horizontal="centerContinuous"/>
    </xf>
    <xf numFmtId="43" fontId="1" fillId="4" borderId="0" xfId="1" applyFont="1" applyFill="1" applyBorder="1"/>
    <xf numFmtId="43" fontId="1" fillId="0" borderId="0" xfId="1" applyFont="1" applyFill="1"/>
    <xf numFmtId="43" fontId="1" fillId="0" borderId="0" xfId="0" applyNumberFormat="1" applyFont="1"/>
    <xf numFmtId="0" fontId="1" fillId="0" borderId="0" xfId="0" applyFont="1" applyBorder="1"/>
    <xf numFmtId="43" fontId="1" fillId="0" borderId="15" xfId="1" applyFont="1" applyBorder="1"/>
    <xf numFmtId="43" fontId="3" fillId="0" borderId="8" xfId="1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7" fontId="3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1" applyFont="1" applyBorder="1"/>
    <xf numFmtId="43" fontId="0" fillId="0" borderId="19" xfId="1" applyFont="1" applyBorder="1"/>
    <xf numFmtId="43" fontId="0" fillId="0" borderId="3" xfId="1" applyFont="1" applyBorder="1"/>
    <xf numFmtId="43" fontId="3" fillId="0" borderId="0" xfId="1" applyFont="1" applyAlignment="1">
      <alignment horizontal="center"/>
    </xf>
    <xf numFmtId="0" fontId="8" fillId="0" borderId="0" xfId="0" applyFont="1"/>
    <xf numFmtId="0" fontId="0" fillId="0" borderId="0" xfId="0" applyFill="1"/>
    <xf numFmtId="0" fontId="8" fillId="0" borderId="0" xfId="0" applyFont="1" applyFill="1"/>
    <xf numFmtId="43" fontId="0" fillId="0" borderId="0" xfId="1" applyFont="1" applyFill="1"/>
    <xf numFmtId="44" fontId="0" fillId="0" borderId="0" xfId="2" applyFont="1" applyFill="1"/>
    <xf numFmtId="43" fontId="0" fillId="0" borderId="0" xfId="0" applyNumberFormat="1" applyFill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43" fontId="12" fillId="0" borderId="0" xfId="1" applyFont="1" applyAlignment="1">
      <alignment horizontal="center"/>
    </xf>
    <xf numFmtId="0" fontId="12" fillId="0" borderId="0" xfId="0" applyFont="1" applyFill="1" applyAlignment="1">
      <alignment vertical="center"/>
    </xf>
    <xf numFmtId="43" fontId="13" fillId="0" borderId="0" xfId="1" applyFont="1"/>
    <xf numFmtId="0" fontId="13" fillId="0" borderId="0" xfId="0" applyFont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9" xfId="0" applyNumberFormat="1" applyFont="1" applyFill="1" applyBorder="1"/>
    <xf numFmtId="43" fontId="13" fillId="0" borderId="19" xfId="0" applyNumberFormat="1" applyFont="1" applyBorder="1"/>
    <xf numFmtId="10" fontId="13" fillId="0" borderId="19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9" xfId="3" applyFont="1" applyBorder="1" applyAlignment="1">
      <alignment horizontal="center"/>
    </xf>
    <xf numFmtId="43" fontId="13" fillId="0" borderId="0" xfId="3" applyNumberFormat="1" applyFont="1" applyFill="1" applyAlignment="1">
      <alignment horizontal="center"/>
    </xf>
    <xf numFmtId="43" fontId="12" fillId="0" borderId="3" xfId="0" applyNumberFormat="1" applyFont="1" applyFill="1" applyBorder="1"/>
    <xf numFmtId="43" fontId="12" fillId="0" borderId="3" xfId="0" applyNumberFormat="1" applyFont="1" applyBorder="1"/>
    <xf numFmtId="43" fontId="12" fillId="0" borderId="5" xfId="0" applyNumberFormat="1" applyFont="1" applyBorder="1"/>
    <xf numFmtId="0" fontId="14" fillId="0" borderId="0" xfId="0" applyFont="1"/>
    <xf numFmtId="0" fontId="11" fillId="0" borderId="6" xfId="0" applyFont="1" applyFill="1" applyBorder="1" applyAlignment="1">
      <alignment horizontal="center"/>
    </xf>
    <xf numFmtId="43" fontId="14" fillId="0" borderId="0" xfId="1" applyFont="1"/>
    <xf numFmtId="0" fontId="11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43" fontId="14" fillId="0" borderId="2" xfId="0" applyNumberFormat="1" applyFont="1" applyFill="1" applyBorder="1"/>
    <xf numFmtId="43" fontId="14" fillId="0" borderId="19" xfId="0" applyNumberFormat="1" applyFont="1" applyFill="1" applyBorder="1"/>
    <xf numFmtId="43" fontId="11" fillId="0" borderId="3" xfId="0" applyNumberFormat="1" applyFont="1" applyFill="1" applyBorder="1"/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3" fillId="0" borderId="0" xfId="0" applyNumberFormat="1" applyFont="1" applyFill="1" applyBorder="1"/>
    <xf numFmtId="43" fontId="12" fillId="0" borderId="0" xfId="0" applyNumberFormat="1" applyFont="1" applyFill="1" applyBorder="1"/>
    <xf numFmtId="0" fontId="13" fillId="0" borderId="0" xfId="0" applyFont="1" applyBorder="1"/>
    <xf numFmtId="43" fontId="13" fillId="0" borderId="0" xfId="0" applyNumberFormat="1" applyFont="1" applyBorder="1"/>
    <xf numFmtId="43" fontId="13" fillId="0" borderId="0" xfId="1" applyFont="1" applyBorder="1"/>
    <xf numFmtId="43" fontId="12" fillId="0" borderId="0" xfId="0" applyNumberFormat="1" applyFont="1" applyBorder="1"/>
    <xf numFmtId="43" fontId="0" fillId="0" borderId="0" xfId="1" applyFont="1" applyBorder="1"/>
    <xf numFmtId="43" fontId="14" fillId="0" borderId="6" xfId="0" applyNumberFormat="1" applyFont="1" applyFill="1" applyBorder="1"/>
    <xf numFmtId="43" fontId="14" fillId="0" borderId="0" xfId="0" applyNumberFormat="1" applyFont="1" applyFill="1" applyBorder="1"/>
    <xf numFmtId="43" fontId="0" fillId="0" borderId="6" xfId="1" applyFont="1" applyBorder="1"/>
    <xf numFmtId="0" fontId="9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5" fontId="12" fillId="0" borderId="24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3" fontId="10" fillId="0" borderId="7" xfId="1" applyFont="1" applyBorder="1" applyAlignment="1">
      <alignment horizontal="center" vertical="center" wrapText="1"/>
    </xf>
    <xf numFmtId="43" fontId="10" fillId="0" borderId="8" xfId="1" applyFont="1" applyBorder="1" applyAlignment="1">
      <alignment horizontal="center" vertical="center" wrapText="1"/>
    </xf>
    <xf numFmtId="43" fontId="10" fillId="0" borderId="9" xfId="1" applyFont="1" applyBorder="1" applyAlignment="1">
      <alignment horizontal="center" vertical="center" wrapText="1"/>
    </xf>
    <xf numFmtId="43" fontId="10" fillId="0" borderId="10" xfId="1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43" fontId="10" fillId="0" borderId="11" xfId="1" applyFont="1" applyBorder="1" applyAlignment="1">
      <alignment horizontal="center" vertical="center" wrapText="1"/>
    </xf>
    <xf numFmtId="43" fontId="10" fillId="0" borderId="14" xfId="1" applyFont="1" applyBorder="1" applyAlignment="1">
      <alignment horizontal="center" vertical="center" wrapText="1"/>
    </xf>
    <xf numFmtId="43" fontId="10" fillId="0" borderId="15" xfId="1" applyFont="1" applyBorder="1" applyAlignment="1">
      <alignment horizontal="center" vertical="center" wrapText="1"/>
    </xf>
    <xf numFmtId="43" fontId="10" fillId="0" borderId="16" xfId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Pez%20Work\Published%20Financial%20Reports\Financial%20Statement%20Analysi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1%20January%202018/EOM%20Jan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2%20February%202018/EOM%20Feb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3%20March%202018/EOM%20March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4%20April%202018/EOM%20April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Compare to Hedge 2018"/>
      <sheetName val="P&amp;L Compare to Hedge 2017"/>
      <sheetName val="P&amp;L Compare to hedge 2016"/>
      <sheetName val="P&amp;L Compare to hedge 2015"/>
      <sheetName val="2017 Oct Analysis"/>
    </sheetNames>
    <sheetDataSet>
      <sheetData sheetId="0">
        <row r="5">
          <cell r="B5">
            <v>154563428.67000002</v>
          </cell>
          <cell r="C5">
            <v>109601727.78999999</v>
          </cell>
          <cell r="D5">
            <v>101069868.19</v>
          </cell>
          <cell r="E5">
            <v>92671539.059999987</v>
          </cell>
        </row>
        <row r="6">
          <cell r="B6">
            <v>424529753.21999997</v>
          </cell>
          <cell r="C6">
            <v>1212317398.3500001</v>
          </cell>
          <cell r="D6">
            <v>305312522.13</v>
          </cell>
          <cell r="E6">
            <v>46941731.32</v>
          </cell>
        </row>
        <row r="7">
          <cell r="B7">
            <v>2884704.37</v>
          </cell>
          <cell r="C7">
            <v>2596535.7200000002</v>
          </cell>
          <cell r="D7">
            <v>622399.88</v>
          </cell>
          <cell r="E7">
            <v>1945746.84</v>
          </cell>
        </row>
        <row r="8">
          <cell r="B8">
            <v>3238349</v>
          </cell>
          <cell r="C8">
            <v>1478660.42</v>
          </cell>
          <cell r="D8">
            <v>1427673</v>
          </cell>
          <cell r="E8">
            <v>2167697.4500000002</v>
          </cell>
        </row>
        <row r="9">
          <cell r="B9">
            <v>85825</v>
          </cell>
          <cell r="C9">
            <v>579872.5</v>
          </cell>
          <cell r="D9">
            <v>108078.75</v>
          </cell>
          <cell r="E9">
            <v>903549.14</v>
          </cell>
        </row>
        <row r="10">
          <cell r="E10">
            <v>292312.5</v>
          </cell>
        </row>
        <row r="14">
          <cell r="B14">
            <v>157842383.69</v>
          </cell>
          <cell r="C14">
            <v>108846154.46000001</v>
          </cell>
          <cell r="D14">
            <v>100906197.60999998</v>
          </cell>
          <cell r="E14">
            <v>92373678.780000001</v>
          </cell>
        </row>
        <row r="15">
          <cell r="B15">
            <v>422465521.94999993</v>
          </cell>
          <cell r="C15">
            <v>1215546261.6300001</v>
          </cell>
          <cell r="D15">
            <v>305678068.99000001</v>
          </cell>
          <cell r="E15">
            <v>48482029.219999999</v>
          </cell>
        </row>
        <row r="16">
          <cell r="B16">
            <v>2842624.1900000004</v>
          </cell>
          <cell r="C16">
            <v>2535222.7399999998</v>
          </cell>
          <cell r="D16">
            <v>618326.57000000007</v>
          </cell>
          <cell r="E16">
            <v>1945380.79</v>
          </cell>
        </row>
        <row r="17">
          <cell r="B17">
            <v>3972878.5</v>
          </cell>
          <cell r="C17">
            <v>1516251.86</v>
          </cell>
          <cell r="D17">
            <v>1446310.3</v>
          </cell>
          <cell r="E17">
            <v>2111524.9700000002</v>
          </cell>
        </row>
        <row r="18">
          <cell r="B18">
            <v>103200.43</v>
          </cell>
          <cell r="C18">
            <v>557565.63</v>
          </cell>
          <cell r="D18">
            <v>104546.19</v>
          </cell>
          <cell r="E18">
            <v>891459.31</v>
          </cell>
        </row>
        <row r="19">
          <cell r="E19">
            <v>180989.71000000002</v>
          </cell>
        </row>
        <row r="21">
          <cell r="B21">
            <v>-4303584.0399999917</v>
          </cell>
          <cell r="C21">
            <v>-230168.78000000119</v>
          </cell>
          <cell r="D21">
            <v>-102046.03999999166</v>
          </cell>
          <cell r="E21">
            <v>14781.879999995232</v>
          </cell>
        </row>
        <row r="22">
          <cell r="B22">
            <v>-198311.54999999702</v>
          </cell>
          <cell r="C22">
            <v>-141071.81000000052</v>
          </cell>
          <cell r="D22">
            <v>73914.890000000596</v>
          </cell>
          <cell r="E22">
            <v>442679.44999998808</v>
          </cell>
        </row>
        <row r="23">
          <cell r="B23">
            <v>-28077.910000000033</v>
          </cell>
          <cell r="C23">
            <v>-41342.620000000112</v>
          </cell>
          <cell r="D23">
            <v>-28127.939999999944</v>
          </cell>
          <cell r="E23">
            <v>1048.5499999999884</v>
          </cell>
        </row>
        <row r="24">
          <cell r="B24">
            <v>-17915.510000000009</v>
          </cell>
          <cell r="C24">
            <v>0</v>
          </cell>
          <cell r="D24">
            <v>-35497.39</v>
          </cell>
          <cell r="E24">
            <v>2061.8000000000466</v>
          </cell>
        </row>
        <row r="26">
          <cell r="B26">
            <v>-1451390.0700000077</v>
          </cell>
          <cell r="C26">
            <v>-14017.5</v>
          </cell>
          <cell r="D26">
            <v>-649600</v>
          </cell>
          <cell r="E26">
            <v>339010</v>
          </cell>
        </row>
        <row r="27">
          <cell r="B27">
            <v>287951.64999999851</v>
          </cell>
          <cell r="C27">
            <v>-4461877.3100000024</v>
          </cell>
          <cell r="D27">
            <v>67555.530000001192</v>
          </cell>
          <cell r="E27">
            <v>-3414426</v>
          </cell>
        </row>
        <row r="28">
          <cell r="B28">
            <v>0</v>
          </cell>
          <cell r="C28">
            <v>4535</v>
          </cell>
          <cell r="D28">
            <v>-3890</v>
          </cell>
          <cell r="E28">
            <v>-555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2">
          <cell r="D32">
            <v>5756.07</v>
          </cell>
          <cell r="E32">
            <v>9048.32</v>
          </cell>
        </row>
        <row r="45">
          <cell r="B45">
            <v>128859.70591497957</v>
          </cell>
          <cell r="C45">
            <v>179047.73598288454</v>
          </cell>
          <cell r="D45">
            <v>109403.45581293106</v>
          </cell>
          <cell r="E45">
            <v>-91176.724025141797</v>
          </cell>
          <cell r="N45">
            <v>326134.17368568387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 Lookup"/>
      <sheetName val="Deferred Income"/>
      <sheetName val="Positive AR"/>
      <sheetName val="Premium Table by Item Code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2094840.4523199946</v>
          </cell>
        </row>
      </sheetData>
      <sheetData sheetId="14">
        <row r="28">
          <cell r="E28">
            <v>1671312.9767381023</v>
          </cell>
        </row>
      </sheetData>
      <sheetData sheetId="15">
        <row r="28">
          <cell r="E28">
            <v>53210.820259999891</v>
          </cell>
        </row>
      </sheetData>
      <sheetData sheetId="16">
        <row r="28">
          <cell r="E28">
            <v>-759397.27174999984</v>
          </cell>
        </row>
      </sheetData>
      <sheetData sheetId="17">
        <row r="28">
          <cell r="E28">
            <v>-20088.849999999991</v>
          </cell>
        </row>
      </sheetData>
      <sheetData sheetId="18">
        <row r="39">
          <cell r="E39">
            <v>3039878.1275680996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C30">
            <v>365257.53999999905</v>
          </cell>
          <cell r="D30">
            <v>21090.145499999966</v>
          </cell>
          <cell r="E30">
            <v>37097.844600000004</v>
          </cell>
          <cell r="F30">
            <v>3045</v>
          </cell>
          <cell r="G30">
            <v>885928.51408513961</v>
          </cell>
        </row>
        <row r="54">
          <cell r="B54">
            <v>301276.599516891</v>
          </cell>
          <cell r="C54">
            <v>314838.27600001462</v>
          </cell>
          <cell r="D54">
            <v>40496.840099999994</v>
          </cell>
          <cell r="E54">
            <v>14645.328399999986</v>
          </cell>
          <cell r="F54">
            <v>10671.25</v>
          </cell>
          <cell r="G54">
            <v>681928.29401690571</v>
          </cell>
        </row>
        <row r="80">
          <cell r="B80">
            <v>332184.39528701216</v>
          </cell>
          <cell r="C80">
            <v>311757.88299998752</v>
          </cell>
          <cell r="D80">
            <v>8782.1078999999936</v>
          </cell>
          <cell r="E80">
            <v>14892.187999999987</v>
          </cell>
          <cell r="F80">
            <v>6747.14</v>
          </cell>
          <cell r="G80">
            <v>674363.71418699983</v>
          </cell>
        </row>
        <row r="105">
          <cell r="G105">
            <v>655611.34502510389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B31">
            <v>281330.66382510529</v>
          </cell>
          <cell r="C31">
            <v>334099.27399999852</v>
          </cell>
          <cell r="D31">
            <v>17527.93</v>
          </cell>
          <cell r="E31">
            <v>16414.477200000103</v>
          </cell>
          <cell r="F31">
            <v>6239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  <row r="20">
          <cell r="B20">
            <v>31705.259999999995</v>
          </cell>
        </row>
        <row r="26">
          <cell r="B26">
            <v>0</v>
          </cell>
        </row>
      </sheetData>
      <sheetData sheetId="2">
        <row r="10">
          <cell r="B10">
            <v>23083.65</v>
          </cell>
        </row>
        <row r="20">
          <cell r="B20">
            <v>3212.99</v>
          </cell>
        </row>
        <row r="26">
          <cell r="B26">
            <v>9893.18</v>
          </cell>
        </row>
      </sheetData>
      <sheetData sheetId="3">
        <row r="10">
          <cell r="B10">
            <v>22978.059999999998</v>
          </cell>
        </row>
        <row r="20">
          <cell r="B20">
            <v>8036.34</v>
          </cell>
        </row>
        <row r="26">
          <cell r="B26">
            <v>59045.81</v>
          </cell>
        </row>
        <row r="31">
          <cell r="B31">
            <v>272.06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 Table by Item Code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607654.88740001619</v>
          </cell>
        </row>
      </sheetData>
      <sheetData sheetId="14">
        <row r="28">
          <cell r="E28">
            <v>1036939.8168504873</v>
          </cell>
        </row>
      </sheetData>
      <sheetData sheetId="15">
        <row r="28">
          <cell r="E28">
            <v>54597.568599999649</v>
          </cell>
        </row>
      </sheetData>
      <sheetData sheetId="16">
        <row r="28">
          <cell r="E28">
            <v>-56319.259040000208</v>
          </cell>
        </row>
      </sheetData>
      <sheetData sheetId="17">
        <row r="28">
          <cell r="E28">
            <v>8290.3699999999953</v>
          </cell>
        </row>
      </sheetData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SO's"/>
      <sheetName val="Prepaid Inventory"/>
      <sheetName val="FTOs for Vlookup"/>
      <sheetName val="Premiums for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567828.19951001555</v>
          </cell>
        </row>
      </sheetData>
      <sheetData sheetId="14">
        <row r="28">
          <cell r="E28">
            <v>-931711.66054889513</v>
          </cell>
        </row>
      </sheetData>
      <sheetData sheetId="15">
        <row r="28">
          <cell r="E28">
            <v>-2899.6698899999028</v>
          </cell>
        </row>
      </sheetData>
      <sheetData sheetId="16">
        <row r="28">
          <cell r="E28">
            <v>-27321.270960000053</v>
          </cell>
        </row>
      </sheetData>
      <sheetData sheetId="17">
        <row r="28">
          <cell r="E28">
            <v>-19993.190000000017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s for Vlookup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-212199.27639002353</v>
          </cell>
        </row>
      </sheetData>
      <sheetData sheetId="14">
        <row r="28">
          <cell r="E28">
            <v>1133883.7106935014</v>
          </cell>
        </row>
      </sheetData>
      <sheetData sheetId="15">
        <row r="28">
          <cell r="E28">
            <v>-17872.84760000027</v>
          </cell>
        </row>
      </sheetData>
      <sheetData sheetId="16">
        <row r="28">
          <cell r="E28">
            <v>35879.561575000058</v>
          </cell>
        </row>
      </sheetData>
      <sheetData sheetId="17">
        <row r="28">
          <cell r="E28">
            <v>24746.690000000002</v>
          </cell>
        </row>
      </sheetData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8F46-91EA-4FDF-952B-A7A475496313}">
  <sheetPr>
    <tabColor theme="9" tint="0.79998168889431442"/>
  </sheetPr>
  <dimension ref="A1:L73"/>
  <sheetViews>
    <sheetView tabSelected="1" zoomScaleNormal="100" workbookViewId="0">
      <pane ySplit="6" topLeftCell="A28" activePane="bottomLeft" state="frozen"/>
      <selection pane="bottomLeft" activeCell="B53" sqref="B53"/>
    </sheetView>
  </sheetViews>
  <sheetFormatPr defaultRowHeight="15" x14ac:dyDescent="0.25"/>
  <cols>
    <col min="1" max="1" width="47" bestFit="1" customWidth="1"/>
    <col min="2" max="2" width="23.42578125" style="128" bestFit="1" customWidth="1"/>
    <col min="3" max="3" width="19.7109375" style="128" bestFit="1" customWidth="1"/>
    <col min="4" max="8" width="18.7109375" style="128" customWidth="1"/>
    <col min="9" max="9" width="23.42578125" style="128" bestFit="1" customWidth="1"/>
    <col min="12" max="12" width="16.85546875" style="91" bestFit="1" customWidth="1"/>
  </cols>
  <sheetData>
    <row r="1" spans="1:12" ht="26.25" x14ac:dyDescent="0.4">
      <c r="A1" s="191" t="s">
        <v>367</v>
      </c>
      <c r="B1" s="191"/>
      <c r="C1" s="191"/>
      <c r="D1" s="191"/>
      <c r="E1" s="191"/>
      <c r="F1" s="191"/>
      <c r="G1" s="191"/>
      <c r="H1" s="191"/>
      <c r="I1" s="191"/>
    </row>
    <row r="2" spans="1:12" ht="26.25" x14ac:dyDescent="0.4">
      <c r="A2" s="191" t="s">
        <v>366</v>
      </c>
      <c r="B2" s="191"/>
      <c r="C2" s="191"/>
      <c r="D2" s="191"/>
      <c r="E2" s="191"/>
      <c r="F2" s="191"/>
      <c r="G2" s="191"/>
      <c r="H2" s="191"/>
      <c r="I2" s="191"/>
    </row>
    <row r="3" spans="1:12" ht="26.25" x14ac:dyDescent="0.4">
      <c r="A3" s="191" t="s">
        <v>299</v>
      </c>
      <c r="B3" s="191"/>
      <c r="C3" s="191"/>
      <c r="D3" s="191"/>
      <c r="E3" s="191"/>
      <c r="F3" s="191"/>
      <c r="G3" s="191"/>
      <c r="H3" s="191"/>
      <c r="I3" s="191"/>
    </row>
    <row r="4" spans="1:12" ht="26.25" x14ac:dyDescent="0.4">
      <c r="A4" s="192">
        <v>43251</v>
      </c>
      <c r="B4" s="193"/>
      <c r="C4" s="193"/>
      <c r="D4" s="193"/>
      <c r="E4" s="193"/>
      <c r="F4" s="193"/>
      <c r="G4" s="193"/>
      <c r="H4" s="193"/>
      <c r="I4" s="193"/>
    </row>
    <row r="6" spans="1:12" s="169" customFormat="1" ht="30" customHeight="1" x14ac:dyDescent="0.3">
      <c r="B6" s="170" t="s">
        <v>243</v>
      </c>
      <c r="C6" s="170" t="s">
        <v>245</v>
      </c>
      <c r="D6" s="170" t="s">
        <v>244</v>
      </c>
      <c r="E6" s="170" t="s">
        <v>246</v>
      </c>
      <c r="F6" s="170" t="s">
        <v>247</v>
      </c>
      <c r="G6" s="170" t="s">
        <v>453</v>
      </c>
      <c r="H6" s="170" t="s">
        <v>465</v>
      </c>
      <c r="I6" s="170" t="s">
        <v>217</v>
      </c>
      <c r="L6" s="171"/>
    </row>
    <row r="7" spans="1:12" s="169" customFormat="1" ht="39.950000000000003" customHeight="1" x14ac:dyDescent="0.3">
      <c r="A7" s="172" t="s">
        <v>63</v>
      </c>
      <c r="B7" s="175">
        <f>'Comp Summary YTD 2018-2017 May'!B21</f>
        <v>2678192192.04</v>
      </c>
      <c r="C7" s="175">
        <f>'Comp Summary YTD 2018-2017 May'!C21</f>
        <v>30848650.639999997</v>
      </c>
      <c r="D7" s="175">
        <f>'Comp Summary YTD 2018-2017 May'!D21</f>
        <v>910323.34000000008</v>
      </c>
      <c r="E7" s="175">
        <f>'Comp Summary YTD 2018-2017 May'!E21</f>
        <v>0</v>
      </c>
      <c r="F7" s="175">
        <f>'Comp Summary YTD 2018-2017 May'!F21</f>
        <v>505677.55000000005</v>
      </c>
      <c r="G7" s="175">
        <f>'Comp Summary YTD 2018-2017 May'!G21</f>
        <v>0</v>
      </c>
      <c r="H7" s="175">
        <f>'Comp Summary YTD 2018-2017 May'!H21</f>
        <v>0</v>
      </c>
      <c r="I7" s="175">
        <f>SUM(B7:H7)</f>
        <v>2710456843.5700002</v>
      </c>
      <c r="L7" s="171"/>
    </row>
    <row r="8" spans="1:12" s="169" customFormat="1" ht="39.950000000000003" customHeight="1" x14ac:dyDescent="0.3">
      <c r="B8" s="189"/>
      <c r="C8" s="189"/>
      <c r="D8" s="189"/>
      <c r="E8" s="189"/>
      <c r="F8" s="189"/>
      <c r="G8" s="189"/>
      <c r="H8" s="189"/>
      <c r="I8" s="189"/>
      <c r="L8" s="171"/>
    </row>
    <row r="9" spans="1:12" s="169" customFormat="1" ht="39.950000000000003" customHeight="1" x14ac:dyDescent="0.3">
      <c r="A9" s="172" t="s">
        <v>256</v>
      </c>
      <c r="B9" s="188">
        <f>'Comp Summary YTD 2018-2017 May'!B25</f>
        <v>2675236028.5000005</v>
      </c>
      <c r="C9" s="188">
        <f>'Comp Summary YTD 2018-2017 May'!C25</f>
        <v>30437032.460000001</v>
      </c>
      <c r="D9" s="188">
        <f>'Comp Summary YTD 2018-2017 May'!D25</f>
        <v>105681.95</v>
      </c>
      <c r="E9" s="188">
        <f>'Comp Summary YTD 2018-2017 May'!E25</f>
        <v>0</v>
      </c>
      <c r="F9" s="188">
        <f>'Comp Summary YTD 2018-2017 May'!F25</f>
        <v>1068.5899999999999</v>
      </c>
      <c r="G9" s="188">
        <f>'Comp Summary YTD 2018-2017 May'!G25</f>
        <v>0</v>
      </c>
      <c r="H9" s="188">
        <f>'Comp Summary YTD 2018-2017 May'!H25</f>
        <v>0</v>
      </c>
      <c r="I9" s="188">
        <f>SUM(B9:H9)</f>
        <v>2705779811.5000005</v>
      </c>
      <c r="L9" s="171"/>
    </row>
    <row r="10" spans="1:12" s="169" customFormat="1" ht="39.950000000000003" customHeight="1" x14ac:dyDescent="0.3">
      <c r="B10" s="174"/>
      <c r="C10" s="174"/>
      <c r="D10" s="174"/>
      <c r="E10" s="174"/>
      <c r="F10" s="174"/>
      <c r="G10" s="174"/>
      <c r="H10" s="174"/>
      <c r="I10" s="174"/>
      <c r="L10" s="171"/>
    </row>
    <row r="11" spans="1:12" s="169" customFormat="1" ht="39.950000000000003" customHeight="1" thickBot="1" x14ac:dyDescent="0.35">
      <c r="A11" s="172" t="s">
        <v>242</v>
      </c>
      <c r="B11" s="176">
        <f t="shared" ref="B11:H11" si="0">B7-B9</f>
        <v>2956163.539999485</v>
      </c>
      <c r="C11" s="176">
        <f t="shared" si="0"/>
        <v>411618.17999999598</v>
      </c>
      <c r="D11" s="176">
        <f t="shared" si="0"/>
        <v>804641.39000000013</v>
      </c>
      <c r="E11" s="176">
        <f t="shared" si="0"/>
        <v>0</v>
      </c>
      <c r="F11" s="176">
        <f t="shared" si="0"/>
        <v>504608.96</v>
      </c>
      <c r="G11" s="176">
        <f t="shared" ref="G11" si="1">G7-G9</f>
        <v>0</v>
      </c>
      <c r="H11" s="176">
        <f t="shared" si="0"/>
        <v>0</v>
      </c>
      <c r="I11" s="176">
        <f>SUM(B11:H11)</f>
        <v>4677032.0699994816</v>
      </c>
      <c r="L11" s="171"/>
    </row>
    <row r="12" spans="1:12" s="169" customFormat="1" ht="30" customHeight="1" x14ac:dyDescent="0.3">
      <c r="B12" s="174"/>
      <c r="C12" s="174"/>
      <c r="D12" s="174"/>
      <c r="E12" s="174"/>
      <c r="F12" s="174"/>
      <c r="G12" s="174"/>
      <c r="H12" s="174"/>
      <c r="I12" s="174"/>
      <c r="L12" s="171"/>
    </row>
    <row r="13" spans="1:12" s="169" customFormat="1" ht="30" customHeight="1" x14ac:dyDescent="0.3">
      <c r="A13" s="172" t="s">
        <v>240</v>
      </c>
      <c r="B13" s="174"/>
      <c r="C13" s="174"/>
      <c r="D13" s="174"/>
      <c r="E13" s="174"/>
      <c r="F13" s="174"/>
      <c r="G13" s="174"/>
      <c r="H13" s="174"/>
      <c r="I13" s="174"/>
      <c r="L13" s="171"/>
    </row>
    <row r="14" spans="1:12" s="169" customFormat="1" ht="30" customHeight="1" x14ac:dyDescent="0.3">
      <c r="B14" s="174"/>
      <c r="C14" s="174"/>
      <c r="D14" s="174"/>
      <c r="E14" s="174"/>
      <c r="F14" s="174"/>
      <c r="G14" s="174"/>
      <c r="H14" s="174"/>
      <c r="I14" s="174"/>
      <c r="L14" s="171"/>
    </row>
    <row r="15" spans="1:12" s="169" customFormat="1" ht="30" customHeight="1" x14ac:dyDescent="0.3">
      <c r="A15" s="172" t="s">
        <v>257</v>
      </c>
      <c r="B15" s="174"/>
      <c r="C15" s="174"/>
      <c r="D15" s="174"/>
      <c r="E15" s="174"/>
      <c r="F15" s="174"/>
      <c r="G15" s="174"/>
      <c r="H15" s="174"/>
      <c r="I15" s="174"/>
      <c r="L15" s="171"/>
    </row>
    <row r="16" spans="1:12" s="169" customFormat="1" ht="30" customHeight="1" x14ac:dyDescent="0.3">
      <c r="A16" s="169" t="s">
        <v>258</v>
      </c>
      <c r="B16" s="174">
        <f>'Summary YTD 05.31.18'!B32</f>
        <v>1497290.1500000001</v>
      </c>
      <c r="C16" s="174">
        <f>'Summary YTD 05.31.18'!C32</f>
        <v>0</v>
      </c>
      <c r="D16" s="174">
        <f>'Summary YTD 05.31.18'!D32</f>
        <v>42790.85</v>
      </c>
      <c r="E16" s="174">
        <f>'Summary YTD 05.31.18'!E32</f>
        <v>0</v>
      </c>
      <c r="F16" s="174">
        <f>'Summary YTD 05.31.18'!F32</f>
        <v>150452.51</v>
      </c>
      <c r="G16" s="174">
        <f>'Summary YTD 05.31.18'!G32</f>
        <v>0</v>
      </c>
      <c r="H16" s="174">
        <f>'Summary YTD 05.31.18'!H32</f>
        <v>0</v>
      </c>
      <c r="I16" s="174">
        <f>SUM(B16:H16)</f>
        <v>1690533.5100000002</v>
      </c>
      <c r="L16" s="171"/>
    </row>
    <row r="17" spans="1:12" s="169" customFormat="1" ht="30" customHeight="1" x14ac:dyDescent="0.3">
      <c r="A17" s="169" t="s">
        <v>260</v>
      </c>
      <c r="B17" s="174">
        <f>'Summary YTD 05.31.18'!B34</f>
        <v>139863.54999999999</v>
      </c>
      <c r="C17" s="174">
        <f>'Summary YTD 05.31.18'!C34</f>
        <v>0</v>
      </c>
      <c r="D17" s="174">
        <f>'Summary YTD 05.31.18'!D34</f>
        <v>5394.6100000000006</v>
      </c>
      <c r="E17" s="174">
        <f>'Summary YTD 05.31.18'!E34</f>
        <v>0</v>
      </c>
      <c r="F17" s="174">
        <f>'Summary YTD 05.31.18'!F34</f>
        <v>9856.2099999999991</v>
      </c>
      <c r="G17" s="174">
        <f>'Summary YTD 05.31.18'!G34</f>
        <v>0</v>
      </c>
      <c r="H17" s="174">
        <f>'Summary YTD 05.31.18'!H34</f>
        <v>0</v>
      </c>
      <c r="I17" s="174">
        <f t="shared" ref="I17" si="2">SUM(B17:H17)</f>
        <v>155114.36999999997</v>
      </c>
      <c r="L17" s="171"/>
    </row>
    <row r="18" spans="1:12" s="169" customFormat="1" ht="30" customHeight="1" x14ac:dyDescent="0.3">
      <c r="A18" s="169" t="s">
        <v>467</v>
      </c>
      <c r="B18" s="174">
        <f>'Summary YTD 05.31.18'!B33+'Summary YTD 05.31.18'!B35+'Summary YTD 05.31.18'!B36+'Summary YTD 05.31.18'!B37+'Summary YTD 05.31.18'!B38+'Summary YTD 05.31.18'!B39+'Summary YTD 05.31.18'!B40</f>
        <v>253462.59000000003</v>
      </c>
      <c r="C18" s="174">
        <f>'Summary YTD 05.31.18'!C33+'Summary YTD 05.31.18'!C35+'Summary YTD 05.31.18'!C36+'Summary YTD 05.31.18'!C37+'Summary YTD 05.31.18'!C38+'Summary YTD 05.31.18'!C39+'Summary YTD 05.31.18'!C40</f>
        <v>0</v>
      </c>
      <c r="D18" s="174">
        <f>'Summary YTD 05.31.18'!D33+'Summary YTD 05.31.18'!D35+'Summary YTD 05.31.18'!D36+'Summary YTD 05.31.18'!D37+'Summary YTD 05.31.18'!D38+'Summary YTD 05.31.18'!D39+'Summary YTD 05.31.18'!D40</f>
        <v>19604.18</v>
      </c>
      <c r="E18" s="174">
        <f>'Summary YTD 05.31.18'!E33+'Summary YTD 05.31.18'!E35+'Summary YTD 05.31.18'!E36+'Summary YTD 05.31.18'!E37+'Summary YTD 05.31.18'!E38+'Summary YTD 05.31.18'!E39+'Summary YTD 05.31.18'!E40</f>
        <v>0</v>
      </c>
      <c r="F18" s="174">
        <f>'Summary YTD 05.31.18'!F33+'Summary YTD 05.31.18'!F35+'Summary YTD 05.31.18'!F36+'Summary YTD 05.31.18'!F37+'Summary YTD 05.31.18'!F38+'Summary YTD 05.31.18'!F39+'Summary YTD 05.31.18'!F40</f>
        <v>30452.87</v>
      </c>
      <c r="G18" s="174">
        <v>0</v>
      </c>
      <c r="H18" s="174">
        <f>'BSC (Dome)'!H24</f>
        <v>0</v>
      </c>
      <c r="I18" s="174">
        <f t="shared" ref="I18" si="3">SUM(B18:H18)</f>
        <v>303519.64</v>
      </c>
      <c r="L18" s="171"/>
    </row>
    <row r="19" spans="1:12" s="169" customFormat="1" ht="30" customHeight="1" x14ac:dyDescent="0.3">
      <c r="A19" s="172" t="s">
        <v>265</v>
      </c>
      <c r="B19" s="175">
        <f t="shared" ref="B19:H19" si="4">SUM(B16:B18)</f>
        <v>1890616.2900000003</v>
      </c>
      <c r="C19" s="175">
        <f t="shared" si="4"/>
        <v>0</v>
      </c>
      <c r="D19" s="175">
        <f t="shared" si="4"/>
        <v>67789.64</v>
      </c>
      <c r="E19" s="175">
        <f t="shared" si="4"/>
        <v>0</v>
      </c>
      <c r="F19" s="175">
        <f t="shared" si="4"/>
        <v>190761.59</v>
      </c>
      <c r="G19" s="175">
        <f t="shared" si="4"/>
        <v>0</v>
      </c>
      <c r="H19" s="175">
        <f t="shared" si="4"/>
        <v>0</v>
      </c>
      <c r="I19" s="175">
        <f>SUM(B19:H19)</f>
        <v>2149167.52</v>
      </c>
      <c r="L19" s="171"/>
    </row>
    <row r="20" spans="1:12" s="169" customFormat="1" ht="30" customHeight="1" x14ac:dyDescent="0.3">
      <c r="B20" s="174"/>
      <c r="C20" s="174"/>
      <c r="D20" s="174"/>
      <c r="E20" s="174"/>
      <c r="F20" s="174"/>
      <c r="G20" s="174"/>
      <c r="H20" s="174"/>
      <c r="I20" s="174"/>
      <c r="L20" s="171"/>
    </row>
    <row r="21" spans="1:12" s="169" customFormat="1" ht="30" customHeight="1" x14ac:dyDescent="0.3">
      <c r="A21" s="172" t="s">
        <v>266</v>
      </c>
      <c r="B21" s="174"/>
      <c r="C21" s="174"/>
      <c r="D21" s="174"/>
      <c r="E21" s="174"/>
      <c r="F21" s="174"/>
      <c r="G21" s="174"/>
      <c r="H21" s="174"/>
      <c r="I21" s="174"/>
      <c r="L21" s="171"/>
    </row>
    <row r="22" spans="1:12" s="169" customFormat="1" ht="30" customHeight="1" x14ac:dyDescent="0.3">
      <c r="A22" s="169" t="s">
        <v>267</v>
      </c>
      <c r="B22" s="174">
        <f>'Summary YTD 05.31.18'!B44</f>
        <v>171000</v>
      </c>
      <c r="C22" s="174">
        <f>'Summary YTD 05.31.18'!C44</f>
        <v>0</v>
      </c>
      <c r="D22" s="174">
        <f>'Summary YTD 05.31.18'!D44</f>
        <v>187500</v>
      </c>
      <c r="E22" s="174">
        <f>'Summary YTD 05.31.18'!E44</f>
        <v>0</v>
      </c>
      <c r="F22" s="174">
        <f>'Summary YTD 05.31.18'!F44</f>
        <v>5000</v>
      </c>
      <c r="G22" s="174">
        <f>'Summary YTD 05.31.18'!G44</f>
        <v>0</v>
      </c>
      <c r="H22" s="174">
        <f>'Summary YTD 05.31.18'!H44</f>
        <v>0</v>
      </c>
      <c r="I22" s="174">
        <f>SUM(B22:H22)</f>
        <v>363500</v>
      </c>
      <c r="L22" s="171"/>
    </row>
    <row r="23" spans="1:12" s="169" customFormat="1" ht="30" customHeight="1" x14ac:dyDescent="0.3">
      <c r="A23" s="169" t="s">
        <v>326</v>
      </c>
      <c r="B23" s="174">
        <f>'Summary YTD 05.31.18'!B45+'Summary YTD 05.31.18'!B46+'Summary YTD 05.31.18'!B47</f>
        <v>24939.360000000001</v>
      </c>
      <c r="C23" s="174">
        <f>'Summary YTD 05.31.18'!C45+'Summary YTD 05.31.18'!C46+'Summary YTD 05.31.18'!C47</f>
        <v>0</v>
      </c>
      <c r="D23" s="174">
        <f>'Summary YTD 05.31.18'!D45+'Summary YTD 05.31.18'!D46+'Summary YTD 05.31.18'!D47</f>
        <v>33450.199999999997</v>
      </c>
      <c r="E23" s="174">
        <f>'Summary YTD 05.31.18'!E45+'Summary YTD 05.31.18'!E46+'Summary YTD 05.31.18'!E47</f>
        <v>0</v>
      </c>
      <c r="F23" s="174">
        <f>'Summary YTD 05.31.18'!F45+'Summary YTD 05.31.18'!F46+'Summary YTD 05.31.18'!F47</f>
        <v>63590.369999999995</v>
      </c>
      <c r="G23" s="174">
        <f>'Summary YTD 05.31.18'!G45+'Summary YTD 05.31.18'!G46+'Summary YTD 05.31.18'!G47</f>
        <v>0</v>
      </c>
      <c r="H23" s="174">
        <f>'Summary YTD 05.31.18'!H45+'Summary YTD 05.31.18'!H46+'Summary YTD 05.31.18'!H47</f>
        <v>0</v>
      </c>
      <c r="I23" s="174">
        <f t="shared" ref="I23:I35" si="5">SUM(B23:H23)</f>
        <v>121979.93</v>
      </c>
      <c r="L23" s="171"/>
    </row>
    <row r="24" spans="1:12" s="169" customFormat="1" ht="30" customHeight="1" x14ac:dyDescent="0.3">
      <c r="A24" s="169" t="s">
        <v>457</v>
      </c>
      <c r="B24" s="174">
        <f>'Summary YTD 05.31.18'!B48+'Summary YTD 05.31.18'!B49+'Summary YTD 05.31.18'!B50+'Summary YTD 05.31.18'!B51</f>
        <v>70346.600000000006</v>
      </c>
      <c r="C24" s="174">
        <f>'Summary YTD 05.31.18'!C48+'Summary YTD 05.31.18'!C49+'Summary YTD 05.31.18'!C50+'Summary YTD 05.31.18'!C51</f>
        <v>1511.66</v>
      </c>
      <c r="D24" s="174">
        <f>'Summary YTD 05.31.18'!D48+'Summary YTD 05.31.18'!D49+'Summary YTD 05.31.18'!D50+'Summary YTD 05.31.18'!D51</f>
        <v>14814.97</v>
      </c>
      <c r="E24" s="174">
        <f>'Summary YTD 05.31.18'!E48+'Summary YTD 05.31.18'!E49+'Summary YTD 05.31.18'!E50+'Summary YTD 05.31.18'!E51</f>
        <v>0</v>
      </c>
      <c r="F24" s="174">
        <f>'Summary YTD 05.31.18'!F48+'Summary YTD 05.31.18'!F49+'Summary YTD 05.31.18'!F50+'Summary YTD 05.31.18'!F51</f>
        <v>11422.7</v>
      </c>
      <c r="G24" s="174">
        <f>'Summary YTD 05.31.18'!G48+'Summary YTD 05.31.18'!G49+'Summary YTD 05.31.18'!G50+'Summary YTD 05.31.18'!G51</f>
        <v>0</v>
      </c>
      <c r="H24" s="174">
        <f>'Summary YTD 05.31.18'!H48+'Summary YTD 05.31.18'!H49+'Summary YTD 05.31.18'!H50+'Summary YTD 05.31.18'!H51</f>
        <v>0</v>
      </c>
      <c r="I24" s="174">
        <f t="shared" ref="I24" si="6">SUM(B24:H24)</f>
        <v>98095.930000000008</v>
      </c>
      <c r="L24" s="171"/>
    </row>
    <row r="25" spans="1:12" s="169" customFormat="1" ht="30" customHeight="1" x14ac:dyDescent="0.3">
      <c r="A25" s="169" t="s">
        <v>273</v>
      </c>
      <c r="B25" s="174">
        <f>'Summary YTD 05.31.18'!B52</f>
        <v>43382.590000000011</v>
      </c>
      <c r="C25" s="174">
        <f>'Summary YTD 05.31.18'!C52</f>
        <v>0</v>
      </c>
      <c r="D25" s="174">
        <f>'Summary YTD 05.31.18'!D52</f>
        <v>26970.9</v>
      </c>
      <c r="E25" s="174">
        <f>'Summary YTD 05.31.18'!E52</f>
        <v>0</v>
      </c>
      <c r="F25" s="174">
        <f>'Summary YTD 05.31.18'!F52</f>
        <v>233.66</v>
      </c>
      <c r="G25" s="174">
        <f>'Summary YTD 05.31.18'!G52</f>
        <v>0</v>
      </c>
      <c r="H25" s="174">
        <f>'Summary YTD 05.31.18'!H52</f>
        <v>0</v>
      </c>
      <c r="I25" s="174">
        <f t="shared" si="5"/>
        <v>70587.150000000023</v>
      </c>
      <c r="L25" s="171"/>
    </row>
    <row r="26" spans="1:12" s="169" customFormat="1" ht="30" customHeight="1" x14ac:dyDescent="0.3">
      <c r="A26" s="169" t="s">
        <v>274</v>
      </c>
      <c r="B26" s="174">
        <f>'Summary YTD 05.31.18'!B53</f>
        <v>15500</v>
      </c>
      <c r="C26" s="174">
        <f>'Summary YTD 05.31.18'!C53</f>
        <v>0</v>
      </c>
      <c r="D26" s="174">
        <f>'Summary YTD 05.31.18'!D53</f>
        <v>7274.04</v>
      </c>
      <c r="E26" s="174">
        <f>'Summary YTD 05.31.18'!E53</f>
        <v>0</v>
      </c>
      <c r="F26" s="174">
        <f>'Summary YTD 05.31.18'!F53</f>
        <v>0</v>
      </c>
      <c r="G26" s="174">
        <f>'Summary YTD 05.31.18'!G53</f>
        <v>0</v>
      </c>
      <c r="H26" s="174">
        <f>'Summary YTD 05.31.18'!H53</f>
        <v>0</v>
      </c>
      <c r="I26" s="174">
        <f t="shared" si="5"/>
        <v>22774.04</v>
      </c>
      <c r="L26" s="171"/>
    </row>
    <row r="27" spans="1:12" s="169" customFormat="1" ht="30" customHeight="1" x14ac:dyDescent="0.3">
      <c r="A27" s="169" t="s">
        <v>272</v>
      </c>
      <c r="B27" s="174">
        <f>'Summary YTD 05.31.18'!B54</f>
        <v>25484.61</v>
      </c>
      <c r="C27" s="174">
        <f>'Summary YTD 05.31.18'!C54</f>
        <v>0</v>
      </c>
      <c r="D27" s="174">
        <f>'Summary YTD 05.31.18'!D54</f>
        <v>90104.159999999989</v>
      </c>
      <c r="E27" s="174">
        <f>'Summary YTD 05.31.18'!E54</f>
        <v>0</v>
      </c>
      <c r="F27" s="174">
        <f>'Summary YTD 05.31.18'!F54</f>
        <v>12122</v>
      </c>
      <c r="G27" s="174">
        <f>'Summary YTD 05.31.18'!G54</f>
        <v>0</v>
      </c>
      <c r="H27" s="174">
        <f>'Summary YTD 05.31.18'!H54</f>
        <v>0</v>
      </c>
      <c r="I27" s="174">
        <f t="shared" si="5"/>
        <v>127710.76999999999</v>
      </c>
      <c r="L27" s="171"/>
    </row>
    <row r="28" spans="1:12" s="169" customFormat="1" ht="30" customHeight="1" x14ac:dyDescent="0.3">
      <c r="A28" s="169" t="s">
        <v>394</v>
      </c>
      <c r="B28" s="174">
        <f>'Summary YTD 05.31.18'!B55</f>
        <v>109</v>
      </c>
      <c r="C28" s="174">
        <f>'Summary YTD 05.31.18'!C55</f>
        <v>198.97000000000003</v>
      </c>
      <c r="D28" s="174">
        <f>'Summary YTD 05.31.18'!D55</f>
        <v>149</v>
      </c>
      <c r="E28" s="174">
        <f>'Summary YTD 05.31.18'!E55</f>
        <v>0</v>
      </c>
      <c r="F28" s="174">
        <f>'Summary YTD 05.31.18'!F55</f>
        <v>565</v>
      </c>
      <c r="G28" s="174">
        <f>'Summary YTD 05.31.18'!G55</f>
        <v>520</v>
      </c>
      <c r="H28" s="174">
        <f>'Summary YTD 05.31.18'!H55</f>
        <v>520</v>
      </c>
      <c r="I28" s="174">
        <f t="shared" si="5"/>
        <v>2061.9700000000003</v>
      </c>
      <c r="L28" s="171"/>
    </row>
    <row r="29" spans="1:12" s="169" customFormat="1" ht="30" customHeight="1" x14ac:dyDescent="0.3">
      <c r="A29" s="169" t="s">
        <v>275</v>
      </c>
      <c r="B29" s="174">
        <f>'Summary YTD 05.31.18'!B57+'Summary YTD 05.31.18'!B56</f>
        <v>7250.46</v>
      </c>
      <c r="C29" s="174">
        <f>'Summary YTD 05.31.18'!C57+'Summary YTD 05.31.18'!C56</f>
        <v>0</v>
      </c>
      <c r="D29" s="174">
        <f>'Summary YTD 05.31.18'!D57+'Summary YTD 05.31.18'!D56</f>
        <v>152.47</v>
      </c>
      <c r="E29" s="174">
        <f>'Summary YTD 05.31.18'!E57+'Summary YTD 05.31.18'!E56</f>
        <v>0</v>
      </c>
      <c r="F29" s="174">
        <f>'Summary YTD 05.31.18'!F57+'Summary YTD 05.31.18'!F56</f>
        <v>11132.08</v>
      </c>
      <c r="G29" s="174">
        <f>'Summary YTD 05.31.18'!G57+'Summary YTD 05.31.18'!G56</f>
        <v>0</v>
      </c>
      <c r="H29" s="174">
        <f>'Summary YTD 05.31.18'!H57+'Summary YTD 05.31.18'!H56</f>
        <v>0</v>
      </c>
      <c r="I29" s="174">
        <f t="shared" si="5"/>
        <v>18535.010000000002</v>
      </c>
      <c r="L29" s="171"/>
    </row>
    <row r="30" spans="1:12" s="169" customFormat="1" ht="30" customHeight="1" x14ac:dyDescent="0.3">
      <c r="A30" s="169" t="s">
        <v>276</v>
      </c>
      <c r="B30" s="174">
        <f>'Summary YTD 05.31.18'!B58</f>
        <v>2242.5</v>
      </c>
      <c r="C30" s="174">
        <f>'Summary YTD 05.31.18'!C58</f>
        <v>0</v>
      </c>
      <c r="D30" s="174">
        <f>'Summary YTD 05.31.18'!D58</f>
        <v>1786.62</v>
      </c>
      <c r="E30" s="174">
        <f>'Summary YTD 05.31.18'!E58</f>
        <v>0</v>
      </c>
      <c r="F30" s="174">
        <f>'Summary YTD 05.31.18'!F58</f>
        <v>0</v>
      </c>
      <c r="G30" s="174">
        <f>'Summary YTD 05.31.18'!G58</f>
        <v>0</v>
      </c>
      <c r="H30" s="174">
        <f>'Summary YTD 05.31.18'!H58</f>
        <v>0</v>
      </c>
      <c r="I30" s="174">
        <f t="shared" si="5"/>
        <v>4029.12</v>
      </c>
      <c r="L30" s="171"/>
    </row>
    <row r="31" spans="1:12" s="169" customFormat="1" ht="30" customHeight="1" x14ac:dyDescent="0.3">
      <c r="A31" s="169" t="s">
        <v>278</v>
      </c>
      <c r="B31" s="174">
        <f>'Summary YTD 05.31.18'!B60</f>
        <v>593305.84</v>
      </c>
      <c r="C31" s="174">
        <f>'Summary YTD 05.31.18'!C60</f>
        <v>1815.58</v>
      </c>
      <c r="D31" s="174">
        <f>'Summary YTD 05.31.18'!D60</f>
        <v>51718.71</v>
      </c>
      <c r="E31" s="174">
        <f>'Summary YTD 05.31.18'!E60</f>
        <v>0</v>
      </c>
      <c r="F31" s="174">
        <f>'Summary YTD 05.31.18'!F60</f>
        <v>46910.850000000006</v>
      </c>
      <c r="G31" s="174">
        <f>'Summary YTD 05.31.18'!G60</f>
        <v>46256.350000000006</v>
      </c>
      <c r="H31" s="174">
        <f>'Summary YTD 05.31.18'!H60</f>
        <v>73494.559999999998</v>
      </c>
      <c r="I31" s="174">
        <f t="shared" si="5"/>
        <v>813501.8899999999</v>
      </c>
      <c r="L31" s="171"/>
    </row>
    <row r="32" spans="1:12" s="169" customFormat="1" ht="30" customHeight="1" x14ac:dyDescent="0.3">
      <c r="A32" s="169" t="s">
        <v>277</v>
      </c>
      <c r="B32" s="174">
        <f>'Summary YTD 05.31.18'!B59</f>
        <v>1666.6499999999999</v>
      </c>
      <c r="C32" s="174">
        <f>'Summary YTD 05.31.18'!C59</f>
        <v>0</v>
      </c>
      <c r="D32" s="174">
        <f>'Summary YTD 05.31.18'!D59</f>
        <v>0</v>
      </c>
      <c r="E32" s="174">
        <f>'Summary YTD 05.31.18'!E59</f>
        <v>0</v>
      </c>
      <c r="F32" s="174">
        <f>'Summary YTD 05.31.18'!F59</f>
        <v>0</v>
      </c>
      <c r="G32" s="174">
        <f>'Summary YTD 05.31.18'!G59</f>
        <v>0</v>
      </c>
      <c r="H32" s="174">
        <f>'Summary YTD 05.31.18'!H59</f>
        <v>0</v>
      </c>
      <c r="I32" s="174">
        <f t="shared" si="5"/>
        <v>1666.6499999999999</v>
      </c>
      <c r="L32" s="171"/>
    </row>
    <row r="33" spans="1:12" s="169" customFormat="1" ht="30" customHeight="1" x14ac:dyDescent="0.3">
      <c r="A33" s="169" t="s">
        <v>288</v>
      </c>
      <c r="B33" s="174">
        <f>'Summary YTD 05.31.18'!B61</f>
        <v>976.74</v>
      </c>
      <c r="C33" s="174">
        <f>'Summary YTD 05.31.18'!C61</f>
        <v>0</v>
      </c>
      <c r="D33" s="174">
        <f>'Summary YTD 05.31.18'!D61</f>
        <v>0</v>
      </c>
      <c r="E33" s="174">
        <f>'Summary YTD 05.31.18'!E61</f>
        <v>0</v>
      </c>
      <c r="F33" s="174">
        <f>'Summary YTD 05.31.18'!F61</f>
        <v>0</v>
      </c>
      <c r="G33" s="174">
        <f>'Summary YTD 05.31.18'!G61</f>
        <v>0</v>
      </c>
      <c r="H33" s="174">
        <f>'Summary YTD 05.31.18'!H61</f>
        <v>0</v>
      </c>
      <c r="I33" s="174">
        <f t="shared" si="5"/>
        <v>976.74</v>
      </c>
      <c r="L33" s="171"/>
    </row>
    <row r="34" spans="1:12" s="169" customFormat="1" ht="30" customHeight="1" x14ac:dyDescent="0.3">
      <c r="A34" s="169" t="s">
        <v>282</v>
      </c>
      <c r="B34" s="174">
        <f>'Summary YTD 05.31.18'!B63</f>
        <v>77964.349999999991</v>
      </c>
      <c r="C34" s="174">
        <f>'Summary YTD 05.31.18'!C63</f>
        <v>0</v>
      </c>
      <c r="D34" s="174">
        <f>'Summary YTD 05.31.18'!D63</f>
        <v>36452.49</v>
      </c>
      <c r="E34" s="174">
        <f>'Summary YTD 05.31.18'!E63</f>
        <v>0</v>
      </c>
      <c r="F34" s="174">
        <f>'Summary YTD 05.31.18'!F63</f>
        <v>0</v>
      </c>
      <c r="G34" s="174">
        <f>'Summary YTD 05.31.18'!G63</f>
        <v>0</v>
      </c>
      <c r="H34" s="174">
        <f>'Summary YTD 05.31.18'!H63</f>
        <v>0</v>
      </c>
      <c r="I34" s="174">
        <f t="shared" si="5"/>
        <v>114416.84</v>
      </c>
      <c r="L34" s="171"/>
    </row>
    <row r="35" spans="1:12" s="169" customFormat="1" ht="30" customHeight="1" x14ac:dyDescent="0.3">
      <c r="A35" s="169" t="s">
        <v>458</v>
      </c>
      <c r="B35" s="174">
        <f>'Summary YTD 05.31.18'!B62+'Summary YTD 05.31.18'!B64+'Summary YTD 05.31.18'!B65</f>
        <v>17881.879999999997</v>
      </c>
      <c r="C35" s="174">
        <f>'Summary YTD 05.31.18'!C62+'Summary YTD 05.31.18'!C64+'Summary YTD 05.31.18'!C65</f>
        <v>2018.48</v>
      </c>
      <c r="D35" s="174">
        <f>'Summary YTD 05.31.18'!D62+'Summary YTD 05.31.18'!D64+'Summary YTD 05.31.18'!D65</f>
        <v>14446.519999999999</v>
      </c>
      <c r="E35" s="174">
        <f>'Summary YTD 05.31.18'!E62+'Summary YTD 05.31.18'!E64+'Summary YTD 05.31.18'!E65</f>
        <v>0</v>
      </c>
      <c r="F35" s="174">
        <f>'Summary YTD 05.31.18'!F62+'Summary YTD 05.31.18'!F64+'Summary YTD 05.31.18'!F65</f>
        <v>5580.3099999999995</v>
      </c>
      <c r="G35" s="174">
        <f>'Summary YTD 05.31.18'!G62+'Summary YTD 05.31.18'!G64+'Summary YTD 05.31.18'!G65</f>
        <v>0</v>
      </c>
      <c r="H35" s="174">
        <f>'Summary YTD 05.31.18'!H62+'Summary YTD 05.31.18'!H64+'Summary YTD 05.31.18'!H65</f>
        <v>0</v>
      </c>
      <c r="I35" s="174">
        <f t="shared" si="5"/>
        <v>39927.189999999995</v>
      </c>
      <c r="L35" s="171"/>
    </row>
    <row r="36" spans="1:12" s="169" customFormat="1" ht="30" customHeight="1" x14ac:dyDescent="0.3">
      <c r="A36" s="172" t="s">
        <v>283</v>
      </c>
      <c r="B36" s="175">
        <f t="shared" ref="B36:H36" si="7">SUM(B22:B35)</f>
        <v>1052050.5799999998</v>
      </c>
      <c r="C36" s="175">
        <f t="shared" si="7"/>
        <v>5544.6900000000005</v>
      </c>
      <c r="D36" s="175">
        <f t="shared" si="7"/>
        <v>464820.07999999996</v>
      </c>
      <c r="E36" s="175">
        <f t="shared" si="7"/>
        <v>0</v>
      </c>
      <c r="F36" s="175">
        <f t="shared" si="7"/>
        <v>156556.97</v>
      </c>
      <c r="G36" s="175">
        <f t="shared" si="7"/>
        <v>46776.350000000006</v>
      </c>
      <c r="H36" s="175">
        <f t="shared" si="7"/>
        <v>74014.559999999998</v>
      </c>
      <c r="I36" s="175">
        <f>SUM(B36:H36)</f>
        <v>1799763.2299999997</v>
      </c>
      <c r="L36" s="171"/>
    </row>
    <row r="37" spans="1:12" s="169" customFormat="1" ht="30" customHeight="1" x14ac:dyDescent="0.3">
      <c r="B37" s="174"/>
      <c r="C37" s="174"/>
      <c r="D37" s="174"/>
      <c r="E37" s="174"/>
      <c r="F37" s="174"/>
      <c r="G37" s="174"/>
      <c r="H37" s="174"/>
      <c r="I37" s="174">
        <f>SUM(B37:F37)</f>
        <v>0</v>
      </c>
      <c r="L37" s="171"/>
    </row>
    <row r="38" spans="1:12" s="169" customFormat="1" ht="30" customHeight="1" x14ac:dyDescent="0.3">
      <c r="A38" s="172" t="s">
        <v>284</v>
      </c>
      <c r="B38" s="174"/>
      <c r="C38" s="174"/>
      <c r="D38" s="174"/>
      <c r="E38" s="174"/>
      <c r="F38" s="174"/>
      <c r="G38" s="174"/>
      <c r="H38" s="174"/>
      <c r="I38" s="174">
        <f>SUM(B38:F38)</f>
        <v>0</v>
      </c>
      <c r="L38" s="171"/>
    </row>
    <row r="39" spans="1:12" s="169" customFormat="1" ht="30" customHeight="1" x14ac:dyDescent="0.3">
      <c r="A39" s="169" t="s">
        <v>285</v>
      </c>
      <c r="B39" s="174">
        <f>'Summary YTD 05.31.18'!B69</f>
        <v>4648.83</v>
      </c>
      <c r="C39" s="174">
        <f>'Summary YTD 05.31.18'!C69</f>
        <v>0</v>
      </c>
      <c r="D39" s="174">
        <f>'Summary YTD 05.31.18'!D69</f>
        <v>848.35</v>
      </c>
      <c r="E39" s="174">
        <f>'Summary YTD 05.31.18'!E69</f>
        <v>0</v>
      </c>
      <c r="F39" s="174">
        <f>'Summary YTD 05.31.18'!F69</f>
        <v>2033.72</v>
      </c>
      <c r="G39" s="174">
        <f>'Summary YTD 05.31.18'!G69</f>
        <v>0</v>
      </c>
      <c r="H39" s="174">
        <f>'Summary YTD 05.31.18'!H69</f>
        <v>0</v>
      </c>
      <c r="I39" s="174">
        <f>SUM(B39:H39)</f>
        <v>7530.9000000000005</v>
      </c>
      <c r="L39" s="171"/>
    </row>
    <row r="40" spans="1:12" s="169" customFormat="1" ht="30" customHeight="1" x14ac:dyDescent="0.3">
      <c r="A40" s="169" t="s">
        <v>286</v>
      </c>
      <c r="B40" s="174">
        <f>'Summary YTD 05.31.18'!B70</f>
        <v>55704.789999999994</v>
      </c>
      <c r="C40" s="174">
        <f>'Summary YTD 05.31.18'!C70</f>
        <v>3512.39</v>
      </c>
      <c r="D40" s="174">
        <f>'Summary YTD 05.31.18'!D70</f>
        <v>3628.9700000000003</v>
      </c>
      <c r="E40" s="174">
        <f>'Summary YTD 05.31.18'!E70</f>
        <v>1091.81</v>
      </c>
      <c r="F40" s="174">
        <f>'Summary YTD 05.31.18'!F70</f>
        <v>1883.05</v>
      </c>
      <c r="G40" s="174">
        <f>'Summary YTD 05.31.18'!G70</f>
        <v>0</v>
      </c>
      <c r="H40" s="174">
        <f>'Summary YTD 05.31.18'!H70</f>
        <v>402.15</v>
      </c>
      <c r="I40" s="174">
        <f t="shared" ref="I40:I50" si="8">SUM(B40:H40)</f>
        <v>66223.159999999989</v>
      </c>
      <c r="L40" s="171"/>
    </row>
    <row r="41" spans="1:12" s="169" customFormat="1" ht="30" customHeight="1" x14ac:dyDescent="0.3">
      <c r="A41" s="169" t="s">
        <v>401</v>
      </c>
      <c r="B41" s="174">
        <f>'Summary YTD 05.31.18'!B71</f>
        <v>0</v>
      </c>
      <c r="C41" s="174">
        <f>'Summary YTD 05.31.18'!C71</f>
        <v>0</v>
      </c>
      <c r="D41" s="174">
        <f>'Summary YTD 05.31.18'!D71</f>
        <v>0</v>
      </c>
      <c r="E41" s="174">
        <f>'Summary YTD 05.31.18'!E71</f>
        <v>0</v>
      </c>
      <c r="F41" s="174">
        <f>'Summary YTD 05.31.18'!F71</f>
        <v>2445.9100000000003</v>
      </c>
      <c r="G41" s="174">
        <f>'Summary YTD 05.31.18'!G71</f>
        <v>0</v>
      </c>
      <c r="H41" s="174">
        <f>'Summary YTD 05.31.18'!H71</f>
        <v>0</v>
      </c>
      <c r="I41" s="174">
        <f t="shared" si="8"/>
        <v>2445.9100000000003</v>
      </c>
      <c r="L41" s="171"/>
    </row>
    <row r="42" spans="1:12" s="169" customFormat="1" ht="30" customHeight="1" x14ac:dyDescent="0.3">
      <c r="A42" s="169" t="s">
        <v>287</v>
      </c>
      <c r="B42" s="174">
        <f>'Summary YTD 05.31.18'!B72+'Summary YTD 05.31.18'!B82</f>
        <v>3578.83</v>
      </c>
      <c r="C42" s="174">
        <f>'Summary YTD 05.31.18'!C72</f>
        <v>0</v>
      </c>
      <c r="D42" s="174">
        <f>'Summary YTD 05.31.18'!D72</f>
        <v>0</v>
      </c>
      <c r="E42" s="174">
        <f>'Summary YTD 05.31.18'!E72</f>
        <v>109</v>
      </c>
      <c r="F42" s="174">
        <f>'Summary YTD 05.31.18'!F72</f>
        <v>975.56000000000006</v>
      </c>
      <c r="G42" s="174">
        <f>'Summary YTD 05.31.18'!G72</f>
        <v>0</v>
      </c>
      <c r="H42" s="174">
        <f>'Summary YTD 05.31.18'!H72</f>
        <v>0</v>
      </c>
      <c r="I42" s="174">
        <f t="shared" si="8"/>
        <v>4663.3900000000003</v>
      </c>
      <c r="L42" s="171"/>
    </row>
    <row r="43" spans="1:12" s="169" customFormat="1" ht="30" customHeight="1" x14ac:dyDescent="0.3">
      <c r="A43" s="169" t="s">
        <v>466</v>
      </c>
      <c r="B43" s="174">
        <f>'Summary YTD 05.31.18'!B73+'Summary YTD 05.31.18'!B74+'Summary YTD 05.31.18'!B75+'Summary YTD 05.31.18'!B76+'Summary YTD 05.31.18'!B77</f>
        <v>208632.4</v>
      </c>
      <c r="C43" s="174">
        <f>'Summary YTD 05.31.18'!C73+'Summary YTD 05.31.18'!C74+'Summary YTD 05.31.18'!C75+'Summary YTD 05.31.18'!C76+'Summary YTD 05.31.18'!C77</f>
        <v>33750</v>
      </c>
      <c r="D43" s="174">
        <f>'Summary YTD 05.31.18'!D73+'Summary YTD 05.31.18'!D74+'Summary YTD 05.31.18'!D75+'Summary YTD 05.31.18'!D76+'Summary YTD 05.31.18'!D77</f>
        <v>40208.339999999997</v>
      </c>
      <c r="E43" s="174">
        <f>'Summary YTD 05.31.18'!E73+'Summary YTD 05.31.18'!E74+'Summary YTD 05.31.18'!E75+'Summary YTD 05.31.18'!E76+'Summary YTD 05.31.18'!E77</f>
        <v>1250</v>
      </c>
      <c r="F43" s="174">
        <f>'Summary YTD 05.31.18'!F73+'Summary YTD 05.31.18'!F74+'Summary YTD 05.31.18'!F75+'Summary YTD 05.31.18'!F76+'Summary YTD 05.31.18'!F77</f>
        <v>10250</v>
      </c>
      <c r="G43" s="174">
        <f>'Summary YTD 05.31.18'!G73+'Summary YTD 05.31.18'!G74+'Summary YTD 05.31.18'!G75+'Summary YTD 05.31.18'!G76+'Summary YTD 05.31.18'!G77</f>
        <v>1325</v>
      </c>
      <c r="H43" s="174">
        <f>'Summary YTD 05.31.18'!H73+'Summary YTD 05.31.18'!H74+'Summary YTD 05.31.18'!H75+'Summary YTD 05.31.18'!H76+'Summary YTD 05.31.18'!H77</f>
        <v>0</v>
      </c>
      <c r="I43" s="174">
        <f t="shared" si="8"/>
        <v>295415.74</v>
      </c>
      <c r="L43" s="171"/>
    </row>
    <row r="44" spans="1:12" s="169" customFormat="1" ht="30" customHeight="1" x14ac:dyDescent="0.3">
      <c r="A44" s="169" t="s">
        <v>289</v>
      </c>
      <c r="B44" s="174">
        <f>'Summary YTD 05.31.18'!B78</f>
        <v>8077.76</v>
      </c>
      <c r="C44" s="174">
        <f>'Summary YTD 05.31.18'!C78</f>
        <v>0</v>
      </c>
      <c r="D44" s="174">
        <f>'Summary YTD 05.31.18'!D78</f>
        <v>1250</v>
      </c>
      <c r="E44" s="174">
        <f>'Summary YTD 05.31.18'!E78</f>
        <v>0</v>
      </c>
      <c r="F44" s="174">
        <f>'Summary YTD 05.31.18'!F78</f>
        <v>796.8599999999999</v>
      </c>
      <c r="G44" s="174">
        <f>'Summary YTD 05.31.18'!G78</f>
        <v>0</v>
      </c>
      <c r="H44" s="174">
        <f>'Summary YTD 05.31.18'!H78</f>
        <v>0</v>
      </c>
      <c r="I44" s="174">
        <f t="shared" si="8"/>
        <v>10124.620000000001</v>
      </c>
      <c r="L44" s="171"/>
    </row>
    <row r="45" spans="1:12" s="169" customFormat="1" ht="30" customHeight="1" x14ac:dyDescent="0.3">
      <c r="A45" s="169" t="s">
        <v>290</v>
      </c>
      <c r="B45" s="174">
        <f>'Summary YTD 05.31.18'!B79</f>
        <v>18458.87</v>
      </c>
      <c r="C45" s="174">
        <f>'Summary YTD 05.31.18'!C79</f>
        <v>587.5</v>
      </c>
      <c r="D45" s="174">
        <f>'Summary YTD 05.31.18'!D79</f>
        <v>577.5</v>
      </c>
      <c r="E45" s="174">
        <f>'Summary YTD 05.31.18'!E79</f>
        <v>0</v>
      </c>
      <c r="F45" s="174">
        <f>'Summary YTD 05.31.18'!F79</f>
        <v>0</v>
      </c>
      <c r="G45" s="174">
        <f>'Summary YTD 05.31.18'!G79</f>
        <v>0</v>
      </c>
      <c r="H45" s="174">
        <f>'Summary YTD 05.31.18'!H79</f>
        <v>0</v>
      </c>
      <c r="I45" s="174">
        <f t="shared" si="8"/>
        <v>19623.87</v>
      </c>
      <c r="L45" s="171"/>
    </row>
    <row r="46" spans="1:12" s="169" customFormat="1" ht="30" customHeight="1" x14ac:dyDescent="0.3">
      <c r="A46" s="169" t="s">
        <v>291</v>
      </c>
      <c r="B46" s="174">
        <f>'Summary YTD 05.31.18'!B80</f>
        <v>13431.93</v>
      </c>
      <c r="C46" s="174">
        <f>'Summary YTD 05.31.18'!C80</f>
        <v>0</v>
      </c>
      <c r="D46" s="174">
        <f>'Summary YTD 05.31.18'!D80</f>
        <v>0</v>
      </c>
      <c r="E46" s="174">
        <f>'Summary YTD 05.31.18'!E80</f>
        <v>0</v>
      </c>
      <c r="F46" s="174">
        <f>'Summary YTD 05.31.18'!F80</f>
        <v>0</v>
      </c>
      <c r="G46" s="174">
        <f>'Summary YTD 05.31.18'!G80</f>
        <v>0</v>
      </c>
      <c r="H46" s="174">
        <f>'Summary YTD 05.31.18'!H80</f>
        <v>0</v>
      </c>
      <c r="I46" s="174">
        <f t="shared" si="8"/>
        <v>13431.93</v>
      </c>
      <c r="L46" s="171"/>
    </row>
    <row r="47" spans="1:12" s="169" customFormat="1" ht="30" customHeight="1" x14ac:dyDescent="0.3">
      <c r="A47" s="169" t="s">
        <v>331</v>
      </c>
      <c r="B47" s="174">
        <f>'Summary YTD 05.31.18'!B81</f>
        <v>0</v>
      </c>
      <c r="C47" s="174">
        <f>'Summary YTD 05.31.18'!C81</f>
        <v>0</v>
      </c>
      <c r="D47" s="174">
        <f>'Summary YTD 05.31.18'!D81</f>
        <v>300</v>
      </c>
      <c r="E47" s="174">
        <f>'Summary YTD 05.31.18'!E81</f>
        <v>0</v>
      </c>
      <c r="F47" s="174">
        <f>'Summary YTD 05.31.18'!F81</f>
        <v>1600</v>
      </c>
      <c r="G47" s="174">
        <f>'Summary YTD 05.31.18'!G81</f>
        <v>0</v>
      </c>
      <c r="H47" s="174">
        <f>'Summary YTD 05.31.18'!H81</f>
        <v>0</v>
      </c>
      <c r="I47" s="174">
        <f t="shared" si="8"/>
        <v>1900</v>
      </c>
      <c r="L47" s="171"/>
    </row>
    <row r="48" spans="1:12" s="169" customFormat="1" ht="30" customHeight="1" x14ac:dyDescent="0.3">
      <c r="A48" s="169" t="s">
        <v>416</v>
      </c>
      <c r="B48" s="174">
        <v>0</v>
      </c>
      <c r="C48" s="174">
        <v>0</v>
      </c>
      <c r="D48" s="174">
        <v>0</v>
      </c>
      <c r="E48" s="174">
        <v>0</v>
      </c>
      <c r="F48" s="174">
        <f>'BSC (Dome)'!G64</f>
        <v>10329.9</v>
      </c>
      <c r="G48" s="174">
        <v>0</v>
      </c>
      <c r="H48" s="174">
        <f>'BSC (Dome)'!H64</f>
        <v>0</v>
      </c>
      <c r="I48" s="174">
        <f t="shared" si="8"/>
        <v>10329.9</v>
      </c>
      <c r="L48" s="171"/>
    </row>
    <row r="49" spans="1:12" s="169" customFormat="1" ht="30" customHeight="1" x14ac:dyDescent="0.3">
      <c r="A49" s="169" t="s">
        <v>459</v>
      </c>
      <c r="B49" s="174">
        <f>'Summary YTD 05.31.18'!B83+'Summary YTD 05.31.18'!B84</f>
        <v>28932.2</v>
      </c>
      <c r="C49" s="174">
        <f>'Summary YTD 05.31.18'!C83+'Summary YTD 05.31.18'!C84</f>
        <v>0</v>
      </c>
      <c r="D49" s="174">
        <f>'Summary YTD 05.31.18'!D83+'Summary YTD 05.31.18'!D84</f>
        <v>0</v>
      </c>
      <c r="E49" s="174">
        <f>'Summary YTD 05.31.18'!E83+'Summary YTD 05.31.18'!E84</f>
        <v>0</v>
      </c>
      <c r="F49" s="174">
        <f>'Summary YTD 05.31.18'!F83+'Summary YTD 05.31.18'!F84</f>
        <v>0</v>
      </c>
      <c r="G49" s="174">
        <f>'Summary YTD 05.31.18'!G83+'Summary YTD 05.31.18'!G84</f>
        <v>0</v>
      </c>
      <c r="H49" s="174">
        <f>'Summary YTD 05.31.18'!H83+'Summary YTD 05.31.18'!H84</f>
        <v>0</v>
      </c>
      <c r="I49" s="174">
        <f t="shared" si="8"/>
        <v>28932.2</v>
      </c>
      <c r="L49" s="171"/>
    </row>
    <row r="50" spans="1:12" s="169" customFormat="1" ht="30" customHeight="1" x14ac:dyDescent="0.3">
      <c r="A50" s="169" t="s">
        <v>468</v>
      </c>
      <c r="B50" s="174">
        <f>'Summary YTD 05.31.18'!B85+'Summary YTD 05.31.18'!B86</f>
        <v>11540.59</v>
      </c>
      <c r="C50" s="174">
        <f>'Summary YTD 05.31.18'!C85+'Summary YTD 05.31.18'!C86</f>
        <v>0</v>
      </c>
      <c r="D50" s="174">
        <f>'Summary YTD 05.31.18'!D85+'Summary YTD 05.31.18'!D86</f>
        <v>0</v>
      </c>
      <c r="E50" s="174">
        <f>'Summary YTD 05.31.18'!E85+'Summary YTD 05.31.18'!E86</f>
        <v>0</v>
      </c>
      <c r="F50" s="174">
        <f>'Summary YTD 05.31.18'!F85+'Summary YTD 05.31.18'!F86</f>
        <v>0</v>
      </c>
      <c r="G50" s="174">
        <f>'Summary YTD 05.31.18'!G85+'Summary YTD 05.31.18'!G86</f>
        <v>0</v>
      </c>
      <c r="H50" s="174">
        <f>'Summary YTD 05.31.18'!H85+'Summary YTD 05.31.18'!H86</f>
        <v>0</v>
      </c>
      <c r="I50" s="174">
        <f t="shared" si="8"/>
        <v>11540.59</v>
      </c>
      <c r="L50" s="171"/>
    </row>
    <row r="51" spans="1:12" s="169" customFormat="1" ht="30" customHeight="1" x14ac:dyDescent="0.3">
      <c r="A51" s="172" t="s">
        <v>297</v>
      </c>
      <c r="B51" s="175">
        <f t="shared" ref="B51:H51" si="9">SUM(B39:B50)</f>
        <v>353006.2</v>
      </c>
      <c r="C51" s="175">
        <f t="shared" si="9"/>
        <v>37849.89</v>
      </c>
      <c r="D51" s="175">
        <f t="shared" si="9"/>
        <v>46813.159999999996</v>
      </c>
      <c r="E51" s="175">
        <f t="shared" si="9"/>
        <v>2450.81</v>
      </c>
      <c r="F51" s="175">
        <f t="shared" si="9"/>
        <v>30315</v>
      </c>
      <c r="G51" s="175">
        <f t="shared" si="9"/>
        <v>1325</v>
      </c>
      <c r="H51" s="175">
        <f t="shared" si="9"/>
        <v>402.15</v>
      </c>
      <c r="I51" s="175">
        <f>SUM(B51:H51)</f>
        <v>472162.21</v>
      </c>
      <c r="L51" s="171"/>
    </row>
    <row r="52" spans="1:12" s="169" customFormat="1" ht="30" customHeight="1" x14ac:dyDescent="0.3">
      <c r="B52" s="174"/>
      <c r="C52" s="174"/>
      <c r="D52" s="174"/>
      <c r="E52" s="174"/>
      <c r="F52" s="174"/>
      <c r="G52" s="174"/>
      <c r="H52" s="174"/>
      <c r="I52" s="174">
        <f>SUM(B52:F52)</f>
        <v>0</v>
      </c>
      <c r="L52" s="171"/>
    </row>
    <row r="53" spans="1:12" s="169" customFormat="1" ht="30" customHeight="1" thickBot="1" x14ac:dyDescent="0.35">
      <c r="A53" s="172" t="s">
        <v>298</v>
      </c>
      <c r="B53" s="176">
        <f t="shared" ref="B53:H53" si="10">B19+B36+B51</f>
        <v>3295673.0700000003</v>
      </c>
      <c r="C53" s="176">
        <f t="shared" si="10"/>
        <v>43394.58</v>
      </c>
      <c r="D53" s="176">
        <f t="shared" si="10"/>
        <v>579422.88</v>
      </c>
      <c r="E53" s="176">
        <f t="shared" si="10"/>
        <v>2450.81</v>
      </c>
      <c r="F53" s="176">
        <f t="shared" si="10"/>
        <v>377633.56</v>
      </c>
      <c r="G53" s="176">
        <f t="shared" ref="G53" si="11">G19+G36+G51</f>
        <v>48101.350000000006</v>
      </c>
      <c r="H53" s="176">
        <f t="shared" si="10"/>
        <v>74416.709999999992</v>
      </c>
      <c r="I53" s="176">
        <f>SUM(B53:H53)</f>
        <v>4421092.96</v>
      </c>
      <c r="L53" s="171"/>
    </row>
    <row r="54" spans="1:12" s="169" customFormat="1" ht="30" customHeight="1" x14ac:dyDescent="0.3">
      <c r="B54" s="174"/>
      <c r="C54" s="174"/>
      <c r="D54" s="174"/>
      <c r="E54" s="174"/>
      <c r="F54" s="174"/>
      <c r="G54" s="174"/>
      <c r="H54" s="174"/>
      <c r="I54" s="174"/>
      <c r="L54" s="171"/>
    </row>
    <row r="55" spans="1:12" s="169" customFormat="1" ht="30" customHeight="1" x14ac:dyDescent="0.3">
      <c r="A55" s="172" t="s">
        <v>469</v>
      </c>
      <c r="B55" s="174"/>
      <c r="C55" s="174"/>
      <c r="D55" s="174"/>
      <c r="E55" s="174"/>
      <c r="F55" s="174"/>
      <c r="G55" s="174"/>
      <c r="H55" s="174"/>
      <c r="I55" s="174"/>
      <c r="L55" s="171"/>
    </row>
    <row r="56" spans="1:12" s="169" customFormat="1" ht="30" customHeight="1" x14ac:dyDescent="0.3">
      <c r="A56" s="169" t="s">
        <v>301</v>
      </c>
      <c r="B56" s="174">
        <f>'Summary YTD 05.31.18'!B92</f>
        <v>62500</v>
      </c>
      <c r="C56" s="174">
        <v>0</v>
      </c>
      <c r="D56" s="174">
        <f>DEP!G67</f>
        <v>62500</v>
      </c>
      <c r="E56" s="174">
        <v>0</v>
      </c>
      <c r="F56" s="174">
        <f>'BSC (Dome)'!G75+'BSC (Dome)'!G76</f>
        <v>29000</v>
      </c>
      <c r="G56" s="174">
        <f>'Summary YTD 05.31.18'!G92</f>
        <v>88500</v>
      </c>
      <c r="H56" s="174">
        <v>0</v>
      </c>
      <c r="I56" s="174">
        <f>SUM(B56:H56)</f>
        <v>242500</v>
      </c>
      <c r="L56" s="171"/>
    </row>
    <row r="57" spans="1:12" s="169" customFormat="1" ht="30" customHeight="1" x14ac:dyDescent="0.3">
      <c r="A57" s="169" t="s">
        <v>306</v>
      </c>
      <c r="B57" s="174">
        <f>'Summary YTD 05.31.18'!B93+'Summary YTD 05.31.18'!B95+'Summary YTD 05.31.18'!B96+'Summary YTD 05.31.18'!B99+'Summary YTD 05.31.18'!B100+'Summary YTD 05.31.18'!B101</f>
        <v>279767.21000000002</v>
      </c>
      <c r="C57" s="174">
        <v>0</v>
      </c>
      <c r="D57" s="174">
        <f>'Summary YTD 05.31.18'!D93+'Summary YTD 05.31.18'!D95+'Summary YTD 05.31.18'!D96+'Summary YTD 05.31.18'!D99+'Summary YTD 05.31.18'!D100+'Summary YTD 05.31.18'!D101</f>
        <v>0</v>
      </c>
      <c r="E57" s="174">
        <f>'Summary YTD 05.31.18'!E93+'Summary YTD 05.31.18'!E95+'Summary YTD 05.31.18'!E96+'Summary YTD 05.31.18'!E99+'Summary YTD 05.31.18'!E100+'Summary YTD 05.31.18'!E101</f>
        <v>0</v>
      </c>
      <c r="F57" s="174">
        <f>'Summary YTD 05.31.18'!F93+'Summary YTD 05.31.18'!F95+'Summary YTD 05.31.18'!F96+'Summary YTD 05.31.18'!F99+'Summary YTD 05.31.18'!F100+'Summary YTD 05.31.18'!F101</f>
        <v>1833.08</v>
      </c>
      <c r="G57" s="174">
        <f>'Summary YTD 05.31.18'!G99</f>
        <v>1.01</v>
      </c>
      <c r="H57" s="174">
        <v>0</v>
      </c>
      <c r="I57" s="174">
        <f t="shared" ref="I57:I60" si="12">SUM(B57:H57)</f>
        <v>281601.30000000005</v>
      </c>
      <c r="L57" s="171"/>
    </row>
    <row r="58" spans="1:12" s="169" customFormat="1" ht="30" customHeight="1" x14ac:dyDescent="0.3">
      <c r="A58" s="169" t="s">
        <v>304</v>
      </c>
      <c r="B58" s="174">
        <f>'Summary YTD 05.31.18'!B97</f>
        <v>118539.97</v>
      </c>
      <c r="C58" s="174">
        <f>'Summary YTD 05.31.18'!C97</f>
        <v>5253.0599999999995</v>
      </c>
      <c r="D58" s="174">
        <f>'Summary YTD 05.31.18'!D97</f>
        <v>12791.05</v>
      </c>
      <c r="E58" s="174">
        <f>'Summary YTD 05.31.18'!E97</f>
        <v>15650.05</v>
      </c>
      <c r="F58" s="174">
        <f>'Summary YTD 05.31.18'!F97</f>
        <v>0</v>
      </c>
      <c r="G58" s="174">
        <f>'Summary YTD 05.31.18'!G97</f>
        <v>18277.920000000002</v>
      </c>
      <c r="H58" s="174">
        <v>0</v>
      </c>
      <c r="I58" s="174">
        <f t="shared" si="12"/>
        <v>170512.05</v>
      </c>
      <c r="L58" s="171"/>
    </row>
    <row r="59" spans="1:12" s="169" customFormat="1" ht="30" customHeight="1" x14ac:dyDescent="0.3">
      <c r="A59" s="169" t="s">
        <v>305</v>
      </c>
      <c r="B59" s="174">
        <f>'Summary YTD 05.31.18'!B98</f>
        <v>-76457.739999999991</v>
      </c>
      <c r="C59" s="174">
        <f>'Summary YTD 05.31.18'!C98</f>
        <v>0</v>
      </c>
      <c r="D59" s="174">
        <f>'Summary YTD 05.31.18'!D98</f>
        <v>0</v>
      </c>
      <c r="E59" s="174">
        <f>'Summary YTD 05.31.18'!E98</f>
        <v>-2772.08</v>
      </c>
      <c r="F59" s="174">
        <f>'Summary YTD 05.31.18'!F98</f>
        <v>-48571.47</v>
      </c>
      <c r="G59" s="174">
        <f>'Summary YTD 05.31.18'!G98</f>
        <v>-4304.6499999999996</v>
      </c>
      <c r="H59" s="174">
        <v>0</v>
      </c>
      <c r="I59" s="174">
        <f t="shared" si="12"/>
        <v>-132105.94</v>
      </c>
      <c r="L59" s="171"/>
    </row>
    <row r="60" spans="1:12" s="169" customFormat="1" ht="30" customHeight="1" x14ac:dyDescent="0.3">
      <c r="A60" s="169" t="s">
        <v>460</v>
      </c>
      <c r="B60" s="174">
        <f>'Summary YTD 05.31.18'!B94</f>
        <v>0</v>
      </c>
      <c r="C60" s="174">
        <f>'Summary YTD 05.31.18'!C94+'Summary YTD 05.31.18'!C95</f>
        <v>-203901.13</v>
      </c>
      <c r="D60" s="174">
        <f>'Summary YTD 05.31.18'!D94</f>
        <v>0</v>
      </c>
      <c r="E60" s="174">
        <f>'Summary YTD 05.31.18'!E94</f>
        <v>0</v>
      </c>
      <c r="F60" s="174">
        <f>'Summary YTD 05.31.18'!F94</f>
        <v>0</v>
      </c>
      <c r="G60" s="174">
        <f>'Summary YTD 05.31.18'!G94</f>
        <v>0</v>
      </c>
      <c r="H60" s="174">
        <v>0</v>
      </c>
      <c r="I60" s="174">
        <f t="shared" si="12"/>
        <v>-203901.13</v>
      </c>
      <c r="L60" s="171"/>
    </row>
    <row r="61" spans="1:12" s="169" customFormat="1" ht="30" customHeight="1" x14ac:dyDescent="0.3">
      <c r="A61" s="172" t="s">
        <v>470</v>
      </c>
      <c r="B61" s="175">
        <f t="shared" ref="B61:H61" si="13">SUM(B56:B60)</f>
        <v>384349.44000000006</v>
      </c>
      <c r="C61" s="175">
        <f t="shared" si="13"/>
        <v>-198648.07</v>
      </c>
      <c r="D61" s="175">
        <f t="shared" si="13"/>
        <v>75291.05</v>
      </c>
      <c r="E61" s="175">
        <f t="shared" si="13"/>
        <v>12877.97</v>
      </c>
      <c r="F61" s="175">
        <f t="shared" si="13"/>
        <v>-17738.39</v>
      </c>
      <c r="G61" s="175">
        <f t="shared" si="13"/>
        <v>102474.28</v>
      </c>
      <c r="H61" s="175">
        <f t="shared" si="13"/>
        <v>0</v>
      </c>
      <c r="I61" s="175">
        <f>SUM(B61:H61)</f>
        <v>358606.28</v>
      </c>
      <c r="L61" s="171"/>
    </row>
    <row r="62" spans="1:12" s="169" customFormat="1" ht="30" customHeight="1" x14ac:dyDescent="0.3">
      <c r="A62" s="172"/>
      <c r="B62" s="174"/>
      <c r="C62" s="174"/>
      <c r="D62" s="174"/>
      <c r="E62" s="174"/>
      <c r="F62" s="174"/>
      <c r="G62" s="174"/>
      <c r="H62" s="174"/>
      <c r="I62" s="174">
        <f>SUM(B62:F62)</f>
        <v>0</v>
      </c>
      <c r="L62" s="171"/>
    </row>
    <row r="63" spans="1:12" s="169" customFormat="1" ht="30" customHeight="1" thickBot="1" x14ac:dyDescent="0.35">
      <c r="A63" s="172" t="s">
        <v>300</v>
      </c>
      <c r="B63" s="177">
        <f t="shared" ref="B63:H63" si="14">B11-B53+B61</f>
        <v>44839.909999484778</v>
      </c>
      <c r="C63" s="177">
        <f t="shared" si="14"/>
        <v>169575.52999999595</v>
      </c>
      <c r="D63" s="177">
        <f t="shared" si="14"/>
        <v>300509.56000000011</v>
      </c>
      <c r="E63" s="177">
        <f t="shared" si="14"/>
        <v>10427.16</v>
      </c>
      <c r="F63" s="177">
        <f t="shared" si="14"/>
        <v>109237.01000000002</v>
      </c>
      <c r="G63" s="177">
        <f t="shared" ref="G63" si="15">G11-G53+G61</f>
        <v>54372.929999999993</v>
      </c>
      <c r="H63" s="177">
        <f t="shared" si="14"/>
        <v>-74416.709999999992</v>
      </c>
      <c r="I63" s="177">
        <f>SUM(B63:H63)</f>
        <v>614545.38999948092</v>
      </c>
      <c r="L63" s="171"/>
    </row>
    <row r="64" spans="1:12" ht="15.75" thickTop="1" x14ac:dyDescent="0.25">
      <c r="B64" s="132"/>
      <c r="C64" s="132"/>
      <c r="D64" s="132"/>
      <c r="E64" s="132"/>
      <c r="F64" s="132"/>
      <c r="G64" s="132"/>
      <c r="H64" s="132"/>
      <c r="I64" s="132"/>
    </row>
    <row r="66" spans="1:12" x14ac:dyDescent="0.25">
      <c r="A66" t="s">
        <v>368</v>
      </c>
      <c r="B66" s="130">
        <v>44839.91</v>
      </c>
      <c r="C66" s="130">
        <v>169575.53</v>
      </c>
      <c r="D66" s="130">
        <v>300509.56</v>
      </c>
      <c r="E66" s="130">
        <v>10427.16</v>
      </c>
      <c r="F66" s="130">
        <v>109237.01</v>
      </c>
      <c r="G66" s="130">
        <v>54372.93</v>
      </c>
      <c r="H66" s="130">
        <f>'Summary YTD 05.31.18'!H107</f>
        <v>-74416.710000000006</v>
      </c>
      <c r="I66" s="132">
        <f>SUM(B66:H66)</f>
        <v>614545.39000000013</v>
      </c>
    </row>
    <row r="67" spans="1:12" x14ac:dyDescent="0.25">
      <c r="B67" s="130">
        <f>B63-B66</f>
        <v>-5.1522511057555676E-7</v>
      </c>
      <c r="C67" s="130">
        <f t="shared" ref="C67:D67" si="16">C63-C66</f>
        <v>-4.0454324334859848E-9</v>
      </c>
      <c r="D67" s="130">
        <f t="shared" si="16"/>
        <v>0</v>
      </c>
      <c r="E67" s="130">
        <f>E63-E66</f>
        <v>0</v>
      </c>
      <c r="F67" s="130">
        <f>F63-F66</f>
        <v>0</v>
      </c>
      <c r="G67" s="130">
        <f>G63-G66</f>
        <v>0</v>
      </c>
      <c r="H67" s="130">
        <f>H63-H66</f>
        <v>0</v>
      </c>
      <c r="I67" s="130">
        <f>I63-I66</f>
        <v>-5.1921233534812927E-7</v>
      </c>
    </row>
    <row r="68" spans="1:12" x14ac:dyDescent="0.25">
      <c r="B68" s="130"/>
      <c r="C68" s="130"/>
      <c r="D68" s="130"/>
      <c r="E68" s="130"/>
      <c r="I68" s="132"/>
    </row>
    <row r="69" spans="1:12" x14ac:dyDescent="0.25">
      <c r="B69" s="130"/>
      <c r="C69" s="130"/>
      <c r="D69" s="130"/>
      <c r="E69" s="130"/>
    </row>
    <row r="70" spans="1:12" x14ac:dyDescent="0.25">
      <c r="B70" s="130"/>
      <c r="C70" s="130"/>
      <c r="D70" s="130"/>
      <c r="E70" s="130"/>
    </row>
    <row r="71" spans="1:12" x14ac:dyDescent="0.25">
      <c r="B71" s="130"/>
      <c r="C71" s="130"/>
      <c r="D71" s="130"/>
      <c r="E71" s="130"/>
    </row>
    <row r="72" spans="1:12" s="128" customFormat="1" x14ac:dyDescent="0.25">
      <c r="A72"/>
      <c r="B72" s="130"/>
      <c r="C72" s="130"/>
      <c r="D72" s="130"/>
      <c r="E72" s="130"/>
      <c r="J72"/>
      <c r="K72"/>
      <c r="L72" s="91"/>
    </row>
    <row r="73" spans="1:12" s="128" customFormat="1" x14ac:dyDescent="0.25">
      <c r="A73"/>
      <c r="B73" s="130"/>
      <c r="C73" s="130"/>
      <c r="D73" s="130"/>
      <c r="E73" s="130"/>
      <c r="J73"/>
      <c r="K73"/>
      <c r="L73" s="9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orientation="portrait" r:id="rId1"/>
  <headerFooter>
    <oddFooter>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2711-355A-48AA-AA67-D407A5D3DFC6}">
  <sheetPr>
    <tabColor theme="9" tint="0.79998168889431442"/>
  </sheetPr>
  <dimension ref="A1:H30"/>
  <sheetViews>
    <sheetView zoomScaleNormal="100" workbookViewId="0">
      <pane ySplit="6" topLeftCell="A7" activePane="bottomLeft" state="frozen"/>
      <selection pane="bottomLeft" activeCell="D35" sqref="D35"/>
    </sheetView>
  </sheetViews>
  <sheetFormatPr defaultRowHeight="15" x14ac:dyDescent="0.25"/>
  <cols>
    <col min="1" max="1" width="44.42578125" bestFit="1" customWidth="1"/>
    <col min="2" max="3" width="13" style="91" bestFit="1" customWidth="1"/>
    <col min="4" max="4" width="13.42578125" style="91" bestFit="1" customWidth="1"/>
    <col min="5" max="6" width="13" style="91" bestFit="1" customWidth="1"/>
    <col min="7" max="7" width="13.42578125" style="91" bestFit="1" customWidth="1"/>
    <col min="8" max="8" width="9.140625" style="91"/>
    <col min="9" max="9" width="9.5703125" bestFit="1" customWidth="1"/>
    <col min="11" max="11" width="11.5703125" bestFit="1" customWidth="1"/>
  </cols>
  <sheetData>
    <row r="1" spans="1:7" x14ac:dyDescent="0.25">
      <c r="A1" s="214" t="s">
        <v>462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8" spans="1:7" s="91" customFormat="1" x14ac:dyDescent="0.25">
      <c r="A8" s="66" t="s">
        <v>240</v>
      </c>
    </row>
    <row r="9" spans="1:7" s="91" customFormat="1" x14ac:dyDescent="0.25">
      <c r="A9" s="66" t="s">
        <v>325</v>
      </c>
    </row>
    <row r="10" spans="1:7" s="91" customFormat="1" x14ac:dyDescent="0.25">
      <c r="A10" t="s">
        <v>394</v>
      </c>
      <c r="E10" s="91">
        <v>520</v>
      </c>
      <c r="G10" s="91">
        <f>SUM(B10:F10)</f>
        <v>520</v>
      </c>
    </row>
    <row r="11" spans="1:7" s="91" customFormat="1" x14ac:dyDescent="0.25">
      <c r="A11" t="s">
        <v>329</v>
      </c>
      <c r="B11" s="91">
        <v>14678.56</v>
      </c>
      <c r="C11" s="91">
        <v>14704</v>
      </c>
      <c r="D11" s="91">
        <v>14704</v>
      </c>
      <c r="E11" s="91">
        <v>14704</v>
      </c>
      <c r="F11" s="91">
        <v>14704</v>
      </c>
      <c r="G11" s="91">
        <f>SUM(B11:F11)</f>
        <v>73494.559999999998</v>
      </c>
    </row>
    <row r="12" spans="1:7" s="91" customFormat="1" x14ac:dyDescent="0.25">
      <c r="A12" s="66" t="s">
        <v>371</v>
      </c>
      <c r="B12" s="123">
        <f t="shared" ref="B12:G12" si="0">SUM(B10:B11)</f>
        <v>14678.56</v>
      </c>
      <c r="C12" s="123">
        <f t="shared" si="0"/>
        <v>14704</v>
      </c>
      <c r="D12" s="123">
        <f t="shared" si="0"/>
        <v>14704</v>
      </c>
      <c r="E12" s="123">
        <f t="shared" si="0"/>
        <v>15224</v>
      </c>
      <c r="F12" s="123">
        <f t="shared" si="0"/>
        <v>14704</v>
      </c>
      <c r="G12" s="123">
        <f t="shared" si="0"/>
        <v>74014.559999999998</v>
      </c>
    </row>
    <row r="14" spans="1:7" s="91" customFormat="1" x14ac:dyDescent="0.25">
      <c r="A14" s="66" t="s">
        <v>330</v>
      </c>
    </row>
    <row r="15" spans="1:7" s="91" customFormat="1" x14ac:dyDescent="0.25">
      <c r="A15" t="s">
        <v>398</v>
      </c>
    </row>
    <row r="16" spans="1:7" s="91" customFormat="1" x14ac:dyDescent="0.25">
      <c r="A16" t="s">
        <v>463</v>
      </c>
      <c r="B16" s="91">
        <v>78.37</v>
      </c>
      <c r="C16" s="91">
        <v>78.38</v>
      </c>
      <c r="D16" s="91">
        <v>84.61</v>
      </c>
      <c r="E16" s="91">
        <v>78.400000000000006</v>
      </c>
      <c r="F16" s="91">
        <v>82.39</v>
      </c>
      <c r="G16" s="91">
        <f>SUM(B16:F16)</f>
        <v>402.15</v>
      </c>
    </row>
    <row r="17" spans="1:8" s="91" customFormat="1" x14ac:dyDescent="0.25">
      <c r="A17" s="66" t="s">
        <v>333</v>
      </c>
      <c r="B17" s="123">
        <f>SUM(B15:B16)</f>
        <v>78.37</v>
      </c>
      <c r="C17" s="123">
        <f t="shared" ref="C17:F17" si="1">SUM(C15:C16)</f>
        <v>78.38</v>
      </c>
      <c r="D17" s="123">
        <f t="shared" si="1"/>
        <v>84.61</v>
      </c>
      <c r="E17" s="123">
        <f t="shared" si="1"/>
        <v>78.400000000000006</v>
      </c>
      <c r="F17" s="123">
        <f t="shared" si="1"/>
        <v>82.39</v>
      </c>
      <c r="G17" s="123">
        <f>SUM(G15:G16)</f>
        <v>402.15</v>
      </c>
    </row>
    <row r="18" spans="1:8" s="91" customFormat="1" x14ac:dyDescent="0.25">
      <c r="A18" t="s">
        <v>279</v>
      </c>
    </row>
    <row r="19" spans="1:8" s="91" customFormat="1" ht="15.75" thickBot="1" x14ac:dyDescent="0.3">
      <c r="A19" s="66" t="s">
        <v>241</v>
      </c>
      <c r="B19" s="124">
        <f t="shared" ref="B19:G19" si="2">B12+B17</f>
        <v>14756.93</v>
      </c>
      <c r="C19" s="124">
        <f t="shared" si="2"/>
        <v>14782.38</v>
      </c>
      <c r="D19" s="124">
        <f t="shared" si="2"/>
        <v>14788.61</v>
      </c>
      <c r="E19" s="124">
        <f t="shared" si="2"/>
        <v>15302.4</v>
      </c>
      <c r="F19" s="124">
        <f t="shared" si="2"/>
        <v>14786.39</v>
      </c>
      <c r="G19" s="124">
        <f t="shared" si="2"/>
        <v>74416.709999999992</v>
      </c>
    </row>
    <row r="21" spans="1:8" s="91" customFormat="1" x14ac:dyDescent="0.25">
      <c r="A21" s="66" t="s">
        <v>334</v>
      </c>
    </row>
    <row r="22" spans="1:8" s="91" customFormat="1" x14ac:dyDescent="0.25">
      <c r="A22" t="s">
        <v>403</v>
      </c>
      <c r="G22" s="91">
        <f>SUM(B22:F22)</f>
        <v>0</v>
      </c>
    </row>
    <row r="23" spans="1:8" s="91" customFormat="1" x14ac:dyDescent="0.25">
      <c r="A23" t="s">
        <v>452</v>
      </c>
      <c r="G23" s="91">
        <f t="shared" ref="G23:G26" si="3">SUM(B23:F23)</f>
        <v>0</v>
      </c>
    </row>
    <row r="24" spans="1:8" s="91" customFormat="1" x14ac:dyDescent="0.25">
      <c r="A24" t="s">
        <v>404</v>
      </c>
      <c r="G24" s="91">
        <f t="shared" si="3"/>
        <v>0</v>
      </c>
    </row>
    <row r="25" spans="1:8" s="91" customFormat="1" x14ac:dyDescent="0.25">
      <c r="A25" t="s">
        <v>304</v>
      </c>
      <c r="G25" s="91">
        <f t="shared" si="3"/>
        <v>0</v>
      </c>
    </row>
    <row r="26" spans="1:8" s="91" customFormat="1" x14ac:dyDescent="0.25">
      <c r="A26" t="s">
        <v>305</v>
      </c>
      <c r="G26" s="190">
        <f t="shared" si="3"/>
        <v>0</v>
      </c>
    </row>
    <row r="27" spans="1:8" s="91" customFormat="1" x14ac:dyDescent="0.25">
      <c r="A27" s="66" t="s">
        <v>336</v>
      </c>
      <c r="B27" s="123">
        <f t="shared" ref="B27:G27" si="4">SUM(B22:B26)</f>
        <v>0</v>
      </c>
      <c r="C27" s="123">
        <f t="shared" si="4"/>
        <v>0</v>
      </c>
      <c r="D27" s="123">
        <f t="shared" si="4"/>
        <v>0</v>
      </c>
      <c r="E27" s="123">
        <f t="shared" si="4"/>
        <v>0</v>
      </c>
      <c r="F27" s="123">
        <f t="shared" si="4"/>
        <v>0</v>
      </c>
      <c r="G27" s="123">
        <f t="shared" si="4"/>
        <v>0</v>
      </c>
    </row>
    <row r="29" spans="1:8" ht="15.75" thickBot="1" x14ac:dyDescent="0.3">
      <c r="A29" s="66" t="s">
        <v>337</v>
      </c>
      <c r="B29" s="125">
        <f>B27-B19</f>
        <v>-14756.93</v>
      </c>
      <c r="C29" s="125">
        <f t="shared" ref="C29:G29" si="5">C27-C19</f>
        <v>-14782.38</v>
      </c>
      <c r="D29" s="125">
        <f t="shared" si="5"/>
        <v>-14788.61</v>
      </c>
      <c r="E29" s="125">
        <f t="shared" si="5"/>
        <v>-15302.4</v>
      </c>
      <c r="F29" s="125">
        <f t="shared" si="5"/>
        <v>-14786.39</v>
      </c>
      <c r="G29" s="125">
        <f t="shared" si="5"/>
        <v>-74416.709999999992</v>
      </c>
      <c r="H29"/>
    </row>
    <row r="30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73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EF28-468D-4192-A4A0-80B488E949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3F96-9B42-48C3-A8DE-AB40B02C6690}">
  <sheetPr>
    <pageSetUpPr fitToPage="1"/>
  </sheetPr>
  <dimension ref="A1:X303"/>
  <sheetViews>
    <sheetView zoomScaleNormal="100" workbookViewId="0">
      <selection activeCell="B308" sqref="B308"/>
    </sheetView>
  </sheetViews>
  <sheetFormatPr defaultColWidth="8.7109375" defaultRowHeight="15" x14ac:dyDescent="0.25"/>
  <cols>
    <col min="1" max="1" width="27.28515625" style="57" customWidth="1"/>
    <col min="2" max="2" width="19" style="58" bestFit="1" customWidth="1"/>
    <col min="3" max="3" width="19.140625" style="58" bestFit="1" customWidth="1"/>
    <col min="4" max="5" width="16.85546875" style="58" bestFit="1" customWidth="1"/>
    <col min="6" max="6" width="14.85546875" style="58" bestFit="1" customWidth="1"/>
    <col min="7" max="7" width="24" style="58" bestFit="1" customWidth="1"/>
    <col min="8" max="15" width="8.7109375" style="57"/>
    <col min="16" max="16" width="19" style="58" bestFit="1" customWidth="1"/>
    <col min="17" max="17" width="19.140625" style="58" bestFit="1" customWidth="1"/>
    <col min="18" max="19" width="16.85546875" style="58" bestFit="1" customWidth="1"/>
    <col min="20" max="20" width="14.85546875" style="58" bestFit="1" customWidth="1"/>
    <col min="21" max="21" width="24" style="58" bestFit="1" customWidth="1"/>
    <col min="22" max="22" width="16.7109375" style="56" customWidth="1"/>
    <col min="23" max="23" width="16" style="57" bestFit="1" customWidth="1"/>
    <col min="24" max="24" width="14.28515625" style="57" bestFit="1" customWidth="1"/>
    <col min="25" max="16384" width="8.7109375" style="57"/>
  </cols>
  <sheetData>
    <row r="1" spans="1:23" x14ac:dyDescent="0.25">
      <c r="A1" s="116" t="s">
        <v>210</v>
      </c>
      <c r="D1" s="57"/>
      <c r="E1" s="57"/>
      <c r="F1" s="57"/>
      <c r="G1" s="57"/>
      <c r="P1" s="57"/>
      <c r="Q1" s="57"/>
      <c r="R1" s="57"/>
      <c r="S1" s="57"/>
      <c r="T1" s="57"/>
      <c r="U1" s="57"/>
    </row>
    <row r="2" spans="1:23" x14ac:dyDescent="0.25">
      <c r="A2" s="117" t="s">
        <v>211</v>
      </c>
      <c r="D2" s="57"/>
      <c r="E2" s="57"/>
      <c r="F2" s="57"/>
      <c r="G2" s="57"/>
      <c r="P2" s="57"/>
      <c r="Q2" s="57"/>
      <c r="R2" s="57"/>
      <c r="S2" s="57"/>
      <c r="T2" s="57"/>
      <c r="U2" s="57"/>
    </row>
    <row r="3" spans="1:23" x14ac:dyDescent="0.25">
      <c r="A3" s="118">
        <v>43131</v>
      </c>
      <c r="D3" s="57"/>
      <c r="E3" s="57"/>
      <c r="F3" s="57"/>
      <c r="G3" s="57"/>
      <c r="P3" s="57"/>
      <c r="Q3" s="57"/>
      <c r="R3" s="57"/>
      <c r="S3" s="57"/>
      <c r="T3" s="57"/>
      <c r="U3" s="57"/>
    </row>
    <row r="4" spans="1:23" x14ac:dyDescent="0.25">
      <c r="A4" s="59"/>
      <c r="B4" s="60"/>
      <c r="C4" s="60"/>
      <c r="D4" s="60"/>
      <c r="E4" s="60"/>
      <c r="F4" s="60"/>
      <c r="G4" s="61"/>
      <c r="P4" s="60"/>
      <c r="Q4" s="60"/>
      <c r="R4" s="60"/>
      <c r="S4" s="60"/>
      <c r="T4" s="60"/>
      <c r="U4" s="61"/>
    </row>
    <row r="5" spans="1:23" s="66" customFormat="1" x14ac:dyDescent="0.25">
      <c r="A5" s="62"/>
      <c r="B5" s="63" t="s">
        <v>212</v>
      </c>
      <c r="C5" s="63" t="s">
        <v>213</v>
      </c>
      <c r="D5" s="63" t="s">
        <v>214</v>
      </c>
      <c r="E5" s="63" t="s">
        <v>215</v>
      </c>
      <c r="F5" s="63" t="s">
        <v>216</v>
      </c>
      <c r="G5" s="64" t="s">
        <v>217</v>
      </c>
      <c r="P5" s="63" t="s">
        <v>212</v>
      </c>
      <c r="Q5" s="63" t="s">
        <v>213</v>
      </c>
      <c r="R5" s="63" t="s">
        <v>214</v>
      </c>
      <c r="S5" s="63" t="s">
        <v>215</v>
      </c>
      <c r="T5" s="63" t="s">
        <v>216</v>
      </c>
      <c r="U5" s="64" t="s">
        <v>217</v>
      </c>
      <c r="V5" s="65"/>
    </row>
    <row r="6" spans="1:23" x14ac:dyDescent="0.25">
      <c r="A6" s="62" t="s">
        <v>63</v>
      </c>
      <c r="B6" s="7">
        <v>154563428.67000002</v>
      </c>
      <c r="C6" s="7">
        <v>424529753.21999997</v>
      </c>
      <c r="D6" s="7">
        <v>2884704.37</v>
      </c>
      <c r="E6" s="7">
        <v>3238349</v>
      </c>
      <c r="F6" s="7">
        <v>85825</v>
      </c>
      <c r="G6" s="67">
        <v>585302060.25999999</v>
      </c>
      <c r="P6" s="7">
        <f>'[1]P&amp;L Compare to Hedge 2018'!$B$5</f>
        <v>154563428.67000002</v>
      </c>
      <c r="Q6" s="7">
        <f>'[1]P&amp;L Compare to Hedge 2018'!$B$6</f>
        <v>424529753.21999997</v>
      </c>
      <c r="R6" s="7">
        <f>'[1]P&amp;L Compare to Hedge 2018'!$B$7</f>
        <v>2884704.37</v>
      </c>
      <c r="S6" s="7">
        <f>'[1]P&amp;L Compare to Hedge 2018'!$B$8</f>
        <v>3238349</v>
      </c>
      <c r="T6" s="7">
        <f>'[1]P&amp;L Compare to Hedge 2018'!$B$9</f>
        <v>85825</v>
      </c>
      <c r="U6" s="67">
        <f>SUM(P6:T6)</f>
        <v>585302060.25999999</v>
      </c>
    </row>
    <row r="7" spans="1:23" x14ac:dyDescent="0.25">
      <c r="A7" s="62" t="s">
        <v>218</v>
      </c>
      <c r="B7" s="7">
        <v>157842383.69</v>
      </c>
      <c r="C7" s="7">
        <v>422465521.94999993</v>
      </c>
      <c r="D7" s="7">
        <v>2842624.1900000004</v>
      </c>
      <c r="E7" s="7">
        <v>3972878.5</v>
      </c>
      <c r="F7" s="7">
        <v>103200.43</v>
      </c>
      <c r="G7" s="67">
        <v>587226608.75999987</v>
      </c>
      <c r="P7" s="7">
        <f>'[1]P&amp;L Compare to Hedge 2018'!$B$14</f>
        <v>157842383.69</v>
      </c>
      <c r="Q7" s="7">
        <f>'[1]P&amp;L Compare to Hedge 2018'!$B$15</f>
        <v>422465521.94999993</v>
      </c>
      <c r="R7" s="7">
        <f>'[1]P&amp;L Compare to Hedge 2018'!$B$16</f>
        <v>2842624.1900000004</v>
      </c>
      <c r="S7" s="7">
        <f>'[1]P&amp;L Compare to Hedge 2018'!$B$17</f>
        <v>3972878.5</v>
      </c>
      <c r="T7" s="7">
        <f>'[1]P&amp;L Compare to Hedge 2018'!$B$18</f>
        <v>103200.43</v>
      </c>
      <c r="U7" s="67">
        <f>SUM(P7:T7)</f>
        <v>587226608.75999987</v>
      </c>
    </row>
    <row r="8" spans="1:23" x14ac:dyDescent="0.25">
      <c r="A8" s="62" t="s">
        <v>219</v>
      </c>
      <c r="B8" s="7">
        <v>-4303584.0399999917</v>
      </c>
      <c r="C8" s="7">
        <v>-198311.54999999702</v>
      </c>
      <c r="D8" s="7">
        <v>-28077.910000000033</v>
      </c>
      <c r="E8" s="7">
        <v>-17915.510000000009</v>
      </c>
      <c r="F8" s="7">
        <v>0</v>
      </c>
      <c r="G8" s="67">
        <v>-4547889.0099999886</v>
      </c>
      <c r="P8" s="7">
        <f>'[1]P&amp;L Compare to Hedge 2018'!$B$21</f>
        <v>-4303584.0399999917</v>
      </c>
      <c r="Q8" s="7">
        <f>'[1]P&amp;L Compare to Hedge 2018'!$B$22</f>
        <v>-198311.54999999702</v>
      </c>
      <c r="R8" s="7">
        <f>'[1]P&amp;L Compare to Hedge 2018'!$B$23</f>
        <v>-28077.910000000033</v>
      </c>
      <c r="S8" s="7">
        <f>'[1]P&amp;L Compare to Hedge 2018'!$B$24</f>
        <v>-17915.510000000009</v>
      </c>
      <c r="T8" s="7">
        <f>0</f>
        <v>0</v>
      </c>
      <c r="U8" s="67">
        <f>SUM(P8:T8)</f>
        <v>-4547889.0099999886</v>
      </c>
    </row>
    <row r="9" spans="1:23" x14ac:dyDescent="0.25">
      <c r="A9" s="62" t="s">
        <v>220</v>
      </c>
      <c r="B9" s="7">
        <v>-1451390.0700000077</v>
      </c>
      <c r="C9" s="7">
        <v>287951.64999999851</v>
      </c>
      <c r="D9" s="7">
        <v>0</v>
      </c>
      <c r="E9" s="7">
        <v>0</v>
      </c>
      <c r="F9" s="7">
        <v>0</v>
      </c>
      <c r="G9" s="67">
        <v>-1163438.4200000092</v>
      </c>
      <c r="P9" s="7">
        <f>'[1]P&amp;L Compare to Hedge 2018'!$B$26</f>
        <v>-1451390.0700000077</v>
      </c>
      <c r="Q9" s="7">
        <f>'[1]P&amp;L Compare to Hedge 2018'!$B$27</f>
        <v>287951.64999999851</v>
      </c>
      <c r="R9" s="7">
        <f>'[1]P&amp;L Compare to Hedge 2018'!$B$28</f>
        <v>0</v>
      </c>
      <c r="S9" s="7">
        <f>'[1]P&amp;L Compare to Hedge 2018'!$B$29</f>
        <v>0</v>
      </c>
      <c r="T9" s="7">
        <v>0</v>
      </c>
      <c r="U9" s="67">
        <f>SUM(P9:T9)</f>
        <v>-1163438.4200000092</v>
      </c>
    </row>
    <row r="10" spans="1:23" ht="15.75" thickBot="1" x14ac:dyDescent="0.3">
      <c r="A10" s="62" t="s">
        <v>221</v>
      </c>
      <c r="B10" s="7">
        <v>2094840.4523199946</v>
      </c>
      <c r="C10" s="7">
        <v>1671312.9767381023</v>
      </c>
      <c r="D10" s="7">
        <v>53210.820259999891</v>
      </c>
      <c r="E10" s="7">
        <v>-759397.27174999984</v>
      </c>
      <c r="F10" s="7">
        <v>-20088.849999999991</v>
      </c>
      <c r="G10" s="67">
        <v>3039878.1275680969</v>
      </c>
      <c r="P10" s="7">
        <f>'[2]Mrkg to Mkt Gold'!$E$28</f>
        <v>2094840.4523199946</v>
      </c>
      <c r="Q10" s="7">
        <f>'[2]Mkg to Mkt Silver'!$E$28</f>
        <v>1671312.9767381023</v>
      </c>
      <c r="R10" s="7">
        <f>'[2]Mkg to Mkt Platinum  '!$E$28</f>
        <v>53210.820259999891</v>
      </c>
      <c r="S10" s="7">
        <f>'[2]Mkg to Mkt Palladium'!$E$28</f>
        <v>-759397.27174999984</v>
      </c>
      <c r="T10" s="7">
        <f>'[2]Mkg to Mkt Rhodium'!$E$28</f>
        <v>-20088.849999999991</v>
      </c>
      <c r="U10" s="67">
        <f>SUM(P10:T10)</f>
        <v>3039878.1275680969</v>
      </c>
      <c r="V10" s="68">
        <f>'[2]Mkg to Mkt All'!$E$39-U10</f>
        <v>0</v>
      </c>
      <c r="W10" s="69" t="s">
        <v>222</v>
      </c>
    </row>
    <row r="11" spans="1:23" ht="15.75" thickBot="1" x14ac:dyDescent="0.3">
      <c r="A11" s="62" t="s">
        <v>223</v>
      </c>
      <c r="B11" s="70"/>
      <c r="C11" s="70"/>
      <c r="D11" s="70"/>
      <c r="E11" s="70"/>
      <c r="F11" s="70"/>
      <c r="G11" s="71">
        <v>2682.05</v>
      </c>
      <c r="P11" s="70"/>
      <c r="Q11" s="70"/>
      <c r="R11" s="70"/>
      <c r="S11" s="70"/>
      <c r="T11" s="70"/>
      <c r="U11" s="71">
        <v>2682.05</v>
      </c>
    </row>
    <row r="12" spans="1:23" ht="15.75" thickBot="1" x14ac:dyDescent="0.3">
      <c r="A12" s="62"/>
      <c r="B12" s="72">
        <v>381178.63768002391</v>
      </c>
      <c r="C12" s="73">
        <v>303278.19326193677</v>
      </c>
      <c r="D12" s="73">
        <v>16947.269739999843</v>
      </c>
      <c r="E12" s="73">
        <v>42783.281749999849</v>
      </c>
      <c r="F12" s="73">
        <v>2713.4199999999983</v>
      </c>
      <c r="G12" s="74">
        <v>744218.75243202015</v>
      </c>
      <c r="P12" s="72">
        <f>+P6-P7-P8-P9-P10</f>
        <v>381178.63768002391</v>
      </c>
      <c r="Q12" s="73">
        <f>+Q6-Q7-Q8-Q9-Q10</f>
        <v>303278.19326193677</v>
      </c>
      <c r="R12" s="73">
        <f>+R6-R7-R8-R9-R10</f>
        <v>16947.269739999843</v>
      </c>
      <c r="S12" s="73">
        <f>+S6-S7-S8-S9-S10</f>
        <v>42783.281749999849</v>
      </c>
      <c r="T12" s="73">
        <f>+T6-T7-T8-T9-T10</f>
        <v>2713.4199999999983</v>
      </c>
      <c r="U12" s="74">
        <f>+U6-U7-U8-U9-U10-U11</f>
        <v>744218.75243202015</v>
      </c>
    </row>
    <row r="13" spans="1:23" ht="15.75" thickTop="1" x14ac:dyDescent="0.25">
      <c r="A13" s="62"/>
      <c r="B13" s="75"/>
      <c r="C13" s="75"/>
      <c r="D13" s="75"/>
      <c r="E13" s="75"/>
      <c r="F13" s="75"/>
      <c r="G13" s="76"/>
      <c r="P13" s="75"/>
      <c r="Q13" s="75"/>
      <c r="R13" s="75"/>
      <c r="S13" s="75"/>
      <c r="T13" s="75"/>
      <c r="U13" s="76"/>
    </row>
    <row r="14" spans="1:23" x14ac:dyDescent="0.25">
      <c r="A14" s="62" t="s">
        <v>224</v>
      </c>
      <c r="B14" s="7">
        <v>459437.98398514051</v>
      </c>
      <c r="C14" s="7">
        <v>365257.53999999905</v>
      </c>
      <c r="D14" s="7">
        <v>21090.145499999966</v>
      </c>
      <c r="E14" s="7">
        <v>37097.844600000004</v>
      </c>
      <c r="F14" s="7">
        <v>3045</v>
      </c>
      <c r="G14" s="67">
        <v>885928.5140851395</v>
      </c>
      <c r="P14" s="7">
        <f>'[3]Comparison 2017-2018'!$B$30</f>
        <v>459437.98398514051</v>
      </c>
      <c r="Q14" s="7">
        <f>'[3]Comparison 2017-2018'!$C$30</f>
        <v>365257.53999999905</v>
      </c>
      <c r="R14" s="7">
        <f>'[3]Comparison 2017-2018'!$D$30</f>
        <v>21090.145499999966</v>
      </c>
      <c r="S14" s="7">
        <f>'[3]Comparison 2017-2018'!$E$30</f>
        <v>37097.844600000004</v>
      </c>
      <c r="T14" s="7">
        <f>'[3]Comparison 2017-2018'!$F$30</f>
        <v>3045</v>
      </c>
      <c r="U14" s="67">
        <f t="shared" ref="U14:U20" si="0">SUM(P14:T14)</f>
        <v>885928.5140851395</v>
      </c>
    </row>
    <row r="15" spans="1:23" x14ac:dyDescent="0.25">
      <c r="A15" s="62" t="s">
        <v>225</v>
      </c>
      <c r="B15" s="7">
        <v>11347.91</v>
      </c>
      <c r="C15" s="7">
        <v>1307.73</v>
      </c>
      <c r="D15" s="7">
        <v>0</v>
      </c>
      <c r="E15" s="7">
        <v>0</v>
      </c>
      <c r="F15" s="7">
        <v>0</v>
      </c>
      <c r="G15" s="67">
        <v>12655.64</v>
      </c>
      <c r="P15" s="7">
        <v>11347.91</v>
      </c>
      <c r="Q15" s="7">
        <v>1307.73</v>
      </c>
      <c r="R15" s="7">
        <v>0</v>
      </c>
      <c r="S15" s="7">
        <v>0</v>
      </c>
      <c r="T15" s="7">
        <v>0</v>
      </c>
      <c r="U15" s="67">
        <f t="shared" si="0"/>
        <v>12655.64</v>
      </c>
    </row>
    <row r="16" spans="1:23" x14ac:dyDescent="0.25">
      <c r="A16" s="62" t="s">
        <v>226</v>
      </c>
      <c r="B16" s="7">
        <v>20228.97</v>
      </c>
      <c r="C16" s="7">
        <v>31705.259999999995</v>
      </c>
      <c r="D16" s="7">
        <v>0</v>
      </c>
      <c r="E16" s="7">
        <v>0</v>
      </c>
      <c r="F16" s="7">
        <v>0</v>
      </c>
      <c r="G16" s="67">
        <v>51934.229999999996</v>
      </c>
      <c r="P16" s="7">
        <f>[4]Jan!$B$10</f>
        <v>20228.97</v>
      </c>
      <c r="Q16" s="7">
        <f>[4]Jan!$B$20</f>
        <v>31705.259999999995</v>
      </c>
      <c r="R16" s="7">
        <f>[4]Jan!$B$26</f>
        <v>0</v>
      </c>
      <c r="S16" s="7">
        <v>0</v>
      </c>
      <c r="T16" s="7">
        <v>0</v>
      </c>
      <c r="U16" s="67">
        <f t="shared" si="0"/>
        <v>51934.229999999996</v>
      </c>
    </row>
    <row r="17" spans="1:24" x14ac:dyDescent="0.25">
      <c r="A17" s="62" t="s">
        <v>227</v>
      </c>
      <c r="B17" s="7">
        <v>-11152</v>
      </c>
      <c r="C17" s="7">
        <v>-36907.01</v>
      </c>
      <c r="D17" s="7">
        <v>0</v>
      </c>
      <c r="E17" s="7">
        <v>0</v>
      </c>
      <c r="F17" s="7">
        <v>0</v>
      </c>
      <c r="G17" s="67">
        <v>-48059.01</v>
      </c>
      <c r="P17" s="7">
        <f>-11152</f>
        <v>-11152</v>
      </c>
      <c r="Q17" s="7">
        <f>-36907.01</f>
        <v>-36907.01</v>
      </c>
      <c r="R17" s="7">
        <v>0</v>
      </c>
      <c r="S17" s="7">
        <v>0</v>
      </c>
      <c r="T17" s="7">
        <v>0</v>
      </c>
      <c r="U17" s="67">
        <f t="shared" si="0"/>
        <v>-48059.01</v>
      </c>
    </row>
    <row r="18" spans="1:24" x14ac:dyDescent="0.25">
      <c r="A18" s="62" t="s">
        <v>228</v>
      </c>
      <c r="B18" s="7">
        <v>-51657.33</v>
      </c>
      <c r="C18" s="7">
        <v>-70861</v>
      </c>
      <c r="D18" s="7">
        <v>0</v>
      </c>
      <c r="E18" s="7">
        <v>0</v>
      </c>
      <c r="F18" s="7">
        <v>0</v>
      </c>
      <c r="G18" s="67">
        <v>-122518.33</v>
      </c>
      <c r="P18" s="7">
        <v>-51657.33</v>
      </c>
      <c r="Q18" s="7">
        <v>-70861</v>
      </c>
      <c r="R18" s="7">
        <v>0</v>
      </c>
      <c r="S18" s="7">
        <v>0</v>
      </c>
      <c r="T18" s="7">
        <v>0</v>
      </c>
      <c r="U18" s="67">
        <f t="shared" si="0"/>
        <v>-122518.33</v>
      </c>
    </row>
    <row r="19" spans="1:24" x14ac:dyDescent="0.25">
      <c r="A19" s="62" t="s">
        <v>229</v>
      </c>
      <c r="B19" s="7">
        <v>-129582</v>
      </c>
      <c r="C19" s="7"/>
      <c r="D19" s="7"/>
      <c r="E19" s="7">
        <v>0</v>
      </c>
      <c r="F19" s="7">
        <v>0</v>
      </c>
      <c r="G19" s="67">
        <v>-129582</v>
      </c>
      <c r="P19" s="7">
        <v>-129582</v>
      </c>
      <c r="Q19" s="7"/>
      <c r="R19" s="7"/>
      <c r="S19" s="7">
        <v>0</v>
      </c>
      <c r="T19" s="7">
        <v>0</v>
      </c>
      <c r="U19" s="67">
        <f t="shared" si="0"/>
        <v>-129582</v>
      </c>
    </row>
    <row r="20" spans="1:24" x14ac:dyDescent="0.25">
      <c r="A20" s="62" t="s">
        <v>37</v>
      </c>
      <c r="B20" s="7">
        <v>-18000</v>
      </c>
      <c r="C20" s="7">
        <v>-17000</v>
      </c>
      <c r="D20" s="7">
        <v>0</v>
      </c>
      <c r="E20" s="7">
        <v>0</v>
      </c>
      <c r="F20" s="7">
        <v>0</v>
      </c>
      <c r="G20" s="67">
        <v>-35000</v>
      </c>
      <c r="P20" s="7">
        <v>-18000</v>
      </c>
      <c r="Q20" s="7">
        <v>-17000</v>
      </c>
      <c r="R20" s="7">
        <v>0</v>
      </c>
      <c r="S20" s="7">
        <v>0</v>
      </c>
      <c r="T20" s="7">
        <v>0</v>
      </c>
      <c r="U20" s="67">
        <f t="shared" si="0"/>
        <v>-35000</v>
      </c>
    </row>
    <row r="21" spans="1:24" x14ac:dyDescent="0.25">
      <c r="A21" s="62"/>
      <c r="B21" s="7"/>
      <c r="C21" s="7"/>
      <c r="D21" s="7"/>
      <c r="E21" s="7"/>
      <c r="F21" s="7"/>
      <c r="G21" s="67"/>
      <c r="P21" s="7"/>
      <c r="Q21" s="7"/>
      <c r="R21" s="7"/>
      <c r="S21" s="7"/>
      <c r="T21" s="7"/>
      <c r="U21" s="67"/>
    </row>
    <row r="22" spans="1:24" x14ac:dyDescent="0.25">
      <c r="A22" s="62" t="s">
        <v>222</v>
      </c>
      <c r="B22" s="7">
        <v>100555.10369488347</v>
      </c>
      <c r="C22" s="7">
        <v>29775.673261937744</v>
      </c>
      <c r="D22" s="7">
        <v>-4142.8757600001227</v>
      </c>
      <c r="E22" s="7">
        <v>5685.4371499998451</v>
      </c>
      <c r="F22" s="7">
        <v>-331.58000000000175</v>
      </c>
      <c r="G22" s="67">
        <v>128859.70834688062</v>
      </c>
      <c r="P22" s="7">
        <f>+P12-SUM(P14:P20)</f>
        <v>100555.10369488347</v>
      </c>
      <c r="Q22" s="7">
        <f t="shared" ref="Q22:T22" si="1">+Q12-SUM(Q14:Q20)</f>
        <v>29775.673261937744</v>
      </c>
      <c r="R22" s="7">
        <f t="shared" si="1"/>
        <v>-4142.8757600001227</v>
      </c>
      <c r="S22" s="7">
        <f t="shared" si="1"/>
        <v>5685.4371499998451</v>
      </c>
      <c r="T22" s="7">
        <f t="shared" si="1"/>
        <v>-331.58000000000175</v>
      </c>
      <c r="U22" s="67">
        <f>+U12-SUM(U14:U20)</f>
        <v>128859.70834688062</v>
      </c>
      <c r="V22" s="77">
        <f>SUM(P22:T22)-U11</f>
        <v>128859.70834682095</v>
      </c>
      <c r="W22" s="78">
        <f>U22-V22</f>
        <v>5.9677404351532459E-8</v>
      </c>
      <c r="X22" s="79" t="s">
        <v>230</v>
      </c>
    </row>
    <row r="23" spans="1:24" ht="15.75" thickBot="1" x14ac:dyDescent="0.3">
      <c r="A23" s="80" t="s">
        <v>231</v>
      </c>
      <c r="B23" s="7">
        <v>1339</v>
      </c>
      <c r="C23" s="7">
        <v>17.204000000000001</v>
      </c>
      <c r="D23" s="7">
        <v>1001.3</v>
      </c>
      <c r="E23" s="7">
        <v>1027.5</v>
      </c>
      <c r="F23" s="7">
        <v>1650</v>
      </c>
      <c r="G23" s="67"/>
      <c r="P23" s="7">
        <v>1339</v>
      </c>
      <c r="Q23" s="7">
        <v>17.204000000000001</v>
      </c>
      <c r="R23" s="7">
        <v>1001.3</v>
      </c>
      <c r="S23" s="7">
        <v>1027.5</v>
      </c>
      <c r="T23" s="7">
        <v>1650</v>
      </c>
      <c r="U23" s="67"/>
      <c r="V23" s="77">
        <f>'[1]P&amp;L Compare to Hedge 2018'!$B$45</f>
        <v>128859.70591497957</v>
      </c>
      <c r="W23" s="78">
        <f>U22-V23</f>
        <v>2.4319010553881526E-3</v>
      </c>
      <c r="X23" s="57" t="s">
        <v>232</v>
      </c>
    </row>
    <row r="24" spans="1:24" x14ac:dyDescent="0.25">
      <c r="A24" s="116" t="s">
        <v>210</v>
      </c>
      <c r="D24" s="57"/>
      <c r="E24" s="57"/>
      <c r="F24" s="57"/>
      <c r="G24" s="57"/>
      <c r="P24" s="57"/>
      <c r="Q24" s="57"/>
      <c r="R24" s="57"/>
      <c r="S24" s="57"/>
      <c r="T24" s="57"/>
      <c r="U24" s="57"/>
    </row>
    <row r="25" spans="1:24" x14ac:dyDescent="0.25">
      <c r="A25" s="117" t="s">
        <v>211</v>
      </c>
      <c r="D25" s="57"/>
      <c r="E25" s="57"/>
      <c r="F25" s="57"/>
      <c r="G25" s="57"/>
      <c r="P25" s="57"/>
      <c r="Q25" s="57"/>
      <c r="R25" s="57"/>
      <c r="S25" s="57"/>
      <c r="T25" s="57"/>
      <c r="U25" s="57"/>
    </row>
    <row r="26" spans="1:24" x14ac:dyDescent="0.25">
      <c r="A26" s="118">
        <v>43159</v>
      </c>
      <c r="D26" s="57"/>
      <c r="E26" s="57"/>
      <c r="F26" s="57"/>
      <c r="G26" s="57"/>
      <c r="P26" s="57"/>
      <c r="Q26" s="57"/>
      <c r="R26" s="57"/>
      <c r="S26" s="57"/>
      <c r="T26" s="57"/>
      <c r="U26" s="57"/>
    </row>
    <row r="27" spans="1:24" x14ac:dyDescent="0.25">
      <c r="A27" s="59"/>
      <c r="B27" s="60"/>
      <c r="C27" s="60"/>
      <c r="D27" s="60"/>
      <c r="E27" s="60"/>
      <c r="F27" s="60"/>
      <c r="G27" s="61"/>
      <c r="P27" s="60"/>
      <c r="Q27" s="60"/>
      <c r="R27" s="60"/>
      <c r="S27" s="60"/>
      <c r="T27" s="60"/>
      <c r="U27" s="61"/>
    </row>
    <row r="28" spans="1:24" s="66" customFormat="1" x14ac:dyDescent="0.25">
      <c r="A28" s="62"/>
      <c r="B28" s="63" t="s">
        <v>212</v>
      </c>
      <c r="C28" s="63" t="s">
        <v>213</v>
      </c>
      <c r="D28" s="63" t="s">
        <v>214</v>
      </c>
      <c r="E28" s="63" t="s">
        <v>215</v>
      </c>
      <c r="F28" s="63" t="s">
        <v>216</v>
      </c>
      <c r="G28" s="64" t="s">
        <v>217</v>
      </c>
      <c r="P28" s="63" t="s">
        <v>212</v>
      </c>
      <c r="Q28" s="63" t="s">
        <v>213</v>
      </c>
      <c r="R28" s="63" t="s">
        <v>214</v>
      </c>
      <c r="S28" s="63" t="s">
        <v>215</v>
      </c>
      <c r="T28" s="63" t="s">
        <v>216</v>
      </c>
      <c r="U28" s="64" t="s">
        <v>217</v>
      </c>
      <c r="V28" s="65"/>
    </row>
    <row r="29" spans="1:24" x14ac:dyDescent="0.25">
      <c r="A29" s="62" t="s">
        <v>63</v>
      </c>
      <c r="B29" s="7">
        <v>109601727.78999999</v>
      </c>
      <c r="C29" s="7">
        <v>1212317398.3500001</v>
      </c>
      <c r="D29" s="7">
        <v>2596535.7200000002</v>
      </c>
      <c r="E29" s="7">
        <v>1478660.42</v>
      </c>
      <c r="F29" s="7">
        <v>579872.5</v>
      </c>
      <c r="G29" s="67">
        <v>1326574194.7800002</v>
      </c>
      <c r="P29" s="7">
        <f>'[1]P&amp;L Compare to Hedge 2018'!$C$5</f>
        <v>109601727.78999999</v>
      </c>
      <c r="Q29" s="7">
        <f>'[1]P&amp;L Compare to Hedge 2018'!$C$6</f>
        <v>1212317398.3500001</v>
      </c>
      <c r="R29" s="7">
        <f>'[1]P&amp;L Compare to Hedge 2018'!$C$7</f>
        <v>2596535.7200000002</v>
      </c>
      <c r="S29" s="7">
        <f>'[1]P&amp;L Compare to Hedge 2018'!$C$8</f>
        <v>1478660.42</v>
      </c>
      <c r="T29" s="7">
        <f>'[1]P&amp;L Compare to Hedge 2018'!$C$9</f>
        <v>579872.5</v>
      </c>
      <c r="U29" s="67">
        <f>SUM(P29:T29)</f>
        <v>1326574194.7800002</v>
      </c>
    </row>
    <row r="30" spans="1:24" x14ac:dyDescent="0.25">
      <c r="A30" s="62" t="s">
        <v>218</v>
      </c>
      <c r="B30" s="7">
        <v>108846154.46000001</v>
      </c>
      <c r="C30" s="7">
        <v>1215546261.6300001</v>
      </c>
      <c r="D30" s="7">
        <v>2535222.7399999998</v>
      </c>
      <c r="E30" s="7">
        <v>1516251.86</v>
      </c>
      <c r="F30" s="7">
        <v>557565.63</v>
      </c>
      <c r="G30" s="67">
        <v>1329001456.3200002</v>
      </c>
      <c r="P30" s="7">
        <f>'[1]P&amp;L Compare to Hedge 2018'!$C$14</f>
        <v>108846154.46000001</v>
      </c>
      <c r="Q30" s="7">
        <f>'[1]P&amp;L Compare to Hedge 2018'!$C$15</f>
        <v>1215546261.6300001</v>
      </c>
      <c r="R30" s="7">
        <f>'[1]P&amp;L Compare to Hedge 2018'!$C$16</f>
        <v>2535222.7399999998</v>
      </c>
      <c r="S30" s="7">
        <f>'[1]P&amp;L Compare to Hedge 2018'!$C$17</f>
        <v>1516251.86</v>
      </c>
      <c r="T30" s="7">
        <f>'[1]P&amp;L Compare to Hedge 2018'!$C$18</f>
        <v>557565.63</v>
      </c>
      <c r="U30" s="67">
        <f>SUM(P30:T30)</f>
        <v>1329001456.3200002</v>
      </c>
    </row>
    <row r="31" spans="1:24" x14ac:dyDescent="0.25">
      <c r="A31" s="62" t="s">
        <v>219</v>
      </c>
      <c r="B31" s="7">
        <v>-230168.78000000119</v>
      </c>
      <c r="C31" s="7">
        <v>-141071.81000000052</v>
      </c>
      <c r="D31" s="7">
        <v>-41342.620000000112</v>
      </c>
      <c r="E31" s="7">
        <v>0</v>
      </c>
      <c r="F31" s="7">
        <v>0</v>
      </c>
      <c r="G31" s="67">
        <v>-412583.21000000183</v>
      </c>
      <c r="P31" s="7">
        <f>'[1]P&amp;L Compare to Hedge 2018'!$C$21</f>
        <v>-230168.78000000119</v>
      </c>
      <c r="Q31" s="7">
        <f>'[1]P&amp;L Compare to Hedge 2018'!$C$22</f>
        <v>-141071.81000000052</v>
      </c>
      <c r="R31" s="7">
        <f>'[1]P&amp;L Compare to Hedge 2018'!$C$23</f>
        <v>-41342.620000000112</v>
      </c>
      <c r="S31" s="7">
        <f>'[1]P&amp;L Compare to Hedge 2018'!$C$24</f>
        <v>0</v>
      </c>
      <c r="T31" s="7">
        <v>0</v>
      </c>
      <c r="U31" s="67">
        <f>SUM(P31:T31)</f>
        <v>-412583.21000000183</v>
      </c>
    </row>
    <row r="32" spans="1:24" x14ac:dyDescent="0.25">
      <c r="A32" s="62" t="s">
        <v>220</v>
      </c>
      <c r="B32" s="7">
        <v>-14017.5</v>
      </c>
      <c r="C32" s="7">
        <v>-4461877.3100000024</v>
      </c>
      <c r="D32" s="7">
        <v>4535</v>
      </c>
      <c r="E32" s="7">
        <v>0</v>
      </c>
      <c r="F32" s="12">
        <v>0</v>
      </c>
      <c r="G32" s="67">
        <v>-4471359.8100000024</v>
      </c>
      <c r="P32" s="7">
        <f>'[1]P&amp;L Compare to Hedge 2018'!$C$26</f>
        <v>-14017.5</v>
      </c>
      <c r="Q32" s="7">
        <f>'[1]P&amp;L Compare to Hedge 2018'!$C$27</f>
        <v>-4461877.3100000024</v>
      </c>
      <c r="R32" s="7">
        <f>'[1]P&amp;L Compare to Hedge 2018'!$C$28</f>
        <v>4535</v>
      </c>
      <c r="S32" s="7">
        <f>'[1]P&amp;L Compare to Hedge 2018'!$C$29</f>
        <v>0</v>
      </c>
      <c r="T32" s="12">
        <v>0</v>
      </c>
      <c r="U32" s="67">
        <f>SUM(P32:T32)</f>
        <v>-4471359.8100000024</v>
      </c>
    </row>
    <row r="33" spans="1:24" ht="15.75" thickBot="1" x14ac:dyDescent="0.3">
      <c r="A33" s="62" t="s">
        <v>221</v>
      </c>
      <c r="B33" s="7">
        <v>607654.88740001619</v>
      </c>
      <c r="C33" s="7">
        <v>1036939.8168504873</v>
      </c>
      <c r="D33" s="7">
        <v>54597.568599999649</v>
      </c>
      <c r="E33" s="7">
        <v>-56319.259040000208</v>
      </c>
      <c r="F33" s="7">
        <v>8290.3699999999953</v>
      </c>
      <c r="G33" s="81">
        <v>1651163.3838105029</v>
      </c>
      <c r="P33" s="7">
        <f>'[5]Mrkg to Mkt Gold'!$E$28</f>
        <v>607654.88740001619</v>
      </c>
      <c r="Q33" s="7">
        <f>'[5]Mkg to Mkt Silver'!$E$28</f>
        <v>1036939.8168504873</v>
      </c>
      <c r="R33" s="7">
        <f>'[5]Mkg to Mkt Platinum  '!$E$28</f>
        <v>54597.568599999649</v>
      </c>
      <c r="S33" s="7">
        <f>'[5]Mkg to Mkt Palladium'!$E$28</f>
        <v>-56319.259040000208</v>
      </c>
      <c r="T33" s="7">
        <f>'[5]Mkg to Mkt Rhodium'!$E$28</f>
        <v>8290.3699999999953</v>
      </c>
      <c r="U33" s="81">
        <f>SUM(P33:T33)</f>
        <v>1651163.3838105029</v>
      </c>
    </row>
    <row r="34" spans="1:24" ht="15.75" thickBot="1" x14ac:dyDescent="0.3">
      <c r="A34" s="62" t="s">
        <v>223</v>
      </c>
      <c r="B34" s="82"/>
      <c r="C34" s="82"/>
      <c r="D34" s="82"/>
      <c r="E34" s="82"/>
      <c r="F34" s="82"/>
      <c r="G34" s="83">
        <v>-1617.38</v>
      </c>
      <c r="P34" s="82"/>
      <c r="Q34" s="82"/>
      <c r="R34" s="82"/>
      <c r="S34" s="82"/>
      <c r="T34" s="82"/>
      <c r="U34" s="83">
        <v>-1617.38</v>
      </c>
    </row>
    <row r="35" spans="1:24" ht="15.75" thickBot="1" x14ac:dyDescent="0.3">
      <c r="A35" s="62"/>
      <c r="B35" s="84">
        <v>392104.72259996831</v>
      </c>
      <c r="C35" s="84">
        <v>337146.02314954426</v>
      </c>
      <c r="D35" s="84">
        <v>43523.031400000909</v>
      </c>
      <c r="E35" s="84">
        <v>18727.819040000031</v>
      </c>
      <c r="F35" s="84">
        <v>14016.5</v>
      </c>
      <c r="G35" s="74">
        <v>807135.47618953942</v>
      </c>
      <c r="P35" s="84">
        <f>+P29-P30-P31-P32-P33</f>
        <v>392104.72259996831</v>
      </c>
      <c r="Q35" s="84">
        <f>+Q29-Q30-Q31-Q32-Q33</f>
        <v>337146.02314954426</v>
      </c>
      <c r="R35" s="84">
        <f>+R29-R30-R31-R32-R33</f>
        <v>43523.031400000909</v>
      </c>
      <c r="S35" s="84">
        <f>+S29-S30-S31-S32-S33</f>
        <v>18727.819040000031</v>
      </c>
      <c r="T35" s="84">
        <f>+T29-T30-T31-T32-T33</f>
        <v>14016.5</v>
      </c>
      <c r="U35" s="74">
        <f>+U29-U30-U31-U32-U33-U34</f>
        <v>807135.47618953942</v>
      </c>
    </row>
    <row r="36" spans="1:24" ht="15.75" thickTop="1" x14ac:dyDescent="0.25">
      <c r="A36" s="62"/>
      <c r="B36" s="85"/>
      <c r="C36" s="85"/>
      <c r="D36" s="85"/>
      <c r="E36" s="85"/>
      <c r="F36" s="85"/>
      <c r="G36" s="67"/>
      <c r="P36" s="85"/>
      <c r="Q36" s="85"/>
      <c r="R36" s="85"/>
      <c r="S36" s="85"/>
      <c r="T36" s="85"/>
      <c r="U36" s="67"/>
    </row>
    <row r="37" spans="1:24" x14ac:dyDescent="0.25">
      <c r="A37" s="62" t="s">
        <v>224</v>
      </c>
      <c r="B37" s="7">
        <v>301276.599516891</v>
      </c>
      <c r="C37" s="7">
        <v>314838.27600001462</v>
      </c>
      <c r="D37" s="7">
        <v>40496.840099999994</v>
      </c>
      <c r="E37" s="7">
        <v>14645.328399999986</v>
      </c>
      <c r="F37" s="7">
        <v>10671.25</v>
      </c>
      <c r="G37" s="67">
        <v>681928.29401690571</v>
      </c>
      <c r="P37" s="7">
        <f>'[3]Comparison 2017-2018'!$B$54</f>
        <v>301276.599516891</v>
      </c>
      <c r="Q37" s="7">
        <f>'[3]Comparison 2017-2018'!$C$54</f>
        <v>314838.27600001462</v>
      </c>
      <c r="R37" s="7">
        <f>'[3]Comparison 2017-2018'!$D$54</f>
        <v>40496.840099999994</v>
      </c>
      <c r="S37" s="7">
        <f>'[3]Comparison 2017-2018'!$E$54</f>
        <v>14645.328399999986</v>
      </c>
      <c r="T37" s="7">
        <f>'[3]Comparison 2017-2018'!$F$54</f>
        <v>10671.25</v>
      </c>
      <c r="U37" s="67">
        <f t="shared" ref="U37:U43" si="2">SUM(P37:T37)</f>
        <v>681928.29401690571</v>
      </c>
    </row>
    <row r="38" spans="1:24" x14ac:dyDescent="0.25">
      <c r="A38" s="62" t="s">
        <v>225</v>
      </c>
      <c r="B38" s="7">
        <v>2264.54</v>
      </c>
      <c r="C38" s="7">
        <v>222.6</v>
      </c>
      <c r="D38" s="7">
        <v>0</v>
      </c>
      <c r="E38" s="7">
        <v>0</v>
      </c>
      <c r="F38" s="7">
        <v>0</v>
      </c>
      <c r="G38" s="67">
        <v>2487.14</v>
      </c>
      <c r="P38" s="7">
        <v>2264.54</v>
      </c>
      <c r="Q38" s="7">
        <v>222.6</v>
      </c>
      <c r="R38" s="7">
        <v>0</v>
      </c>
      <c r="S38" s="7">
        <v>0</v>
      </c>
      <c r="T38" s="7">
        <v>0</v>
      </c>
      <c r="U38" s="67">
        <f t="shared" si="2"/>
        <v>2487.14</v>
      </c>
    </row>
    <row r="39" spans="1:24" x14ac:dyDescent="0.25">
      <c r="A39" s="62" t="s">
        <v>226</v>
      </c>
      <c r="B39" s="7">
        <v>23083.65</v>
      </c>
      <c r="C39" s="7">
        <v>3212.99</v>
      </c>
      <c r="D39" s="7">
        <v>9893.18</v>
      </c>
      <c r="E39" s="7">
        <v>0</v>
      </c>
      <c r="F39" s="7">
        <v>0</v>
      </c>
      <c r="G39" s="67">
        <v>36189.82</v>
      </c>
      <c r="P39" s="7">
        <f>[4]Feb!$B$10</f>
        <v>23083.65</v>
      </c>
      <c r="Q39" s="7">
        <f>[4]Feb!$B$20</f>
        <v>3212.99</v>
      </c>
      <c r="R39" s="7">
        <f>[4]Feb!$B$26</f>
        <v>9893.18</v>
      </c>
      <c r="S39" s="7">
        <v>0</v>
      </c>
      <c r="T39" s="7">
        <v>0</v>
      </c>
      <c r="U39" s="67">
        <f t="shared" si="2"/>
        <v>36189.82</v>
      </c>
    </row>
    <row r="40" spans="1:24" x14ac:dyDescent="0.25">
      <c r="A40" s="62" t="s">
        <v>227</v>
      </c>
      <c r="B40" s="7">
        <v>-4530.13</v>
      </c>
      <c r="C40" s="7">
        <v>-104404.39</v>
      </c>
      <c r="D40" s="7">
        <v>0</v>
      </c>
      <c r="E40" s="7">
        <v>0</v>
      </c>
      <c r="F40" s="7">
        <v>0</v>
      </c>
      <c r="G40" s="67">
        <v>-108934.52</v>
      </c>
      <c r="P40" s="7">
        <v>-4530.13</v>
      </c>
      <c r="Q40" s="7">
        <v>-104404.39</v>
      </c>
      <c r="R40" s="7">
        <v>0</v>
      </c>
      <c r="S40" s="7">
        <v>0</v>
      </c>
      <c r="T40" s="7">
        <v>0</v>
      </c>
      <c r="U40" s="67">
        <f t="shared" si="2"/>
        <v>-108934.52</v>
      </c>
    </row>
    <row r="41" spans="1:24" x14ac:dyDescent="0.25">
      <c r="A41" s="62" t="s">
        <v>228</v>
      </c>
      <c r="B41" s="7">
        <v>8840</v>
      </c>
      <c r="C41" s="7">
        <v>42577</v>
      </c>
      <c r="D41" s="7"/>
      <c r="E41" s="7"/>
      <c r="F41" s="7"/>
      <c r="G41" s="67">
        <v>51417</v>
      </c>
      <c r="P41" s="7">
        <v>8840</v>
      </c>
      <c r="Q41" s="7">
        <v>42577</v>
      </c>
      <c r="R41" s="7"/>
      <c r="S41" s="7"/>
      <c r="T41" s="7"/>
      <c r="U41" s="67">
        <f t="shared" si="2"/>
        <v>51417</v>
      </c>
    </row>
    <row r="42" spans="1:24" x14ac:dyDescent="0.25">
      <c r="A42" s="62" t="s">
        <v>229</v>
      </c>
      <c r="B42" s="7">
        <v>0</v>
      </c>
      <c r="C42" s="7">
        <v>0</v>
      </c>
      <c r="D42" s="7"/>
      <c r="E42" s="7"/>
      <c r="F42" s="7"/>
      <c r="G42" s="67">
        <v>0</v>
      </c>
      <c r="P42" s="7">
        <v>0</v>
      </c>
      <c r="Q42" s="7">
        <v>0</v>
      </c>
      <c r="R42" s="7"/>
      <c r="S42" s="7"/>
      <c r="T42" s="7"/>
      <c r="U42" s="67">
        <f t="shared" si="2"/>
        <v>0</v>
      </c>
    </row>
    <row r="43" spans="1:24" x14ac:dyDescent="0.25">
      <c r="A43" s="62" t="s">
        <v>37</v>
      </c>
      <c r="B43" s="7">
        <v>-18000</v>
      </c>
      <c r="C43" s="7">
        <v>-17000</v>
      </c>
      <c r="D43" s="7"/>
      <c r="E43" s="7"/>
      <c r="F43" s="7"/>
      <c r="G43" s="67">
        <v>-35000</v>
      </c>
      <c r="P43" s="7">
        <v>-18000</v>
      </c>
      <c r="Q43" s="7">
        <v>-17000</v>
      </c>
      <c r="R43" s="7"/>
      <c r="S43" s="7"/>
      <c r="T43" s="7"/>
      <c r="U43" s="67">
        <f t="shared" si="2"/>
        <v>-35000</v>
      </c>
    </row>
    <row r="44" spans="1:24" x14ac:dyDescent="0.25">
      <c r="A44" s="62"/>
      <c r="B44" s="12"/>
      <c r="C44" s="12"/>
      <c r="D44" s="12"/>
      <c r="E44" s="12"/>
      <c r="F44" s="12"/>
      <c r="G44" s="67"/>
      <c r="P44" s="12"/>
      <c r="Q44" s="12"/>
      <c r="R44" s="12"/>
      <c r="S44" s="12"/>
      <c r="T44" s="12"/>
      <c r="U44" s="67"/>
    </row>
    <row r="45" spans="1:24" x14ac:dyDescent="0.25">
      <c r="A45" s="62" t="s">
        <v>222</v>
      </c>
      <c r="B45" s="86">
        <v>79170.063083077315</v>
      </c>
      <c r="C45" s="86">
        <v>97699.547149529681</v>
      </c>
      <c r="D45" s="86">
        <v>-6866.9886999990849</v>
      </c>
      <c r="E45" s="86">
        <v>4082.4906400000455</v>
      </c>
      <c r="F45" s="86">
        <v>3345.25</v>
      </c>
      <c r="G45" s="67">
        <v>179047.74217263376</v>
      </c>
      <c r="P45" s="86">
        <f>P35-SUM(P37:P43)</f>
        <v>79170.063083077315</v>
      </c>
      <c r="Q45" s="86">
        <f t="shared" ref="Q45:T45" si="3">Q35-SUM(Q37:Q43)</f>
        <v>97699.547149529681</v>
      </c>
      <c r="R45" s="86">
        <f t="shared" si="3"/>
        <v>-6866.9886999990849</v>
      </c>
      <c r="S45" s="86">
        <f t="shared" si="3"/>
        <v>4082.4906400000455</v>
      </c>
      <c r="T45" s="86">
        <f t="shared" si="3"/>
        <v>3345.25</v>
      </c>
      <c r="U45" s="67">
        <f>+U35-SUM(U37:U43)</f>
        <v>179047.74217263376</v>
      </c>
      <c r="V45" s="56">
        <f>SUM(P45:T45)-U34</f>
        <v>179047.74217260795</v>
      </c>
      <c r="W45" s="78">
        <f>U45-V45</f>
        <v>2.5815097615122795E-8</v>
      </c>
      <c r="X45" s="56" t="s">
        <v>230</v>
      </c>
    </row>
    <row r="46" spans="1:24" ht="15.75" thickBot="1" x14ac:dyDescent="0.3">
      <c r="A46" s="80" t="s">
        <v>231</v>
      </c>
      <c r="B46" s="87">
        <v>1315.5</v>
      </c>
      <c r="C46" s="87">
        <v>16.324000000000002</v>
      </c>
      <c r="D46" s="87">
        <v>986.6</v>
      </c>
      <c r="E46" s="87">
        <v>1047.2</v>
      </c>
      <c r="F46" s="87">
        <v>1870</v>
      </c>
      <c r="G46" s="88"/>
      <c r="P46" s="87">
        <v>1315.5</v>
      </c>
      <c r="Q46" s="87">
        <v>16.324000000000002</v>
      </c>
      <c r="R46" s="87">
        <v>986.6</v>
      </c>
      <c r="S46" s="87">
        <v>1047.2</v>
      </c>
      <c r="T46" s="87">
        <v>1870</v>
      </c>
      <c r="U46" s="88"/>
      <c r="V46" s="56">
        <f>'[1]P&amp;L Compare to Hedge 2018'!$C$45</f>
        <v>179047.73598288454</v>
      </c>
      <c r="W46" s="55">
        <f>U45-V46-0.01</f>
        <v>-3.8102507730945947E-3</v>
      </c>
      <c r="X46" s="57" t="s">
        <v>232</v>
      </c>
    </row>
    <row r="47" spans="1:24" x14ac:dyDescent="0.25">
      <c r="A47" s="116" t="s">
        <v>210</v>
      </c>
      <c r="D47" s="57"/>
      <c r="E47" s="57"/>
      <c r="F47" s="57"/>
      <c r="G47" s="57"/>
      <c r="P47" s="57"/>
      <c r="Q47" s="57"/>
      <c r="R47" s="57"/>
      <c r="S47" s="57"/>
      <c r="T47" s="57"/>
      <c r="U47" s="57"/>
    </row>
    <row r="48" spans="1:24" x14ac:dyDescent="0.25">
      <c r="A48" s="117" t="s">
        <v>211</v>
      </c>
      <c r="D48" s="57"/>
      <c r="E48" s="57"/>
      <c r="F48" s="57"/>
      <c r="G48" s="57"/>
      <c r="P48" s="57"/>
      <c r="Q48" s="57"/>
      <c r="R48" s="57"/>
      <c r="S48" s="57"/>
      <c r="T48" s="57"/>
      <c r="U48" s="57"/>
    </row>
    <row r="49" spans="1:23" x14ac:dyDescent="0.25">
      <c r="A49" s="118">
        <v>43190</v>
      </c>
      <c r="D49" s="57"/>
      <c r="E49" s="57"/>
      <c r="F49" s="57"/>
      <c r="G49" s="57"/>
      <c r="P49" s="57"/>
      <c r="Q49" s="57"/>
      <c r="R49" s="57"/>
      <c r="S49" s="57"/>
      <c r="T49" s="57"/>
      <c r="U49" s="57"/>
    </row>
    <row r="50" spans="1:23" x14ac:dyDescent="0.25">
      <c r="A50" s="59"/>
      <c r="B50" s="60"/>
      <c r="C50" s="60"/>
      <c r="D50" s="60"/>
      <c r="E50" s="60"/>
      <c r="F50" s="60"/>
      <c r="G50" s="61"/>
      <c r="P50" s="60"/>
      <c r="Q50" s="60"/>
      <c r="R50" s="60"/>
      <c r="S50" s="60"/>
      <c r="T50" s="60"/>
      <c r="U50" s="61"/>
    </row>
    <row r="51" spans="1:23" s="66" customFormat="1" x14ac:dyDescent="0.25">
      <c r="A51" s="62"/>
      <c r="B51" s="63" t="s">
        <v>212</v>
      </c>
      <c r="C51" s="63" t="s">
        <v>213</v>
      </c>
      <c r="D51" s="63" t="s">
        <v>214</v>
      </c>
      <c r="E51" s="63" t="s">
        <v>215</v>
      </c>
      <c r="F51" s="63" t="s">
        <v>216</v>
      </c>
      <c r="G51" s="64" t="s">
        <v>217</v>
      </c>
      <c r="P51" s="63" t="s">
        <v>212</v>
      </c>
      <c r="Q51" s="63" t="s">
        <v>213</v>
      </c>
      <c r="R51" s="63" t="s">
        <v>214</v>
      </c>
      <c r="S51" s="63" t="s">
        <v>215</v>
      </c>
      <c r="T51" s="63" t="s">
        <v>216</v>
      </c>
      <c r="U51" s="64" t="s">
        <v>217</v>
      </c>
      <c r="V51" s="65"/>
    </row>
    <row r="52" spans="1:23" x14ac:dyDescent="0.25">
      <c r="A52" s="62" t="s">
        <v>63</v>
      </c>
      <c r="B52" s="7">
        <v>101069868.19</v>
      </c>
      <c r="C52" s="7">
        <v>305312522.13</v>
      </c>
      <c r="D52" s="7">
        <v>622399.88</v>
      </c>
      <c r="E52" s="7">
        <v>1427673</v>
      </c>
      <c r="F52" s="7">
        <v>108078.75</v>
      </c>
      <c r="G52" s="67">
        <v>408540541.94999999</v>
      </c>
      <c r="P52" s="7">
        <f>'[1]P&amp;L Compare to Hedge 2018'!$D$5</f>
        <v>101069868.19</v>
      </c>
      <c r="Q52" s="7">
        <f>'[1]P&amp;L Compare to Hedge 2018'!$D$6</f>
        <v>305312522.13</v>
      </c>
      <c r="R52" s="7">
        <f>'[1]P&amp;L Compare to Hedge 2018'!$D$7</f>
        <v>622399.88</v>
      </c>
      <c r="S52" s="7">
        <f>'[1]P&amp;L Compare to Hedge 2018'!$D$8</f>
        <v>1427673</v>
      </c>
      <c r="T52" s="7">
        <f>'[1]P&amp;L Compare to Hedge 2018'!$D$9</f>
        <v>108078.75</v>
      </c>
      <c r="U52" s="67">
        <f>SUM(P52:T52)</f>
        <v>408540541.94999999</v>
      </c>
    </row>
    <row r="53" spans="1:23" x14ac:dyDescent="0.25">
      <c r="A53" s="62" t="s">
        <v>218</v>
      </c>
      <c r="B53" s="7">
        <v>100906197.60999998</v>
      </c>
      <c r="C53" s="7">
        <v>305678068.99000001</v>
      </c>
      <c r="D53" s="7">
        <v>618326.57000000007</v>
      </c>
      <c r="E53" s="7">
        <v>1446310.3</v>
      </c>
      <c r="F53" s="7">
        <v>104546.19</v>
      </c>
      <c r="G53" s="67">
        <v>408753449.66000003</v>
      </c>
      <c r="P53" s="7">
        <f>'[1]P&amp;L Compare to Hedge 2018'!$D$14</f>
        <v>100906197.60999998</v>
      </c>
      <c r="Q53" s="7">
        <f>'[1]P&amp;L Compare to Hedge 2018'!$D$15</f>
        <v>305678068.99000001</v>
      </c>
      <c r="R53" s="7">
        <f>'[1]P&amp;L Compare to Hedge 2018'!$D$16</f>
        <v>618326.57000000007</v>
      </c>
      <c r="S53" s="7">
        <f>'[1]P&amp;L Compare to Hedge 2018'!$D$17</f>
        <v>1446310.3</v>
      </c>
      <c r="T53" s="7">
        <f>'[1]P&amp;L Compare to Hedge 2018'!$D$18</f>
        <v>104546.19</v>
      </c>
      <c r="U53" s="67">
        <f>SUM(P53:T53)</f>
        <v>408753449.66000003</v>
      </c>
    </row>
    <row r="54" spans="1:23" x14ac:dyDescent="0.25">
      <c r="A54" s="62" t="s">
        <v>219</v>
      </c>
      <c r="B54" s="7">
        <v>-102046.03999999166</v>
      </c>
      <c r="C54" s="7">
        <v>73914.890000000596</v>
      </c>
      <c r="D54" s="7">
        <v>-28127.939999999944</v>
      </c>
      <c r="E54" s="7">
        <v>-35497.39</v>
      </c>
      <c r="F54" s="7">
        <v>0</v>
      </c>
      <c r="G54" s="67">
        <v>-91756.479999991003</v>
      </c>
      <c r="P54" s="7">
        <f>'[1]P&amp;L Compare to Hedge 2018'!$D$21</f>
        <v>-102046.03999999166</v>
      </c>
      <c r="Q54" s="7">
        <f>'[1]P&amp;L Compare to Hedge 2018'!$D$22</f>
        <v>73914.890000000596</v>
      </c>
      <c r="R54" s="7">
        <f>'[1]P&amp;L Compare to Hedge 2018'!$D$23</f>
        <v>-28127.939999999944</v>
      </c>
      <c r="S54" s="7">
        <f>'[1]P&amp;L Compare to Hedge 2018'!$D$24</f>
        <v>-35497.39</v>
      </c>
      <c r="T54" s="7">
        <v>0</v>
      </c>
      <c r="U54" s="67">
        <f>SUM(P54:T54)</f>
        <v>-91756.479999991003</v>
      </c>
    </row>
    <row r="55" spans="1:23" x14ac:dyDescent="0.25">
      <c r="A55" s="62" t="s">
        <v>220</v>
      </c>
      <c r="B55" s="7">
        <v>-649600</v>
      </c>
      <c r="C55" s="7">
        <v>67555.530000001192</v>
      </c>
      <c r="D55" s="7">
        <v>-3890</v>
      </c>
      <c r="E55" s="7">
        <v>0</v>
      </c>
      <c r="F55" s="12">
        <v>0</v>
      </c>
      <c r="G55" s="67">
        <v>-585934.46999999881</v>
      </c>
      <c r="P55" s="7">
        <f>'[1]P&amp;L Compare to Hedge 2018'!$D$26</f>
        <v>-649600</v>
      </c>
      <c r="Q55" s="7">
        <f>'[1]P&amp;L Compare to Hedge 2018'!$D$27</f>
        <v>67555.530000001192</v>
      </c>
      <c r="R55" s="7">
        <f>'[1]P&amp;L Compare to Hedge 2018'!$D$28</f>
        <v>-3890</v>
      </c>
      <c r="S55" s="7">
        <f>'[1]P&amp;L Compare to Hedge 2018'!$D$29</f>
        <v>0</v>
      </c>
      <c r="T55" s="12">
        <v>0</v>
      </c>
      <c r="U55" s="67">
        <f>SUM(P55:T55)</f>
        <v>-585934.46999999881</v>
      </c>
    </row>
    <row r="56" spans="1:23" ht="15.75" thickBot="1" x14ac:dyDescent="0.3">
      <c r="A56" s="62" t="s">
        <v>221</v>
      </c>
      <c r="B56" s="12">
        <v>567828.19951001555</v>
      </c>
      <c r="C56" s="12">
        <v>-931711.66054889513</v>
      </c>
      <c r="D56" s="12">
        <v>-2899.6698899999028</v>
      </c>
      <c r="E56" s="12">
        <v>-27321.270960000053</v>
      </c>
      <c r="F56" s="12">
        <v>-19993.190000000017</v>
      </c>
      <c r="G56" s="81">
        <v>-414097.59188887954</v>
      </c>
      <c r="P56" s="12">
        <f>'[6]Mrkg to Mkt Gold'!$E$28</f>
        <v>567828.19951001555</v>
      </c>
      <c r="Q56" s="12">
        <f>'[6]Mkg to Mkt Silver'!$E$28</f>
        <v>-931711.66054889513</v>
      </c>
      <c r="R56" s="12">
        <f>'[6]Mkg to Mkt Platinum  '!$E$28</f>
        <v>-2899.6698899999028</v>
      </c>
      <c r="S56" s="12">
        <f>'[6]Mkg to Mkt Palladium'!$E$28</f>
        <v>-27321.270960000053</v>
      </c>
      <c r="T56" s="12">
        <f>'[6]Mkg to Mkt Rhodium'!$E$28</f>
        <v>-19993.190000000017</v>
      </c>
      <c r="U56" s="81">
        <f>SUM(P56:T56)</f>
        <v>-414097.59188887954</v>
      </c>
    </row>
    <row r="57" spans="1:23" ht="15.75" thickBot="1" x14ac:dyDescent="0.3">
      <c r="A57" s="62" t="s">
        <v>223</v>
      </c>
      <c r="B57" s="82"/>
      <c r="C57" s="82"/>
      <c r="D57" s="82"/>
      <c r="E57" s="82"/>
      <c r="F57" s="82"/>
      <c r="G57" s="83">
        <v>5756.07</v>
      </c>
      <c r="P57" s="82"/>
      <c r="Q57" s="82"/>
      <c r="R57" s="82"/>
      <c r="S57" s="82"/>
      <c r="T57" s="82"/>
      <c r="U57" s="83">
        <f>'[1]P&amp;L Compare to Hedge 2018'!$D$32</f>
        <v>5756.07</v>
      </c>
    </row>
    <row r="58" spans="1:23" ht="15.75" thickBot="1" x14ac:dyDescent="0.3">
      <c r="A58" s="62"/>
      <c r="B58" s="84">
        <v>347488.42048998922</v>
      </c>
      <c r="C58" s="84">
        <v>424694.38054887904</v>
      </c>
      <c r="D58" s="84">
        <v>38990.919889999786</v>
      </c>
      <c r="E58" s="84">
        <v>44181.360960000005</v>
      </c>
      <c r="F58" s="84">
        <v>23525.750000000015</v>
      </c>
      <c r="G58" s="74">
        <v>873124.76188883127</v>
      </c>
      <c r="P58" s="84">
        <f>+P52-P53-P54-P55-P56</f>
        <v>347488.42048998922</v>
      </c>
      <c r="Q58" s="84">
        <f>+Q52-Q53-Q54-Q55-Q56</f>
        <v>424694.38054887904</v>
      </c>
      <c r="R58" s="84">
        <f>+R52-R53-R54-R55-R56</f>
        <v>38990.919889999786</v>
      </c>
      <c r="S58" s="84">
        <f>+S52-S53-S54-S55-S56</f>
        <v>44181.360960000005</v>
      </c>
      <c r="T58" s="84">
        <f>+T52-T53-T54-T55-T56</f>
        <v>23525.750000000015</v>
      </c>
      <c r="U58" s="74">
        <f>+U52-U53-U54-U55-U56-U57</f>
        <v>873124.76188883127</v>
      </c>
      <c r="W58" s="78"/>
    </row>
    <row r="59" spans="1:23" ht="15.75" thickTop="1" x14ac:dyDescent="0.25">
      <c r="A59" s="62"/>
      <c r="B59" s="85"/>
      <c r="C59" s="85"/>
      <c r="D59" s="85"/>
      <c r="E59" s="85"/>
      <c r="F59" s="85"/>
      <c r="G59" s="67"/>
      <c r="P59" s="85"/>
      <c r="Q59" s="85"/>
      <c r="R59" s="85"/>
      <c r="S59" s="85"/>
      <c r="T59" s="85"/>
      <c r="U59" s="67"/>
    </row>
    <row r="60" spans="1:23" x14ac:dyDescent="0.25">
      <c r="A60" s="62" t="s">
        <v>224</v>
      </c>
      <c r="B60" s="89">
        <v>332184.39528701216</v>
      </c>
      <c r="C60" s="89">
        <v>311757.88299998752</v>
      </c>
      <c r="D60" s="89">
        <v>8782.1078999999936</v>
      </c>
      <c r="E60" s="89">
        <v>14892.187999999987</v>
      </c>
      <c r="F60" s="89">
        <v>6747.14</v>
      </c>
      <c r="G60" s="67">
        <v>674363.7141869996</v>
      </c>
      <c r="P60" s="89">
        <f>'[3]Comparison 2017-2018'!$B$80</f>
        <v>332184.39528701216</v>
      </c>
      <c r="Q60" s="89">
        <f>'[3]Comparison 2017-2018'!$C$80</f>
        <v>311757.88299998752</v>
      </c>
      <c r="R60" s="89">
        <f>'[3]Comparison 2017-2018'!$D$80</f>
        <v>8782.1078999999936</v>
      </c>
      <c r="S60" s="89">
        <f>'[3]Comparison 2017-2018'!$E$80</f>
        <v>14892.187999999987</v>
      </c>
      <c r="T60" s="89">
        <f>'[3]Comparison 2017-2018'!$F$80</f>
        <v>6747.14</v>
      </c>
      <c r="U60" s="67">
        <f t="shared" ref="U60:U66" si="4">SUM(P60:T60)</f>
        <v>674363.7141869996</v>
      </c>
    </row>
    <row r="61" spans="1:23" x14ac:dyDescent="0.25">
      <c r="A61" s="62" t="s">
        <v>225</v>
      </c>
      <c r="B61" s="12">
        <v>3529.42</v>
      </c>
      <c r="C61" s="12">
        <v>2652.3</v>
      </c>
      <c r="D61" s="12">
        <v>0</v>
      </c>
      <c r="E61" s="12">
        <v>0</v>
      </c>
      <c r="F61" s="12">
        <v>0</v>
      </c>
      <c r="G61" s="67">
        <v>6181.72</v>
      </c>
      <c r="P61" s="12">
        <v>3529.42</v>
      </c>
      <c r="Q61" s="12">
        <v>2652.3</v>
      </c>
      <c r="R61" s="12">
        <v>0</v>
      </c>
      <c r="S61" s="12">
        <v>0</v>
      </c>
      <c r="T61" s="12">
        <v>0</v>
      </c>
      <c r="U61" s="67">
        <f t="shared" si="4"/>
        <v>6181.72</v>
      </c>
    </row>
    <row r="62" spans="1:23" x14ac:dyDescent="0.25">
      <c r="A62" s="62" t="s">
        <v>226</v>
      </c>
      <c r="B62" s="12">
        <v>22978.059999999998</v>
      </c>
      <c r="C62" s="12">
        <v>8036.34</v>
      </c>
      <c r="D62" s="12">
        <v>59317.869999999995</v>
      </c>
      <c r="E62" s="12">
        <v>0</v>
      </c>
      <c r="F62" s="12">
        <v>0</v>
      </c>
      <c r="G62" s="67">
        <v>90332.26999999999</v>
      </c>
      <c r="P62" s="12">
        <f>[4]Mar!$B$10</f>
        <v>22978.059999999998</v>
      </c>
      <c r="Q62" s="12">
        <f>[4]Mar!$B$20</f>
        <v>8036.34</v>
      </c>
      <c r="R62" s="12">
        <f>[4]Mar!$B$26+[4]Mar!$B$31</f>
        <v>59317.869999999995</v>
      </c>
      <c r="S62" s="12">
        <v>0</v>
      </c>
      <c r="T62" s="12">
        <v>0</v>
      </c>
      <c r="U62" s="67">
        <f t="shared" si="4"/>
        <v>90332.26999999999</v>
      </c>
    </row>
    <row r="63" spans="1:23" x14ac:dyDescent="0.25">
      <c r="A63" s="62" t="s">
        <v>227</v>
      </c>
      <c r="B63" s="12">
        <v>-7369.6</v>
      </c>
      <c r="C63" s="12">
        <v>-19853.800000000003</v>
      </c>
      <c r="D63" s="12">
        <v>0</v>
      </c>
      <c r="E63" s="12">
        <v>0</v>
      </c>
      <c r="F63" s="12">
        <v>0</v>
      </c>
      <c r="G63" s="67">
        <v>-27223.4</v>
      </c>
      <c r="P63" s="12">
        <v>-7369.6</v>
      </c>
      <c r="Q63" s="12">
        <f>-27223.4+7369.6</f>
        <v>-19853.800000000003</v>
      </c>
      <c r="R63" s="12">
        <v>0</v>
      </c>
      <c r="S63" s="12">
        <v>0</v>
      </c>
      <c r="T63" s="12">
        <v>0</v>
      </c>
      <c r="U63" s="67">
        <f t="shared" si="4"/>
        <v>-27223.4</v>
      </c>
    </row>
    <row r="64" spans="1:23" x14ac:dyDescent="0.25">
      <c r="A64" s="62" t="s">
        <v>228</v>
      </c>
      <c r="B64" s="12">
        <v>-5460</v>
      </c>
      <c r="C64" s="12">
        <v>61057</v>
      </c>
      <c r="D64" s="8">
        <v>-530</v>
      </c>
      <c r="E64" s="8"/>
      <c r="F64" s="8"/>
      <c r="G64" s="67">
        <v>55067</v>
      </c>
      <c r="P64" s="12">
        <v>-5460</v>
      </c>
      <c r="Q64" s="12">
        <v>61057</v>
      </c>
      <c r="R64" s="8">
        <v>-530</v>
      </c>
      <c r="S64" s="8"/>
      <c r="T64" s="8"/>
      <c r="U64" s="67">
        <f t="shared" si="4"/>
        <v>55067</v>
      </c>
    </row>
    <row r="65" spans="1:24" x14ac:dyDescent="0.25">
      <c r="A65" s="62" t="s">
        <v>37</v>
      </c>
      <c r="B65" s="12">
        <v>-18000</v>
      </c>
      <c r="C65" s="12">
        <v>-17000</v>
      </c>
      <c r="D65" s="12"/>
      <c r="E65" s="12"/>
      <c r="F65" s="12"/>
      <c r="G65" s="67">
        <v>-35000</v>
      </c>
      <c r="P65" s="12">
        <v>-18000</v>
      </c>
      <c r="Q65" s="12">
        <v>-17000</v>
      </c>
      <c r="R65" s="12"/>
      <c r="S65" s="12"/>
      <c r="T65" s="12"/>
      <c r="U65" s="67">
        <f t="shared" si="4"/>
        <v>-35000</v>
      </c>
    </row>
    <row r="66" spans="1:24" x14ac:dyDescent="0.25">
      <c r="A66" s="62" t="s">
        <v>229</v>
      </c>
      <c r="B66" s="12">
        <v>0</v>
      </c>
      <c r="C66" s="12">
        <v>0</v>
      </c>
      <c r="D66" s="12"/>
      <c r="E66" s="12"/>
      <c r="F66" s="12"/>
      <c r="G66" s="67">
        <v>0</v>
      </c>
      <c r="P66" s="12">
        <v>0</v>
      </c>
      <c r="Q66" s="12">
        <v>0</v>
      </c>
      <c r="R66" s="12"/>
      <c r="S66" s="12"/>
      <c r="T66" s="12"/>
      <c r="U66" s="67">
        <f t="shared" si="4"/>
        <v>0</v>
      </c>
    </row>
    <row r="67" spans="1:24" x14ac:dyDescent="0.25">
      <c r="A67" s="62"/>
      <c r="B67" s="12"/>
      <c r="C67" s="12"/>
      <c r="D67" s="12"/>
      <c r="E67" s="12"/>
      <c r="F67" s="12"/>
      <c r="G67" s="67"/>
      <c r="P67" s="12"/>
      <c r="Q67" s="12"/>
      <c r="R67" s="12"/>
      <c r="S67" s="12"/>
      <c r="T67" s="12"/>
      <c r="U67" s="67"/>
      <c r="V67" s="56">
        <f>SUM(P68:T68)-U57</f>
        <v>109403.45770186838</v>
      </c>
      <c r="W67" s="78">
        <f>U68-V67</f>
        <v>-3.6670826375484467E-8</v>
      </c>
      <c r="X67" s="56" t="s">
        <v>230</v>
      </c>
    </row>
    <row r="68" spans="1:24" x14ac:dyDescent="0.25">
      <c r="A68" s="62" t="s">
        <v>222</v>
      </c>
      <c r="B68" s="86">
        <v>19626.145202977059</v>
      </c>
      <c r="C68" s="86">
        <v>78044.657548891497</v>
      </c>
      <c r="D68" s="86">
        <v>-28579.058010000197</v>
      </c>
      <c r="E68" s="86">
        <v>29289.172960000018</v>
      </c>
      <c r="F68" s="86">
        <v>16778.610000000015</v>
      </c>
      <c r="G68" s="67">
        <v>109403.45770183171</v>
      </c>
      <c r="P68" s="86">
        <f>+P58-SUM(P60:P66)</f>
        <v>19626.145202977059</v>
      </c>
      <c r="Q68" s="86">
        <f t="shared" ref="Q68:T68" si="5">+Q58-SUM(Q60:Q66)</f>
        <v>78044.657548891497</v>
      </c>
      <c r="R68" s="86">
        <f t="shared" si="5"/>
        <v>-28579.058010000197</v>
      </c>
      <c r="S68" s="86">
        <f t="shared" si="5"/>
        <v>29289.172960000018</v>
      </c>
      <c r="T68" s="86">
        <f t="shared" si="5"/>
        <v>16778.610000000015</v>
      </c>
      <c r="U68" s="67">
        <f>+U58-SUM(U60:U66)</f>
        <v>109403.45770183171</v>
      </c>
      <c r="V68" s="56">
        <f>'[1]P&amp;L Compare to Hedge 2018'!$D$45</f>
        <v>109403.45581293106</v>
      </c>
      <c r="W68" s="55">
        <f>U68-V68</f>
        <v>1.8889006460085511E-3</v>
      </c>
      <c r="X68" s="57" t="s">
        <v>232</v>
      </c>
    </row>
    <row r="69" spans="1:24" ht="15.75" thickBot="1" x14ac:dyDescent="0.3">
      <c r="A69" s="80" t="s">
        <v>231</v>
      </c>
      <c r="B69" s="87">
        <v>1322.8</v>
      </c>
      <c r="C69" s="87">
        <v>16.222999999999999</v>
      </c>
      <c r="D69" s="87">
        <v>927.3</v>
      </c>
      <c r="E69" s="87">
        <v>944.8</v>
      </c>
      <c r="F69" s="87">
        <v>2040</v>
      </c>
      <c r="G69" s="88"/>
      <c r="P69" s="87">
        <v>1322.8</v>
      </c>
      <c r="Q69" s="87">
        <v>16.222999999999999</v>
      </c>
      <c r="R69" s="87">
        <v>927.3</v>
      </c>
      <c r="S69" s="87">
        <v>944.8</v>
      </c>
      <c r="T69" s="87">
        <v>2040</v>
      </c>
      <c r="U69" s="88"/>
    </row>
    <row r="70" spans="1:24" x14ac:dyDescent="0.25">
      <c r="A70" s="116" t="s">
        <v>210</v>
      </c>
      <c r="D70" s="57"/>
      <c r="E70" s="57"/>
      <c r="F70" s="57"/>
      <c r="G70" s="57"/>
      <c r="P70" s="57"/>
      <c r="Q70" s="57"/>
      <c r="R70" s="57"/>
      <c r="S70" s="57"/>
      <c r="T70" s="57"/>
      <c r="U70" s="57"/>
    </row>
    <row r="71" spans="1:24" x14ac:dyDescent="0.25">
      <c r="A71" s="117" t="s">
        <v>211</v>
      </c>
      <c r="D71" s="57"/>
      <c r="E71" s="57"/>
      <c r="F71" s="57"/>
      <c r="G71" s="57"/>
      <c r="P71" s="57"/>
      <c r="Q71" s="57"/>
      <c r="R71" s="57"/>
      <c r="S71" s="57"/>
      <c r="T71" s="57"/>
      <c r="U71" s="57"/>
    </row>
    <row r="72" spans="1:24" x14ac:dyDescent="0.25">
      <c r="A72" s="118">
        <v>43220</v>
      </c>
      <c r="D72" s="57"/>
      <c r="E72" s="57"/>
      <c r="F72" s="57"/>
      <c r="G72" s="57"/>
      <c r="P72" s="57"/>
      <c r="Q72" s="57"/>
      <c r="R72" s="57"/>
      <c r="S72" s="57"/>
      <c r="T72" s="57"/>
      <c r="U72" s="57"/>
    </row>
    <row r="73" spans="1:24" s="66" customFormat="1" x14ac:dyDescent="0.25">
      <c r="A73" s="59"/>
      <c r="B73" s="60"/>
      <c r="C73" s="60"/>
      <c r="D73" s="60"/>
      <c r="E73" s="60"/>
      <c r="F73" s="60"/>
      <c r="G73" s="61"/>
      <c r="P73" s="60"/>
      <c r="Q73" s="60"/>
      <c r="R73" s="60"/>
      <c r="S73" s="60"/>
      <c r="T73" s="60"/>
      <c r="U73" s="61"/>
      <c r="V73" s="65"/>
    </row>
    <row r="74" spans="1:24" x14ac:dyDescent="0.25">
      <c r="A74" s="62"/>
      <c r="B74" s="63" t="s">
        <v>212</v>
      </c>
      <c r="C74" s="63" t="s">
        <v>213</v>
      </c>
      <c r="D74" s="63" t="s">
        <v>214</v>
      </c>
      <c r="E74" s="63" t="s">
        <v>215</v>
      </c>
      <c r="F74" s="63" t="s">
        <v>216</v>
      </c>
      <c r="G74" s="64" t="s">
        <v>217</v>
      </c>
      <c r="P74" s="63" t="s">
        <v>212</v>
      </c>
      <c r="Q74" s="63" t="s">
        <v>213</v>
      </c>
      <c r="R74" s="63" t="s">
        <v>214</v>
      </c>
      <c r="S74" s="63" t="s">
        <v>215</v>
      </c>
      <c r="T74" s="63" t="s">
        <v>216</v>
      </c>
      <c r="U74" s="64" t="s">
        <v>217</v>
      </c>
    </row>
    <row r="75" spans="1:24" x14ac:dyDescent="0.25">
      <c r="A75" s="62" t="s">
        <v>63</v>
      </c>
      <c r="B75" s="7">
        <v>92671539.059999987</v>
      </c>
      <c r="C75" s="7">
        <v>46941731.32</v>
      </c>
      <c r="D75" s="7">
        <v>1945746.84</v>
      </c>
      <c r="E75" s="7">
        <v>2167697.4500000002</v>
      </c>
      <c r="F75" s="7">
        <v>903549.14</v>
      </c>
      <c r="G75" s="67">
        <v>144630263.80999997</v>
      </c>
      <c r="P75" s="7">
        <f>'[1]P&amp;L Compare to Hedge 2018'!$E$5</f>
        <v>92671539.059999987</v>
      </c>
      <c r="Q75" s="7">
        <f>'[1]P&amp;L Compare to Hedge 2018'!$E$6</f>
        <v>46941731.32</v>
      </c>
      <c r="R75" s="7">
        <f>'[1]P&amp;L Compare to Hedge 2018'!$E$7</f>
        <v>1945746.84</v>
      </c>
      <c r="S75" s="7">
        <f>'[1]P&amp;L Compare to Hedge 2018'!$E$8</f>
        <v>2167697.4500000002</v>
      </c>
      <c r="T75" s="7">
        <f>'[1]P&amp;L Compare to Hedge 2018'!$E$9</f>
        <v>903549.14</v>
      </c>
      <c r="U75" s="67">
        <f t="shared" ref="U75:U80" si="6">SUM(P75:T75)</f>
        <v>144630263.80999997</v>
      </c>
    </row>
    <row r="76" spans="1:24" x14ac:dyDescent="0.25">
      <c r="A76" s="62" t="s">
        <v>218</v>
      </c>
      <c r="B76" s="7">
        <v>92373678.780000001</v>
      </c>
      <c r="C76" s="7">
        <v>48482029.219999999</v>
      </c>
      <c r="D76" s="7">
        <v>1945380.79</v>
      </c>
      <c r="E76" s="7">
        <v>2111524.9700000002</v>
      </c>
      <c r="F76" s="7">
        <v>891459.31</v>
      </c>
      <c r="G76" s="67">
        <v>145804073.06999999</v>
      </c>
      <c r="P76" s="7">
        <f>'[1]P&amp;L Compare to Hedge 2018'!$E$14</f>
        <v>92373678.780000001</v>
      </c>
      <c r="Q76" s="7">
        <f>'[1]P&amp;L Compare to Hedge 2018'!$E$15</f>
        <v>48482029.219999999</v>
      </c>
      <c r="R76" s="7">
        <f>'[1]P&amp;L Compare to Hedge 2018'!$E$16</f>
        <v>1945380.79</v>
      </c>
      <c r="S76" s="7">
        <f>'[1]P&amp;L Compare to Hedge 2018'!$E$17</f>
        <v>2111524.9700000002</v>
      </c>
      <c r="T76" s="7">
        <f>'[1]P&amp;L Compare to Hedge 2018'!$E$18</f>
        <v>891459.31</v>
      </c>
      <c r="U76" s="67">
        <f t="shared" si="6"/>
        <v>145804073.06999999</v>
      </c>
    </row>
    <row r="77" spans="1:24" x14ac:dyDescent="0.25">
      <c r="A77" s="62" t="s">
        <v>219</v>
      </c>
      <c r="B77" s="7">
        <v>14781.879999995232</v>
      </c>
      <c r="C77" s="7">
        <v>442679.44999998808</v>
      </c>
      <c r="D77" s="7">
        <v>1048.5499999999884</v>
      </c>
      <c r="E77" s="7">
        <v>2061.8000000000466</v>
      </c>
      <c r="F77" s="7">
        <v>0</v>
      </c>
      <c r="G77" s="67">
        <v>460571.67999998335</v>
      </c>
      <c r="P77" s="7">
        <f>'[1]P&amp;L Compare to Hedge 2018'!$E$21</f>
        <v>14781.879999995232</v>
      </c>
      <c r="Q77" s="7">
        <f>'[1]P&amp;L Compare to Hedge 2018'!$E$22</f>
        <v>442679.44999998808</v>
      </c>
      <c r="R77" s="7">
        <f>'[1]P&amp;L Compare to Hedge 2018'!$E$23</f>
        <v>1048.5499999999884</v>
      </c>
      <c r="S77" s="7">
        <f>'[1]P&amp;L Compare to Hedge 2018'!$E$24</f>
        <v>2061.8000000000466</v>
      </c>
      <c r="T77" s="7">
        <v>0</v>
      </c>
      <c r="U77" s="67">
        <f t="shared" si="6"/>
        <v>460571.67999998335</v>
      </c>
    </row>
    <row r="78" spans="1:24" x14ac:dyDescent="0.25">
      <c r="A78" s="62" t="s">
        <v>220</v>
      </c>
      <c r="B78" s="7">
        <v>339010</v>
      </c>
      <c r="C78" s="7">
        <v>-3414426</v>
      </c>
      <c r="D78" s="7">
        <v>-555</v>
      </c>
      <c r="E78" s="7">
        <v>0</v>
      </c>
      <c r="F78" s="12">
        <v>0</v>
      </c>
      <c r="G78" s="67">
        <v>-3075971</v>
      </c>
      <c r="P78" s="7">
        <f>'[1]P&amp;L Compare to Hedge 2018'!$E$26</f>
        <v>339010</v>
      </c>
      <c r="Q78" s="7">
        <f>'[1]P&amp;L Compare to Hedge 2018'!$E$27</f>
        <v>-3414426</v>
      </c>
      <c r="R78" s="7">
        <f>'[1]P&amp;L Compare to Hedge 2018'!$E$28</f>
        <v>-555</v>
      </c>
      <c r="S78" s="7">
        <f>'[1]P&amp;L Compare to Hedge 2018'!$E$29</f>
        <v>0</v>
      </c>
      <c r="T78" s="12">
        <v>0</v>
      </c>
      <c r="U78" s="67">
        <f t="shared" si="6"/>
        <v>-3075971</v>
      </c>
    </row>
    <row r="79" spans="1:24" x14ac:dyDescent="0.25">
      <c r="A79" s="62" t="s">
        <v>221</v>
      </c>
      <c r="B79" s="12">
        <v>-212199.27639002353</v>
      </c>
      <c r="C79" s="12">
        <v>1133883.7106935014</v>
      </c>
      <c r="D79" s="75">
        <v>-17872.84760000027</v>
      </c>
      <c r="E79" s="75">
        <v>35879.561575000058</v>
      </c>
      <c r="F79" s="75">
        <v>24746.690000000002</v>
      </c>
      <c r="G79" s="67">
        <v>964437.83827847778</v>
      </c>
      <c r="P79" s="12">
        <f>'[7]Mrkg to Mkt Gold'!$E$28</f>
        <v>-212199.27639002353</v>
      </c>
      <c r="Q79" s="12">
        <f>'[7]Mkg to Mkt Silver'!$E$28</f>
        <v>1133883.7106935014</v>
      </c>
      <c r="R79" s="75">
        <f>'[7]Mkg to Mkt Platinum  '!$E$28</f>
        <v>-17872.84760000027</v>
      </c>
      <c r="S79" s="75">
        <f>'[7]Mkg to Mkt Palladium'!$E$28</f>
        <v>35879.561575000058</v>
      </c>
      <c r="T79" s="75">
        <f>'[7]Mkg to Mkt Rhodium'!$E$28</f>
        <v>24746.690000000002</v>
      </c>
      <c r="U79" s="67">
        <f t="shared" si="6"/>
        <v>964437.83827847778</v>
      </c>
    </row>
    <row r="80" spans="1:24" ht="15.75" thickBot="1" x14ac:dyDescent="0.3">
      <c r="A80" s="62" t="s">
        <v>233</v>
      </c>
      <c r="B80" s="7">
        <v>111322.78999999998</v>
      </c>
      <c r="C80" s="12"/>
      <c r="D80" s="75"/>
      <c r="E80" s="75"/>
      <c r="F80" s="75"/>
      <c r="G80" s="67">
        <v>111322.78999999998</v>
      </c>
      <c r="P80" s="7">
        <f>'[1]P&amp;L Compare to Hedge 2018'!$E$10-'[1]P&amp;L Compare to Hedge 2018'!$E$19</f>
        <v>111322.78999999998</v>
      </c>
      <c r="Q80" s="12"/>
      <c r="R80" s="75"/>
      <c r="S80" s="75"/>
      <c r="T80" s="75"/>
      <c r="U80" s="67">
        <f t="shared" si="6"/>
        <v>111322.78999999998</v>
      </c>
    </row>
    <row r="81" spans="1:24" ht="15.75" thickBot="1" x14ac:dyDescent="0.3">
      <c r="A81" s="62" t="s">
        <v>223</v>
      </c>
      <c r="B81" s="82"/>
      <c r="C81" s="82"/>
      <c r="D81" s="82"/>
      <c r="E81" s="82"/>
      <c r="F81" s="82"/>
      <c r="G81" s="83">
        <v>9048.32</v>
      </c>
      <c r="P81" s="82"/>
      <c r="Q81" s="82"/>
      <c r="R81" s="82"/>
      <c r="S81" s="82"/>
      <c r="T81" s="82"/>
      <c r="U81" s="83">
        <f>'[1]P&amp;L Compare to Hedge 2018'!$E$32</f>
        <v>9048.32</v>
      </c>
    </row>
    <row r="82" spans="1:24" ht="15.75" thickBot="1" x14ac:dyDescent="0.3">
      <c r="A82" s="62"/>
      <c r="B82" s="84">
        <v>267590.46639001457</v>
      </c>
      <c r="C82" s="84">
        <v>297564.93930651201</v>
      </c>
      <c r="D82" s="84">
        <v>17745.347600000328</v>
      </c>
      <c r="E82" s="84">
        <v>18231.118424999877</v>
      </c>
      <c r="F82" s="84">
        <v>-12656.860000000044</v>
      </c>
      <c r="G82" s="74">
        <v>579426.69172151852</v>
      </c>
      <c r="P82" s="84">
        <f>+P75-P76-P77-P78-P79+P80</f>
        <v>267590.46639001457</v>
      </c>
      <c r="Q82" s="84">
        <f t="shared" ref="Q82:T82" si="7">+Q75-Q76-Q77-Q78-Q79+Q80</f>
        <v>297564.93930651201</v>
      </c>
      <c r="R82" s="84">
        <f t="shared" si="7"/>
        <v>17745.347600000328</v>
      </c>
      <c r="S82" s="84">
        <f t="shared" si="7"/>
        <v>18231.118424999877</v>
      </c>
      <c r="T82" s="84">
        <f t="shared" si="7"/>
        <v>-12656.860000000044</v>
      </c>
      <c r="U82" s="74">
        <f>+U75-U76-U77-U78-U79-U81+U80</f>
        <v>579426.69172151852</v>
      </c>
    </row>
    <row r="83" spans="1:24" ht="15.75" thickTop="1" x14ac:dyDescent="0.25">
      <c r="A83" s="62"/>
      <c r="B83" s="85"/>
      <c r="C83" s="85"/>
      <c r="D83" s="85"/>
      <c r="E83" s="85"/>
      <c r="F83" s="85"/>
      <c r="G83" s="67"/>
      <c r="P83" s="85"/>
      <c r="Q83" s="85"/>
      <c r="R83" s="85"/>
      <c r="S83" s="85"/>
      <c r="T83" s="85"/>
      <c r="U83" s="67"/>
    </row>
    <row r="84" spans="1:24" x14ac:dyDescent="0.25">
      <c r="A84" s="62" t="s">
        <v>224</v>
      </c>
      <c r="B84" s="85">
        <v>281330.66382510529</v>
      </c>
      <c r="C84" s="85">
        <v>364001.01299999474</v>
      </c>
      <c r="D84" s="85">
        <v>17527.93</v>
      </c>
      <c r="E84" s="85">
        <v>16414.477200000103</v>
      </c>
      <c r="F84" s="85">
        <v>6239</v>
      </c>
      <c r="G84" s="67">
        <v>685513.08402510022</v>
      </c>
      <c r="P84" s="85">
        <f>'[3]April 2018'!$B$31</f>
        <v>281330.66382510529</v>
      </c>
      <c r="Q84" s="85">
        <f>'[3]April 2018'!$C$31</f>
        <v>334099.27399999852</v>
      </c>
      <c r="R84" s="85">
        <f>'[3]April 2018'!$D$31</f>
        <v>17527.93</v>
      </c>
      <c r="S84" s="85">
        <f>'[3]April 2018'!$E$31</f>
        <v>16414.477200000103</v>
      </c>
      <c r="T84" s="85">
        <f>'[3]April 2018'!$F$31</f>
        <v>6239</v>
      </c>
      <c r="U84" s="67">
        <f t="shared" ref="U84:U91" si="8">SUM(P84:T84)</f>
        <v>655611.34502510389</v>
      </c>
    </row>
    <row r="85" spans="1:24" x14ac:dyDescent="0.25">
      <c r="A85" s="62" t="s">
        <v>225</v>
      </c>
      <c r="B85" s="8">
        <v>1105.6999999999971</v>
      </c>
      <c r="C85" s="8">
        <v>1899.663196997717</v>
      </c>
      <c r="D85" s="8"/>
      <c r="E85" s="8"/>
      <c r="F85" s="8"/>
      <c r="G85" s="67">
        <v>3005.3631969977141</v>
      </c>
      <c r="P85" s="8">
        <v>1105.6999999999971</v>
      </c>
      <c r="Q85" s="8">
        <v>1899.663196997717</v>
      </c>
      <c r="R85" s="8"/>
      <c r="S85" s="8"/>
      <c r="T85" s="8"/>
      <c r="U85" s="67">
        <f t="shared" si="8"/>
        <v>3005.3631969977141</v>
      </c>
    </row>
    <row r="86" spans="1:24" x14ac:dyDescent="0.25">
      <c r="A86" s="62" t="s">
        <v>226</v>
      </c>
      <c r="B86" s="21">
        <v>42087.81</v>
      </c>
      <c r="C86" s="8">
        <v>0</v>
      </c>
      <c r="D86" s="8"/>
      <c r="E86" s="8"/>
      <c r="F86" s="8"/>
      <c r="G86" s="67">
        <v>42087.81</v>
      </c>
      <c r="P86" s="21">
        <f>[4]Apr!$B$10</f>
        <v>42087.81</v>
      </c>
      <c r="Q86" s="8">
        <v>0</v>
      </c>
      <c r="R86" s="8"/>
      <c r="S86" s="8"/>
      <c r="T86" s="8"/>
      <c r="U86" s="67">
        <f t="shared" si="8"/>
        <v>42087.81</v>
      </c>
    </row>
    <row r="87" spans="1:24" x14ac:dyDescent="0.25">
      <c r="A87" s="62" t="s">
        <v>227</v>
      </c>
      <c r="B87" s="8">
        <v>-590.9</v>
      </c>
      <c r="C87" s="8">
        <v>-45185.93</v>
      </c>
      <c r="D87" s="8"/>
      <c r="E87" s="8"/>
      <c r="F87" s="8"/>
      <c r="G87" s="67">
        <v>-45776.83</v>
      </c>
      <c r="P87" s="8">
        <v>-590.9</v>
      </c>
      <c r="Q87" s="8">
        <v>-45185.93</v>
      </c>
      <c r="R87" s="8"/>
      <c r="S87" s="8"/>
      <c r="T87" s="8"/>
      <c r="U87" s="67">
        <f t="shared" si="8"/>
        <v>-45776.83</v>
      </c>
    </row>
    <row r="88" spans="1:24" x14ac:dyDescent="0.25">
      <c r="A88" s="62" t="s">
        <v>228</v>
      </c>
      <c r="B88" s="8">
        <v>9250</v>
      </c>
      <c r="C88" s="8">
        <v>15494</v>
      </c>
      <c r="D88" s="8">
        <v>530</v>
      </c>
      <c r="E88" s="8"/>
      <c r="F88" s="8"/>
      <c r="G88" s="67">
        <v>25274</v>
      </c>
      <c r="P88" s="8">
        <v>9250</v>
      </c>
      <c r="Q88" s="8">
        <v>15494</v>
      </c>
      <c r="R88" s="8">
        <v>530</v>
      </c>
      <c r="S88" s="8"/>
      <c r="T88" s="8"/>
      <c r="U88" s="67">
        <f t="shared" si="8"/>
        <v>25274</v>
      </c>
    </row>
    <row r="89" spans="1:24" x14ac:dyDescent="0.25">
      <c r="A89" s="62" t="s">
        <v>37</v>
      </c>
      <c r="B89" s="12">
        <v>-18000</v>
      </c>
      <c r="C89" s="12">
        <v>-17000</v>
      </c>
      <c r="D89" s="8"/>
      <c r="E89" s="8"/>
      <c r="F89" s="8"/>
      <c r="G89" s="67">
        <v>-35000</v>
      </c>
      <c r="P89" s="12">
        <v>-18000</v>
      </c>
      <c r="Q89" s="12">
        <v>-17000</v>
      </c>
      <c r="R89" s="8"/>
      <c r="S89" s="8"/>
      <c r="T89" s="8"/>
      <c r="U89" s="67">
        <f t="shared" si="8"/>
        <v>-35000</v>
      </c>
    </row>
    <row r="90" spans="1:24" x14ac:dyDescent="0.25">
      <c r="A90" s="62" t="s">
        <v>229</v>
      </c>
      <c r="B90" s="8"/>
      <c r="C90" s="8"/>
      <c r="D90" s="8"/>
      <c r="E90" s="8"/>
      <c r="F90" s="8"/>
      <c r="G90" s="67">
        <v>0</v>
      </c>
      <c r="P90" s="8"/>
      <c r="Q90" s="8"/>
      <c r="R90" s="8"/>
      <c r="S90" s="8"/>
      <c r="T90" s="8"/>
      <c r="U90" s="67">
        <f t="shared" si="8"/>
        <v>0</v>
      </c>
    </row>
    <row r="91" spans="1:24" x14ac:dyDescent="0.25">
      <c r="A91" s="62" t="s">
        <v>234</v>
      </c>
      <c r="B91" s="85">
        <v>-4500</v>
      </c>
      <c r="C91" s="85"/>
      <c r="D91" s="85"/>
      <c r="E91" s="85"/>
      <c r="F91" s="85"/>
      <c r="G91" s="67">
        <v>-4500</v>
      </c>
      <c r="P91" s="85">
        <v>-4500</v>
      </c>
      <c r="Q91" s="85"/>
      <c r="R91" s="85"/>
      <c r="S91" s="85"/>
      <c r="T91" s="85"/>
      <c r="U91" s="67">
        <f t="shared" si="8"/>
        <v>-4500</v>
      </c>
      <c r="V91" s="56">
        <f>SUM(P92:T92)-U81</f>
        <v>-61274.996500574889</v>
      </c>
      <c r="W91" s="78">
        <f>U92-V91</f>
        <v>-8.1272446550428867E-9</v>
      </c>
      <c r="X91" s="56" t="s">
        <v>230</v>
      </c>
    </row>
    <row r="92" spans="1:24" x14ac:dyDescent="0.25">
      <c r="A92" s="62" t="s">
        <v>222</v>
      </c>
      <c r="B92" s="8">
        <v>-43092.807435090712</v>
      </c>
      <c r="C92" s="8">
        <v>-21643.806890480453</v>
      </c>
      <c r="D92" s="8">
        <v>-312.58239999967191</v>
      </c>
      <c r="E92" s="8">
        <v>1816.6412249997738</v>
      </c>
      <c r="F92" s="8">
        <v>-18895.860000000044</v>
      </c>
      <c r="G92" s="67">
        <v>-91176.735500579351</v>
      </c>
      <c r="P92" s="8">
        <f>+P82-SUM(P84:P91)</f>
        <v>-43092.807435090712</v>
      </c>
      <c r="Q92" s="8">
        <f t="shared" ref="Q92:T92" si="9">+Q82-SUM(Q84:Q91)</f>
        <v>8257.9321095157648</v>
      </c>
      <c r="R92" s="8">
        <f t="shared" si="9"/>
        <v>-312.58239999967191</v>
      </c>
      <c r="S92" s="8">
        <f t="shared" si="9"/>
        <v>1816.6412249997738</v>
      </c>
      <c r="T92" s="8">
        <f t="shared" si="9"/>
        <v>-18895.860000000044</v>
      </c>
      <c r="U92" s="67">
        <f>+U82-SUM(U84:U91)</f>
        <v>-61274.996500583016</v>
      </c>
      <c r="V92" s="56">
        <f>'[1]P&amp;L Compare to Hedge 2018'!$E$45</f>
        <v>-91176.724025141797</v>
      </c>
      <c r="W92" s="78">
        <f>U92-V92</f>
        <v>29901.727524558781</v>
      </c>
      <c r="X92" s="57" t="s">
        <v>232</v>
      </c>
    </row>
    <row r="93" spans="1:24" ht="15.75" thickBot="1" x14ac:dyDescent="0.3">
      <c r="A93" s="80" t="s">
        <v>231</v>
      </c>
      <c r="B93" s="87"/>
      <c r="C93" s="87"/>
      <c r="D93" s="87"/>
      <c r="E93" s="87"/>
      <c r="F93" s="87"/>
      <c r="G93" s="88"/>
      <c r="P93" s="87"/>
      <c r="Q93" s="87"/>
      <c r="R93" s="87"/>
      <c r="S93" s="87"/>
      <c r="T93" s="87"/>
      <c r="U93" s="88"/>
    </row>
    <row r="94" spans="1:24" ht="14.45" hidden="1" customHeight="1" x14ac:dyDescent="0.25">
      <c r="A94" s="116" t="s">
        <v>210</v>
      </c>
      <c r="D94" s="57"/>
      <c r="E94" s="57"/>
      <c r="F94" s="57"/>
      <c r="G94" s="57"/>
      <c r="P94" s="57"/>
      <c r="Q94" s="57"/>
      <c r="R94" s="57"/>
      <c r="S94" s="57"/>
      <c r="T94" s="57"/>
      <c r="U94" s="57"/>
    </row>
    <row r="95" spans="1:24" ht="14.45" hidden="1" customHeight="1" x14ac:dyDescent="0.25">
      <c r="A95" s="117" t="s">
        <v>211</v>
      </c>
      <c r="D95" s="57"/>
      <c r="E95" s="57"/>
      <c r="F95" s="57"/>
      <c r="G95" s="57"/>
      <c r="P95" s="57"/>
      <c r="Q95" s="57"/>
      <c r="R95" s="57"/>
      <c r="S95" s="57"/>
      <c r="T95" s="57"/>
      <c r="U95" s="57"/>
    </row>
    <row r="96" spans="1:24" ht="14.45" hidden="1" customHeight="1" x14ac:dyDescent="0.25">
      <c r="A96" s="118">
        <v>43251</v>
      </c>
      <c r="D96" s="57"/>
      <c r="E96" s="57"/>
      <c r="F96" s="57"/>
      <c r="G96" s="57"/>
      <c r="P96" s="57"/>
      <c r="Q96" s="57"/>
      <c r="R96" s="57"/>
      <c r="S96" s="57"/>
      <c r="T96" s="57"/>
      <c r="U96" s="57"/>
    </row>
    <row r="97" spans="1:22" s="66" customFormat="1" hidden="1" x14ac:dyDescent="0.25">
      <c r="A97" s="59"/>
      <c r="B97" s="60"/>
      <c r="C97" s="60"/>
      <c r="D97" s="60"/>
      <c r="E97" s="60"/>
      <c r="F97" s="60"/>
      <c r="G97" s="61"/>
      <c r="P97" s="60"/>
      <c r="Q97" s="60"/>
      <c r="R97" s="60"/>
      <c r="S97" s="60"/>
      <c r="T97" s="60"/>
      <c r="U97" s="61"/>
      <c r="V97" s="65"/>
    </row>
    <row r="98" spans="1:22" hidden="1" x14ac:dyDescent="0.25">
      <c r="A98" s="62"/>
      <c r="B98" s="63" t="s">
        <v>212</v>
      </c>
      <c r="C98" s="63" t="s">
        <v>213</v>
      </c>
      <c r="D98" s="63" t="s">
        <v>214</v>
      </c>
      <c r="E98" s="63" t="s">
        <v>215</v>
      </c>
      <c r="F98" s="63" t="s">
        <v>216</v>
      </c>
      <c r="G98" s="64" t="s">
        <v>217</v>
      </c>
      <c r="P98" s="63" t="s">
        <v>212</v>
      </c>
      <c r="Q98" s="63" t="s">
        <v>213</v>
      </c>
      <c r="R98" s="63" t="s">
        <v>214</v>
      </c>
      <c r="S98" s="63" t="s">
        <v>215</v>
      </c>
      <c r="T98" s="63" t="s">
        <v>216</v>
      </c>
      <c r="U98" s="64" t="s">
        <v>217</v>
      </c>
    </row>
    <row r="99" spans="1:22" hidden="1" x14ac:dyDescent="0.25">
      <c r="A99" s="62" t="s">
        <v>63</v>
      </c>
      <c r="B99" s="2"/>
      <c r="C99" s="2"/>
      <c r="D99" s="2"/>
      <c r="E99" s="2"/>
      <c r="F99" s="2"/>
      <c r="G99" s="67">
        <v>0</v>
      </c>
      <c r="P99" s="2"/>
      <c r="Q99" s="2"/>
      <c r="R99" s="2"/>
      <c r="S99" s="2"/>
      <c r="T99" s="2"/>
      <c r="U99" s="67">
        <f>SUM(P99:T99)</f>
        <v>0</v>
      </c>
    </row>
    <row r="100" spans="1:22" hidden="1" x14ac:dyDescent="0.25">
      <c r="A100" s="62" t="s">
        <v>218</v>
      </c>
      <c r="B100" s="2"/>
      <c r="C100" s="2"/>
      <c r="D100" s="2"/>
      <c r="E100" s="2"/>
      <c r="F100" s="2"/>
      <c r="G100" s="67">
        <v>0</v>
      </c>
      <c r="P100" s="2"/>
      <c r="Q100" s="2"/>
      <c r="R100" s="2"/>
      <c r="S100" s="2"/>
      <c r="T100" s="2"/>
      <c r="U100" s="67">
        <f>SUM(P100:T100)</f>
        <v>0</v>
      </c>
    </row>
    <row r="101" spans="1:22" hidden="1" x14ac:dyDescent="0.25">
      <c r="A101" s="62" t="s">
        <v>219</v>
      </c>
      <c r="B101" s="2"/>
      <c r="C101" s="2"/>
      <c r="D101" s="2"/>
      <c r="E101" s="2"/>
      <c r="F101" s="2"/>
      <c r="G101" s="67">
        <v>0</v>
      </c>
      <c r="P101" s="2"/>
      <c r="Q101" s="2"/>
      <c r="R101" s="2"/>
      <c r="S101" s="2"/>
      <c r="T101" s="2"/>
      <c r="U101" s="67">
        <f>SUM(P101:T101)</f>
        <v>0</v>
      </c>
    </row>
    <row r="102" spans="1:22" hidden="1" x14ac:dyDescent="0.25">
      <c r="A102" s="62" t="s">
        <v>220</v>
      </c>
      <c r="B102" s="2"/>
      <c r="C102" s="2"/>
      <c r="D102" s="2"/>
      <c r="E102" s="2"/>
      <c r="F102" s="2"/>
      <c r="G102" s="67">
        <v>0</v>
      </c>
      <c r="P102" s="2"/>
      <c r="Q102" s="2"/>
      <c r="R102" s="2"/>
      <c r="S102" s="2"/>
      <c r="T102" s="2"/>
      <c r="U102" s="67">
        <f>SUM(P102:T102)</f>
        <v>0</v>
      </c>
    </row>
    <row r="103" spans="1:22" hidden="1" x14ac:dyDescent="0.25">
      <c r="A103" s="62" t="s">
        <v>221</v>
      </c>
      <c r="B103" s="12"/>
      <c r="C103" s="12"/>
      <c r="D103" s="75"/>
      <c r="E103" s="75"/>
      <c r="F103" s="75"/>
      <c r="G103" s="67">
        <v>0</v>
      </c>
      <c r="P103" s="12"/>
      <c r="Q103" s="12"/>
      <c r="R103" s="75"/>
      <c r="S103" s="75"/>
      <c r="T103" s="75"/>
      <c r="U103" s="67">
        <f>SUM(P103:T103)</f>
        <v>0</v>
      </c>
    </row>
    <row r="104" spans="1:22" ht="15.75" hidden="1" thickBot="1" x14ac:dyDescent="0.3">
      <c r="A104" s="62" t="s">
        <v>223</v>
      </c>
      <c r="B104" s="82"/>
      <c r="C104" s="82"/>
      <c r="D104" s="82"/>
      <c r="E104" s="82"/>
      <c r="F104" s="82"/>
      <c r="G104" s="83"/>
      <c r="P104" s="82"/>
      <c r="Q104" s="82"/>
      <c r="R104" s="82"/>
      <c r="S104" s="82"/>
      <c r="T104" s="82"/>
      <c r="U104" s="83"/>
    </row>
    <row r="105" spans="1:22" ht="15.75" hidden="1" thickBot="1" x14ac:dyDescent="0.3">
      <c r="A105" s="62"/>
      <c r="B105" s="84">
        <v>0</v>
      </c>
      <c r="C105" s="84">
        <v>0</v>
      </c>
      <c r="D105" s="84">
        <v>0</v>
      </c>
      <c r="E105" s="84">
        <v>0</v>
      </c>
      <c r="F105" s="84">
        <v>0</v>
      </c>
      <c r="G105" s="74">
        <v>0</v>
      </c>
      <c r="P105" s="84">
        <f>+P99-P100-P101-P102-P103</f>
        <v>0</v>
      </c>
      <c r="Q105" s="84">
        <f>+Q99-Q100-Q101-Q102-Q103</f>
        <v>0</v>
      </c>
      <c r="R105" s="84">
        <f>+R99-R100-R101-R102-R103</f>
        <v>0</v>
      </c>
      <c r="S105" s="84">
        <f>+S99-S100-S101-S102-S103</f>
        <v>0</v>
      </c>
      <c r="T105" s="84">
        <f>+T99-T100-T101-T102-T103</f>
        <v>0</v>
      </c>
      <c r="U105" s="74">
        <f>+U99-U100-U101-U102-U103-U104</f>
        <v>0</v>
      </c>
    </row>
    <row r="106" spans="1:22" hidden="1" x14ac:dyDescent="0.25">
      <c r="A106" s="62"/>
      <c r="B106" s="85"/>
      <c r="C106" s="85"/>
      <c r="D106" s="85"/>
      <c r="E106" s="85"/>
      <c r="F106" s="85"/>
      <c r="G106" s="67"/>
      <c r="P106" s="85"/>
      <c r="Q106" s="85"/>
      <c r="R106" s="85"/>
      <c r="S106" s="85"/>
      <c r="T106" s="85"/>
      <c r="U106" s="67"/>
    </row>
    <row r="107" spans="1:22" hidden="1" x14ac:dyDescent="0.25">
      <c r="A107" s="62" t="s">
        <v>224</v>
      </c>
      <c r="B107" s="85"/>
      <c r="C107" s="85"/>
      <c r="D107" s="85"/>
      <c r="E107" s="85"/>
      <c r="F107" s="85"/>
      <c r="G107" s="67">
        <v>0</v>
      </c>
      <c r="P107" s="85"/>
      <c r="Q107" s="85"/>
      <c r="R107" s="85"/>
      <c r="S107" s="85"/>
      <c r="T107" s="85"/>
      <c r="U107" s="67">
        <f t="shared" ref="U107:U113" si="10">SUM(P107:T107)</f>
        <v>0</v>
      </c>
    </row>
    <row r="108" spans="1:22" hidden="1" x14ac:dyDescent="0.25">
      <c r="A108" s="62" t="s">
        <v>225</v>
      </c>
      <c r="B108" s="8"/>
      <c r="C108" s="8"/>
      <c r="D108" s="8"/>
      <c r="E108" s="8"/>
      <c r="F108" s="8"/>
      <c r="G108" s="67">
        <v>0</v>
      </c>
      <c r="P108" s="8"/>
      <c r="Q108" s="8"/>
      <c r="R108" s="8"/>
      <c r="S108" s="8"/>
      <c r="T108" s="8"/>
      <c r="U108" s="67">
        <f t="shared" si="10"/>
        <v>0</v>
      </c>
    </row>
    <row r="109" spans="1:22" hidden="1" x14ac:dyDescent="0.25">
      <c r="A109" s="62" t="s">
        <v>226</v>
      </c>
      <c r="B109" s="8"/>
      <c r="C109" s="8"/>
      <c r="D109" s="8"/>
      <c r="E109" s="8"/>
      <c r="F109" s="8"/>
      <c r="G109" s="67">
        <v>0</v>
      </c>
      <c r="P109" s="8"/>
      <c r="Q109" s="8"/>
      <c r="R109" s="8"/>
      <c r="S109" s="8"/>
      <c r="T109" s="8"/>
      <c r="U109" s="67">
        <f t="shared" si="10"/>
        <v>0</v>
      </c>
    </row>
    <row r="110" spans="1:22" hidden="1" x14ac:dyDescent="0.25">
      <c r="A110" s="62" t="s">
        <v>227</v>
      </c>
      <c r="B110" s="8"/>
      <c r="C110" s="8"/>
      <c r="D110" s="8"/>
      <c r="E110" s="8"/>
      <c r="F110" s="8"/>
      <c r="G110" s="67">
        <v>0</v>
      </c>
      <c r="P110" s="8"/>
      <c r="Q110" s="8"/>
      <c r="R110" s="8"/>
      <c r="S110" s="8"/>
      <c r="T110" s="8"/>
      <c r="U110" s="67">
        <f t="shared" si="10"/>
        <v>0</v>
      </c>
    </row>
    <row r="111" spans="1:22" hidden="1" x14ac:dyDescent="0.25">
      <c r="A111" s="62" t="s">
        <v>228</v>
      </c>
      <c r="B111" s="8"/>
      <c r="C111" s="8"/>
      <c r="D111" s="8"/>
      <c r="E111" s="8"/>
      <c r="F111" s="8"/>
      <c r="G111" s="67">
        <v>0</v>
      </c>
      <c r="P111" s="8"/>
      <c r="Q111" s="8"/>
      <c r="R111" s="8"/>
      <c r="S111" s="8"/>
      <c r="T111" s="8"/>
      <c r="U111" s="67">
        <f t="shared" si="10"/>
        <v>0</v>
      </c>
    </row>
    <row r="112" spans="1:22" hidden="1" x14ac:dyDescent="0.25">
      <c r="A112" s="62" t="s">
        <v>37</v>
      </c>
      <c r="B112" s="8"/>
      <c r="C112" s="8"/>
      <c r="D112" s="8"/>
      <c r="E112" s="8"/>
      <c r="F112" s="8"/>
      <c r="G112" s="67">
        <v>0</v>
      </c>
      <c r="P112" s="8"/>
      <c r="Q112" s="8"/>
      <c r="R112" s="8"/>
      <c r="S112" s="8"/>
      <c r="T112" s="8"/>
      <c r="U112" s="67">
        <f t="shared" si="10"/>
        <v>0</v>
      </c>
    </row>
    <row r="113" spans="1:24" hidden="1" x14ac:dyDescent="0.25">
      <c r="A113" s="62" t="s">
        <v>229</v>
      </c>
      <c r="B113" s="8"/>
      <c r="C113" s="8"/>
      <c r="D113" s="8"/>
      <c r="E113" s="8"/>
      <c r="F113" s="8"/>
      <c r="G113" s="67">
        <v>0</v>
      </c>
      <c r="P113" s="8"/>
      <c r="Q113" s="8"/>
      <c r="R113" s="8"/>
      <c r="S113" s="8"/>
      <c r="T113" s="8"/>
      <c r="U113" s="67">
        <f t="shared" si="10"/>
        <v>0</v>
      </c>
    </row>
    <row r="114" spans="1:24" hidden="1" x14ac:dyDescent="0.25">
      <c r="A114" s="62"/>
      <c r="B114" s="85"/>
      <c r="C114" s="85"/>
      <c r="D114" s="85"/>
      <c r="E114" s="85"/>
      <c r="F114" s="85"/>
      <c r="G114" s="67"/>
      <c r="P114" s="85"/>
      <c r="Q114" s="85"/>
      <c r="R114" s="85"/>
      <c r="S114" s="85"/>
      <c r="T114" s="85"/>
      <c r="U114" s="67"/>
      <c r="V114" s="56">
        <f>SUM(P115:T115)-U104</f>
        <v>0</v>
      </c>
      <c r="W114" s="78">
        <f>U115-V114</f>
        <v>0</v>
      </c>
      <c r="X114" s="56" t="s">
        <v>230</v>
      </c>
    </row>
    <row r="115" spans="1:24" hidden="1" x14ac:dyDescent="0.25">
      <c r="A115" s="62" t="s">
        <v>222</v>
      </c>
      <c r="B115" s="86"/>
      <c r="C115" s="86"/>
      <c r="D115" s="86"/>
      <c r="E115" s="86"/>
      <c r="F115" s="86"/>
      <c r="G115" s="90">
        <v>0</v>
      </c>
      <c r="P115" s="86"/>
      <c r="Q115" s="86"/>
      <c r="R115" s="86"/>
      <c r="S115" s="86"/>
      <c r="T115" s="86"/>
      <c r="U115" s="90">
        <f>+U105-U107-U108-U109-U110-U113-U111-U112</f>
        <v>0</v>
      </c>
      <c r="W115" s="78">
        <f>U115-V115</f>
        <v>0</v>
      </c>
      <c r="X115" s="57" t="s">
        <v>232</v>
      </c>
    </row>
    <row r="116" spans="1:24" ht="15.75" hidden="1" thickBot="1" x14ac:dyDescent="0.3">
      <c r="A116" s="80" t="s">
        <v>231</v>
      </c>
      <c r="B116" s="87"/>
      <c r="C116" s="87"/>
      <c r="D116" s="87"/>
      <c r="E116" s="87"/>
      <c r="F116" s="87"/>
      <c r="G116" s="88"/>
      <c r="P116" s="87"/>
      <c r="Q116" s="87"/>
      <c r="R116" s="87"/>
      <c r="S116" s="87"/>
      <c r="T116" s="87"/>
      <c r="U116" s="88"/>
    </row>
    <row r="117" spans="1:24" ht="14.45" hidden="1" customHeight="1" x14ac:dyDescent="0.25">
      <c r="A117" s="116" t="s">
        <v>210</v>
      </c>
      <c r="D117" s="57"/>
      <c r="E117" s="57"/>
      <c r="F117" s="57"/>
      <c r="G117" s="57"/>
      <c r="P117" s="57"/>
      <c r="Q117" s="57"/>
      <c r="R117" s="57"/>
      <c r="S117" s="57"/>
      <c r="T117" s="57"/>
      <c r="U117" s="57"/>
    </row>
    <row r="118" spans="1:24" ht="14.45" hidden="1" customHeight="1" x14ac:dyDescent="0.25">
      <c r="A118" s="117" t="s">
        <v>211</v>
      </c>
      <c r="D118" s="57"/>
      <c r="E118" s="57"/>
      <c r="F118" s="57"/>
      <c r="G118" s="57"/>
      <c r="P118" s="57"/>
      <c r="Q118" s="57"/>
      <c r="R118" s="57"/>
      <c r="S118" s="57"/>
      <c r="T118" s="57"/>
      <c r="U118" s="57"/>
    </row>
    <row r="119" spans="1:24" ht="14.45" hidden="1" customHeight="1" x14ac:dyDescent="0.25">
      <c r="A119" s="118">
        <v>43281</v>
      </c>
      <c r="D119" s="57"/>
      <c r="E119" s="57"/>
      <c r="F119" s="57"/>
      <c r="G119" s="57"/>
      <c r="P119" s="57"/>
      <c r="Q119" s="57"/>
      <c r="R119" s="57"/>
      <c r="S119" s="57"/>
      <c r="T119" s="57"/>
      <c r="U119" s="57"/>
    </row>
    <row r="120" spans="1:24" s="66" customFormat="1" hidden="1" x14ac:dyDescent="0.25">
      <c r="A120" s="59"/>
      <c r="B120" s="60"/>
      <c r="C120" s="60"/>
      <c r="D120" s="60"/>
      <c r="E120" s="60"/>
      <c r="F120" s="60"/>
      <c r="G120" s="61"/>
      <c r="P120" s="60"/>
      <c r="Q120" s="60"/>
      <c r="R120" s="60"/>
      <c r="S120" s="60"/>
      <c r="T120" s="60"/>
      <c r="U120" s="61"/>
      <c r="V120" s="65"/>
    </row>
    <row r="121" spans="1:24" hidden="1" x14ac:dyDescent="0.25">
      <c r="A121" s="62"/>
      <c r="B121" s="63" t="s">
        <v>212</v>
      </c>
      <c r="C121" s="63" t="s">
        <v>213</v>
      </c>
      <c r="D121" s="63" t="s">
        <v>214</v>
      </c>
      <c r="E121" s="63" t="s">
        <v>215</v>
      </c>
      <c r="F121" s="63" t="s">
        <v>216</v>
      </c>
      <c r="G121" s="64" t="s">
        <v>217</v>
      </c>
      <c r="P121" s="63" t="s">
        <v>212</v>
      </c>
      <c r="Q121" s="63" t="s">
        <v>213</v>
      </c>
      <c r="R121" s="63" t="s">
        <v>214</v>
      </c>
      <c r="S121" s="63" t="s">
        <v>215</v>
      </c>
      <c r="T121" s="63" t="s">
        <v>216</v>
      </c>
      <c r="U121" s="64" t="s">
        <v>217</v>
      </c>
    </row>
    <row r="122" spans="1:24" hidden="1" x14ac:dyDescent="0.25">
      <c r="A122" s="62" t="s">
        <v>63</v>
      </c>
      <c r="B122" s="2"/>
      <c r="C122" s="2"/>
      <c r="D122" s="2"/>
      <c r="E122" s="2"/>
      <c r="F122" s="2"/>
      <c r="G122" s="67">
        <v>0</v>
      </c>
      <c r="P122" s="2"/>
      <c r="Q122" s="2"/>
      <c r="R122" s="2"/>
      <c r="S122" s="2"/>
      <c r="T122" s="2"/>
      <c r="U122" s="67">
        <f>SUM(P122:T122)</f>
        <v>0</v>
      </c>
    </row>
    <row r="123" spans="1:24" hidden="1" x14ac:dyDescent="0.25">
      <c r="A123" s="62" t="s">
        <v>218</v>
      </c>
      <c r="B123" s="2"/>
      <c r="C123" s="2"/>
      <c r="D123" s="2"/>
      <c r="E123" s="2"/>
      <c r="F123" s="2"/>
      <c r="G123" s="67">
        <v>0</v>
      </c>
      <c r="P123" s="2"/>
      <c r="Q123" s="2"/>
      <c r="R123" s="2"/>
      <c r="S123" s="2"/>
      <c r="T123" s="2"/>
      <c r="U123" s="67">
        <f>SUM(P123:T123)</f>
        <v>0</v>
      </c>
    </row>
    <row r="124" spans="1:24" hidden="1" x14ac:dyDescent="0.25">
      <c r="A124" s="62" t="s">
        <v>219</v>
      </c>
      <c r="B124" s="2"/>
      <c r="C124" s="2"/>
      <c r="D124" s="2"/>
      <c r="E124" s="2"/>
      <c r="F124" s="2"/>
      <c r="G124" s="67">
        <v>0</v>
      </c>
      <c r="P124" s="2"/>
      <c r="Q124" s="2"/>
      <c r="R124" s="2"/>
      <c r="S124" s="2"/>
      <c r="T124" s="2"/>
      <c r="U124" s="67">
        <f>SUM(P124:T124)</f>
        <v>0</v>
      </c>
    </row>
    <row r="125" spans="1:24" hidden="1" x14ac:dyDescent="0.25">
      <c r="A125" s="62" t="s">
        <v>220</v>
      </c>
      <c r="B125" s="2"/>
      <c r="C125" s="2"/>
      <c r="D125" s="2"/>
      <c r="E125" s="2"/>
      <c r="F125" s="2"/>
      <c r="G125" s="67">
        <v>0</v>
      </c>
      <c r="P125" s="2"/>
      <c r="Q125" s="2"/>
      <c r="R125" s="2"/>
      <c r="S125" s="2"/>
      <c r="T125" s="2"/>
      <c r="U125" s="67">
        <f>SUM(P125:T125)</f>
        <v>0</v>
      </c>
    </row>
    <row r="126" spans="1:24" hidden="1" x14ac:dyDescent="0.25">
      <c r="A126" s="62" t="s">
        <v>221</v>
      </c>
      <c r="B126" s="12"/>
      <c r="C126" s="12"/>
      <c r="D126" s="75"/>
      <c r="E126" s="75"/>
      <c r="F126" s="75"/>
      <c r="G126" s="67">
        <v>0</v>
      </c>
      <c r="P126" s="12"/>
      <c r="Q126" s="12"/>
      <c r="R126" s="75"/>
      <c r="S126" s="75"/>
      <c r="T126" s="75"/>
      <c r="U126" s="67">
        <f>SUM(P126:T126)</f>
        <v>0</v>
      </c>
    </row>
    <row r="127" spans="1:24" ht="15.75" hidden="1" thickBot="1" x14ac:dyDescent="0.3">
      <c r="A127" s="62" t="s">
        <v>223</v>
      </c>
      <c r="B127" s="82"/>
      <c r="C127" s="82"/>
      <c r="D127" s="82"/>
      <c r="E127" s="82"/>
      <c r="F127" s="82"/>
      <c r="G127" s="83"/>
      <c r="P127" s="82"/>
      <c r="Q127" s="82"/>
      <c r="R127" s="82"/>
      <c r="S127" s="82"/>
      <c r="T127" s="82"/>
      <c r="U127" s="83"/>
    </row>
    <row r="128" spans="1:24" ht="15.75" hidden="1" thickBot="1" x14ac:dyDescent="0.3">
      <c r="A128" s="62"/>
      <c r="B128" s="84">
        <v>0</v>
      </c>
      <c r="C128" s="84">
        <v>0</v>
      </c>
      <c r="D128" s="84">
        <v>0</v>
      </c>
      <c r="E128" s="84">
        <v>0</v>
      </c>
      <c r="F128" s="84">
        <v>0</v>
      </c>
      <c r="G128" s="74">
        <v>0</v>
      </c>
      <c r="P128" s="84">
        <f>+P122-P123-P124-P125-P126</f>
        <v>0</v>
      </c>
      <c r="Q128" s="84">
        <f>+Q122-Q123-Q124-Q125-Q126</f>
        <v>0</v>
      </c>
      <c r="R128" s="84">
        <f>+R122-R123-R124-R125-R126</f>
        <v>0</v>
      </c>
      <c r="S128" s="84">
        <f>+S122-S123-S124-S125-S126</f>
        <v>0</v>
      </c>
      <c r="T128" s="84">
        <f>+T122-T123-T124-T125-T126</f>
        <v>0</v>
      </c>
      <c r="U128" s="74">
        <f>+U122-U123-U124-U125-U126-U127</f>
        <v>0</v>
      </c>
    </row>
    <row r="129" spans="1:24" hidden="1" x14ac:dyDescent="0.25">
      <c r="A129" s="62"/>
      <c r="B129" s="85"/>
      <c r="C129" s="85"/>
      <c r="D129" s="85"/>
      <c r="E129" s="85"/>
      <c r="F129" s="85"/>
      <c r="G129" s="67"/>
      <c r="P129" s="85"/>
      <c r="Q129" s="85"/>
      <c r="R129" s="85"/>
      <c r="S129" s="85"/>
      <c r="T129" s="85"/>
      <c r="U129" s="67"/>
    </row>
    <row r="130" spans="1:24" hidden="1" x14ac:dyDescent="0.25">
      <c r="A130" s="62" t="s">
        <v>224</v>
      </c>
      <c r="B130" s="85"/>
      <c r="C130" s="85"/>
      <c r="D130" s="85"/>
      <c r="E130" s="85"/>
      <c r="F130" s="85"/>
      <c r="G130" s="67">
        <v>0</v>
      </c>
      <c r="P130" s="85"/>
      <c r="Q130" s="85"/>
      <c r="R130" s="85"/>
      <c r="S130" s="85"/>
      <c r="T130" s="85"/>
      <c r="U130" s="67">
        <f t="shared" ref="U130:U136" si="11">SUM(P130:T130)</f>
        <v>0</v>
      </c>
    </row>
    <row r="131" spans="1:24" hidden="1" x14ac:dyDescent="0.25">
      <c r="A131" s="62" t="s">
        <v>225</v>
      </c>
      <c r="B131" s="8"/>
      <c r="C131" s="8"/>
      <c r="D131" s="8"/>
      <c r="E131" s="8"/>
      <c r="F131" s="8"/>
      <c r="G131" s="67">
        <v>0</v>
      </c>
      <c r="P131" s="8"/>
      <c r="Q131" s="8"/>
      <c r="R131" s="8"/>
      <c r="S131" s="8"/>
      <c r="T131" s="8"/>
      <c r="U131" s="67">
        <f t="shared" si="11"/>
        <v>0</v>
      </c>
    </row>
    <row r="132" spans="1:24" hidden="1" x14ac:dyDescent="0.25">
      <c r="A132" s="62" t="s">
        <v>226</v>
      </c>
      <c r="B132" s="8"/>
      <c r="C132" s="8"/>
      <c r="D132" s="8"/>
      <c r="E132" s="8"/>
      <c r="F132" s="8"/>
      <c r="G132" s="67">
        <v>0</v>
      </c>
      <c r="P132" s="8"/>
      <c r="Q132" s="8"/>
      <c r="R132" s="8"/>
      <c r="S132" s="8"/>
      <c r="T132" s="8"/>
      <c r="U132" s="67">
        <f t="shared" si="11"/>
        <v>0</v>
      </c>
    </row>
    <row r="133" spans="1:24" hidden="1" x14ac:dyDescent="0.25">
      <c r="A133" s="62" t="s">
        <v>227</v>
      </c>
      <c r="B133" s="8"/>
      <c r="C133" s="8"/>
      <c r="D133" s="8"/>
      <c r="E133" s="8"/>
      <c r="F133" s="8"/>
      <c r="G133" s="67">
        <v>0</v>
      </c>
      <c r="P133" s="8"/>
      <c r="Q133" s="8"/>
      <c r="R133" s="8"/>
      <c r="S133" s="8"/>
      <c r="T133" s="8"/>
      <c r="U133" s="67">
        <f t="shared" si="11"/>
        <v>0</v>
      </c>
    </row>
    <row r="134" spans="1:24" hidden="1" x14ac:dyDescent="0.25">
      <c r="A134" s="62" t="s">
        <v>228</v>
      </c>
      <c r="B134" s="8"/>
      <c r="C134" s="8"/>
      <c r="D134" s="8"/>
      <c r="E134" s="8"/>
      <c r="F134" s="8"/>
      <c r="G134" s="67">
        <v>0</v>
      </c>
      <c r="P134" s="8"/>
      <c r="Q134" s="8"/>
      <c r="R134" s="8"/>
      <c r="S134" s="8"/>
      <c r="T134" s="8"/>
      <c r="U134" s="67">
        <f t="shared" si="11"/>
        <v>0</v>
      </c>
    </row>
    <row r="135" spans="1:24" hidden="1" x14ac:dyDescent="0.25">
      <c r="A135" s="62" t="s">
        <v>37</v>
      </c>
      <c r="B135" s="8"/>
      <c r="C135" s="8"/>
      <c r="D135" s="8"/>
      <c r="E135" s="8"/>
      <c r="F135" s="8"/>
      <c r="G135" s="67">
        <v>0</v>
      </c>
      <c r="P135" s="8"/>
      <c r="Q135" s="8"/>
      <c r="R135" s="8"/>
      <c r="S135" s="8"/>
      <c r="T135" s="8"/>
      <c r="U135" s="67">
        <f t="shared" si="11"/>
        <v>0</v>
      </c>
    </row>
    <row r="136" spans="1:24" hidden="1" x14ac:dyDescent="0.25">
      <c r="A136" s="62" t="s">
        <v>229</v>
      </c>
      <c r="B136" s="8"/>
      <c r="C136" s="8"/>
      <c r="D136" s="8"/>
      <c r="E136" s="8"/>
      <c r="F136" s="8"/>
      <c r="G136" s="67">
        <v>0</v>
      </c>
      <c r="P136" s="8"/>
      <c r="Q136" s="8"/>
      <c r="R136" s="8"/>
      <c r="S136" s="8"/>
      <c r="T136" s="8"/>
      <c r="U136" s="67">
        <f t="shared" si="11"/>
        <v>0</v>
      </c>
    </row>
    <row r="137" spans="1:24" hidden="1" x14ac:dyDescent="0.25">
      <c r="A137" s="62"/>
      <c r="B137" s="85"/>
      <c r="C137" s="85"/>
      <c r="D137" s="85"/>
      <c r="E137" s="85"/>
      <c r="F137" s="85"/>
      <c r="G137" s="67"/>
      <c r="P137" s="85"/>
      <c r="Q137" s="85"/>
      <c r="R137" s="85"/>
      <c r="S137" s="85"/>
      <c r="T137" s="85"/>
      <c r="U137" s="67"/>
      <c r="V137" s="56">
        <f>SUM(P138:T138)-U127</f>
        <v>0</v>
      </c>
      <c r="W137" s="78">
        <f>U138-V137</f>
        <v>0</v>
      </c>
      <c r="X137" s="56" t="s">
        <v>230</v>
      </c>
    </row>
    <row r="138" spans="1:24" hidden="1" x14ac:dyDescent="0.25">
      <c r="A138" s="62" t="s">
        <v>222</v>
      </c>
      <c r="B138" s="86"/>
      <c r="C138" s="86"/>
      <c r="D138" s="86"/>
      <c r="E138" s="86"/>
      <c r="F138" s="86"/>
      <c r="G138" s="90">
        <v>0</v>
      </c>
      <c r="P138" s="86"/>
      <c r="Q138" s="86"/>
      <c r="R138" s="86"/>
      <c r="S138" s="86"/>
      <c r="T138" s="86"/>
      <c r="U138" s="90">
        <f>+U128-U130-U131-U132-U133-U136-U134-U135</f>
        <v>0</v>
      </c>
      <c r="W138" s="78">
        <f>U138-V138</f>
        <v>0</v>
      </c>
      <c r="X138" s="57" t="s">
        <v>232</v>
      </c>
    </row>
    <row r="139" spans="1:24" ht="15.75" hidden="1" thickBot="1" x14ac:dyDescent="0.3">
      <c r="A139" s="80" t="s">
        <v>231</v>
      </c>
      <c r="B139" s="87"/>
      <c r="C139" s="87"/>
      <c r="D139" s="87"/>
      <c r="E139" s="87"/>
      <c r="F139" s="87"/>
      <c r="G139" s="88"/>
      <c r="P139" s="87"/>
      <c r="Q139" s="87"/>
      <c r="R139" s="87"/>
      <c r="S139" s="87"/>
      <c r="T139" s="87"/>
      <c r="U139" s="88"/>
    </row>
    <row r="140" spans="1:24" ht="14.45" hidden="1" customHeight="1" x14ac:dyDescent="0.25">
      <c r="A140" s="116" t="s">
        <v>210</v>
      </c>
      <c r="D140" s="57"/>
      <c r="E140" s="57"/>
      <c r="F140" s="57"/>
      <c r="G140" s="57"/>
      <c r="P140" s="57"/>
      <c r="Q140" s="57"/>
      <c r="R140" s="57"/>
      <c r="S140" s="57"/>
      <c r="T140" s="57"/>
      <c r="U140" s="57"/>
    </row>
    <row r="141" spans="1:24" ht="14.45" hidden="1" customHeight="1" x14ac:dyDescent="0.25">
      <c r="A141" s="117" t="s">
        <v>211</v>
      </c>
      <c r="D141" s="57"/>
      <c r="E141" s="57"/>
      <c r="F141" s="57"/>
      <c r="G141" s="57"/>
      <c r="P141" s="57"/>
      <c r="Q141" s="57"/>
      <c r="R141" s="57"/>
      <c r="S141" s="57"/>
      <c r="T141" s="57"/>
      <c r="U141" s="57"/>
    </row>
    <row r="142" spans="1:24" ht="14.45" hidden="1" customHeight="1" x14ac:dyDescent="0.25">
      <c r="A142" s="118">
        <v>43312</v>
      </c>
      <c r="D142" s="57"/>
      <c r="E142" s="57"/>
      <c r="F142" s="57"/>
      <c r="G142" s="57"/>
      <c r="P142" s="57"/>
      <c r="Q142" s="57"/>
      <c r="R142" s="57"/>
      <c r="S142" s="57"/>
      <c r="T142" s="57"/>
      <c r="U142" s="57"/>
    </row>
    <row r="143" spans="1:24" s="66" customFormat="1" hidden="1" x14ac:dyDescent="0.25">
      <c r="A143" s="59"/>
      <c r="B143" s="60"/>
      <c r="C143" s="60"/>
      <c r="D143" s="60"/>
      <c r="E143" s="60"/>
      <c r="F143" s="60"/>
      <c r="G143" s="61"/>
      <c r="P143" s="60"/>
      <c r="Q143" s="60"/>
      <c r="R143" s="60"/>
      <c r="S143" s="60"/>
      <c r="T143" s="60"/>
      <c r="U143" s="61"/>
      <c r="V143" s="65"/>
    </row>
    <row r="144" spans="1:24" hidden="1" x14ac:dyDescent="0.25">
      <c r="A144" s="62"/>
      <c r="B144" s="63" t="s">
        <v>212</v>
      </c>
      <c r="C144" s="63" t="s">
        <v>213</v>
      </c>
      <c r="D144" s="63" t="s">
        <v>214</v>
      </c>
      <c r="E144" s="63" t="s">
        <v>215</v>
      </c>
      <c r="F144" s="63" t="s">
        <v>216</v>
      </c>
      <c r="G144" s="64" t="s">
        <v>217</v>
      </c>
      <c r="P144" s="63" t="s">
        <v>212</v>
      </c>
      <c r="Q144" s="63" t="s">
        <v>213</v>
      </c>
      <c r="R144" s="63" t="s">
        <v>214</v>
      </c>
      <c r="S144" s="63" t="s">
        <v>215</v>
      </c>
      <c r="T144" s="63" t="s">
        <v>216</v>
      </c>
      <c r="U144" s="64" t="s">
        <v>217</v>
      </c>
    </row>
    <row r="145" spans="1:24" hidden="1" x14ac:dyDescent="0.25">
      <c r="A145" s="62" t="s">
        <v>63</v>
      </c>
      <c r="B145" s="2"/>
      <c r="C145" s="2"/>
      <c r="D145" s="2"/>
      <c r="E145" s="2"/>
      <c r="F145" s="2"/>
      <c r="G145" s="67">
        <v>0</v>
      </c>
      <c r="P145" s="2"/>
      <c r="Q145" s="2"/>
      <c r="R145" s="2"/>
      <c r="S145" s="2"/>
      <c r="T145" s="2"/>
      <c r="U145" s="67">
        <f>SUM(P145:T145)</f>
        <v>0</v>
      </c>
    </row>
    <row r="146" spans="1:24" hidden="1" x14ac:dyDescent="0.25">
      <c r="A146" s="62" t="s">
        <v>218</v>
      </c>
      <c r="B146" s="2"/>
      <c r="C146" s="2"/>
      <c r="D146" s="2"/>
      <c r="E146" s="2"/>
      <c r="F146" s="2"/>
      <c r="G146" s="67">
        <v>0</v>
      </c>
      <c r="P146" s="2"/>
      <c r="Q146" s="2"/>
      <c r="R146" s="2"/>
      <c r="S146" s="2"/>
      <c r="T146" s="2"/>
      <c r="U146" s="67">
        <f>SUM(P146:T146)</f>
        <v>0</v>
      </c>
    </row>
    <row r="147" spans="1:24" hidden="1" x14ac:dyDescent="0.25">
      <c r="A147" s="62" t="s">
        <v>219</v>
      </c>
      <c r="B147" s="2"/>
      <c r="C147" s="2"/>
      <c r="D147" s="2"/>
      <c r="E147" s="2"/>
      <c r="F147" s="2"/>
      <c r="G147" s="67">
        <v>0</v>
      </c>
      <c r="P147" s="2"/>
      <c r="Q147" s="2"/>
      <c r="R147" s="2"/>
      <c r="S147" s="2"/>
      <c r="T147" s="2"/>
      <c r="U147" s="67">
        <f>SUM(P147:T147)</f>
        <v>0</v>
      </c>
    </row>
    <row r="148" spans="1:24" hidden="1" x14ac:dyDescent="0.25">
      <c r="A148" s="62" t="s">
        <v>220</v>
      </c>
      <c r="B148" s="2"/>
      <c r="C148" s="2"/>
      <c r="D148" s="2"/>
      <c r="E148" s="2"/>
      <c r="F148" s="2"/>
      <c r="G148" s="67">
        <v>0</v>
      </c>
      <c r="P148" s="2"/>
      <c r="Q148" s="2"/>
      <c r="R148" s="2"/>
      <c r="S148" s="2"/>
      <c r="T148" s="2"/>
      <c r="U148" s="67">
        <f>SUM(P148:T148)</f>
        <v>0</v>
      </c>
    </row>
    <row r="149" spans="1:24" hidden="1" x14ac:dyDescent="0.25">
      <c r="A149" s="62" t="s">
        <v>221</v>
      </c>
      <c r="B149" s="12"/>
      <c r="C149" s="12"/>
      <c r="D149" s="75"/>
      <c r="E149" s="75"/>
      <c r="F149" s="75"/>
      <c r="G149" s="67">
        <v>0</v>
      </c>
      <c r="P149" s="12"/>
      <c r="Q149" s="12"/>
      <c r="R149" s="75"/>
      <c r="S149" s="75"/>
      <c r="T149" s="75"/>
      <c r="U149" s="67">
        <f>SUM(P149:T149)</f>
        <v>0</v>
      </c>
    </row>
    <row r="150" spans="1:24" ht="15.75" hidden="1" thickBot="1" x14ac:dyDescent="0.3">
      <c r="A150" s="62" t="s">
        <v>223</v>
      </c>
      <c r="B150" s="82"/>
      <c r="C150" s="82"/>
      <c r="D150" s="82"/>
      <c r="E150" s="82"/>
      <c r="F150" s="82"/>
      <c r="G150" s="83"/>
      <c r="P150" s="82"/>
      <c r="Q150" s="82"/>
      <c r="R150" s="82"/>
      <c r="S150" s="82"/>
      <c r="T150" s="82"/>
      <c r="U150" s="83"/>
    </row>
    <row r="151" spans="1:24" ht="15.75" hidden="1" thickBot="1" x14ac:dyDescent="0.3">
      <c r="A151" s="62"/>
      <c r="B151" s="84">
        <v>0</v>
      </c>
      <c r="C151" s="84">
        <v>0</v>
      </c>
      <c r="D151" s="84">
        <v>0</v>
      </c>
      <c r="E151" s="84">
        <v>0</v>
      </c>
      <c r="F151" s="84">
        <v>0</v>
      </c>
      <c r="G151" s="74">
        <v>0</v>
      </c>
      <c r="P151" s="84">
        <f>+P145-P146-P147-P148-P149</f>
        <v>0</v>
      </c>
      <c r="Q151" s="84">
        <f>+Q145-Q146-Q147-Q148-Q149</f>
        <v>0</v>
      </c>
      <c r="R151" s="84">
        <f>+R145-R146-R147-R148-R149</f>
        <v>0</v>
      </c>
      <c r="S151" s="84">
        <f>+S145-S146-S147-S148-S149</f>
        <v>0</v>
      </c>
      <c r="T151" s="84">
        <f>+T145-T146-T147-T148-T149</f>
        <v>0</v>
      </c>
      <c r="U151" s="74">
        <f>+U145-U146-U147-U148-U149-U150</f>
        <v>0</v>
      </c>
    </row>
    <row r="152" spans="1:24" hidden="1" x14ac:dyDescent="0.25">
      <c r="A152" s="62"/>
      <c r="B152" s="85"/>
      <c r="C152" s="85"/>
      <c r="D152" s="85"/>
      <c r="E152" s="85"/>
      <c r="F152" s="85"/>
      <c r="G152" s="67"/>
      <c r="P152" s="85"/>
      <c r="Q152" s="85"/>
      <c r="R152" s="85"/>
      <c r="S152" s="85"/>
      <c r="T152" s="85"/>
      <c r="U152" s="67"/>
    </row>
    <row r="153" spans="1:24" hidden="1" x14ac:dyDescent="0.25">
      <c r="A153" s="62" t="s">
        <v>224</v>
      </c>
      <c r="B153" s="85"/>
      <c r="C153" s="85"/>
      <c r="D153" s="85"/>
      <c r="E153" s="85"/>
      <c r="F153" s="85"/>
      <c r="G153" s="67">
        <v>0</v>
      </c>
      <c r="P153" s="85"/>
      <c r="Q153" s="85"/>
      <c r="R153" s="85"/>
      <c r="S153" s="85"/>
      <c r="T153" s="85"/>
      <c r="U153" s="67">
        <f t="shared" ref="U153:U159" si="12">SUM(P153:T153)</f>
        <v>0</v>
      </c>
    </row>
    <row r="154" spans="1:24" hidden="1" x14ac:dyDescent="0.25">
      <c r="A154" s="62" t="s">
        <v>225</v>
      </c>
      <c r="B154" s="8"/>
      <c r="C154" s="8"/>
      <c r="D154" s="8"/>
      <c r="E154" s="8"/>
      <c r="F154" s="8"/>
      <c r="G154" s="67">
        <v>0</v>
      </c>
      <c r="P154" s="8"/>
      <c r="Q154" s="8"/>
      <c r="R154" s="8"/>
      <c r="S154" s="8"/>
      <c r="T154" s="8"/>
      <c r="U154" s="67">
        <f t="shared" si="12"/>
        <v>0</v>
      </c>
    </row>
    <row r="155" spans="1:24" hidden="1" x14ac:dyDescent="0.25">
      <c r="A155" s="62" t="s">
        <v>226</v>
      </c>
      <c r="B155" s="8"/>
      <c r="C155" s="8"/>
      <c r="D155" s="8"/>
      <c r="E155" s="8"/>
      <c r="F155" s="8"/>
      <c r="G155" s="67">
        <v>0</v>
      </c>
      <c r="P155" s="8"/>
      <c r="Q155" s="8"/>
      <c r="R155" s="8"/>
      <c r="S155" s="8"/>
      <c r="T155" s="8"/>
      <c r="U155" s="67">
        <f t="shared" si="12"/>
        <v>0</v>
      </c>
    </row>
    <row r="156" spans="1:24" hidden="1" x14ac:dyDescent="0.25">
      <c r="A156" s="62" t="s">
        <v>227</v>
      </c>
      <c r="B156" s="8"/>
      <c r="C156" s="8"/>
      <c r="D156" s="8"/>
      <c r="E156" s="8"/>
      <c r="F156" s="8"/>
      <c r="G156" s="67">
        <v>0</v>
      </c>
      <c r="P156" s="8"/>
      <c r="Q156" s="8"/>
      <c r="R156" s="8"/>
      <c r="S156" s="8"/>
      <c r="T156" s="8"/>
      <c r="U156" s="67">
        <f t="shared" si="12"/>
        <v>0</v>
      </c>
    </row>
    <row r="157" spans="1:24" hidden="1" x14ac:dyDescent="0.25">
      <c r="A157" s="62" t="s">
        <v>228</v>
      </c>
      <c r="B157" s="8"/>
      <c r="C157" s="8"/>
      <c r="D157" s="8"/>
      <c r="E157" s="8"/>
      <c r="F157" s="8"/>
      <c r="G157" s="67">
        <v>0</v>
      </c>
      <c r="P157" s="8"/>
      <c r="Q157" s="8"/>
      <c r="R157" s="8"/>
      <c r="S157" s="8"/>
      <c r="T157" s="8"/>
      <c r="U157" s="67">
        <f t="shared" si="12"/>
        <v>0</v>
      </c>
    </row>
    <row r="158" spans="1:24" hidden="1" x14ac:dyDescent="0.25">
      <c r="A158" s="62" t="s">
        <v>37</v>
      </c>
      <c r="B158" s="8"/>
      <c r="C158" s="8"/>
      <c r="D158" s="8"/>
      <c r="E158" s="8"/>
      <c r="F158" s="8"/>
      <c r="G158" s="67">
        <v>0</v>
      </c>
      <c r="P158" s="8"/>
      <c r="Q158" s="8"/>
      <c r="R158" s="8"/>
      <c r="S158" s="8"/>
      <c r="T158" s="8"/>
      <c r="U158" s="67">
        <f t="shared" si="12"/>
        <v>0</v>
      </c>
    </row>
    <row r="159" spans="1:24" hidden="1" x14ac:dyDescent="0.25">
      <c r="A159" s="62" t="s">
        <v>229</v>
      </c>
      <c r="B159" s="8"/>
      <c r="C159" s="8"/>
      <c r="D159" s="8"/>
      <c r="E159" s="8"/>
      <c r="F159" s="8"/>
      <c r="G159" s="67">
        <v>0</v>
      </c>
      <c r="P159" s="8"/>
      <c r="Q159" s="8"/>
      <c r="R159" s="8"/>
      <c r="S159" s="8"/>
      <c r="T159" s="8"/>
      <c r="U159" s="67">
        <f t="shared" si="12"/>
        <v>0</v>
      </c>
    </row>
    <row r="160" spans="1:24" hidden="1" x14ac:dyDescent="0.25">
      <c r="A160" s="62"/>
      <c r="B160" s="85"/>
      <c r="C160" s="85"/>
      <c r="D160" s="85"/>
      <c r="E160" s="85"/>
      <c r="F160" s="85"/>
      <c r="G160" s="67"/>
      <c r="P160" s="85"/>
      <c r="Q160" s="85"/>
      <c r="R160" s="85"/>
      <c r="S160" s="85"/>
      <c r="T160" s="85"/>
      <c r="U160" s="67"/>
      <c r="V160" s="56">
        <f>SUM(P161:T161)-U150</f>
        <v>0</v>
      </c>
      <c r="W160" s="78">
        <f>U161-V160</f>
        <v>0</v>
      </c>
      <c r="X160" s="56" t="s">
        <v>230</v>
      </c>
    </row>
    <row r="161" spans="1:24" hidden="1" x14ac:dyDescent="0.25">
      <c r="A161" s="62" t="s">
        <v>222</v>
      </c>
      <c r="B161" s="86"/>
      <c r="C161" s="86"/>
      <c r="D161" s="86"/>
      <c r="E161" s="86"/>
      <c r="F161" s="86"/>
      <c r="G161" s="90">
        <v>0</v>
      </c>
      <c r="P161" s="86"/>
      <c r="Q161" s="86"/>
      <c r="R161" s="86"/>
      <c r="S161" s="86"/>
      <c r="T161" s="86"/>
      <c r="U161" s="90">
        <f>+U151-U153-U154-U155-U156-U159-U157-U158</f>
        <v>0</v>
      </c>
      <c r="W161" s="78">
        <f>U161-V161</f>
        <v>0</v>
      </c>
      <c r="X161" s="57" t="s">
        <v>232</v>
      </c>
    </row>
    <row r="162" spans="1:24" ht="15.75" hidden="1" thickBot="1" x14ac:dyDescent="0.3">
      <c r="A162" s="80" t="s">
        <v>231</v>
      </c>
      <c r="B162" s="87"/>
      <c r="C162" s="87"/>
      <c r="D162" s="87"/>
      <c r="E162" s="87"/>
      <c r="F162" s="87"/>
      <c r="G162" s="88"/>
      <c r="P162" s="87"/>
      <c r="Q162" s="87"/>
      <c r="R162" s="87"/>
      <c r="S162" s="87"/>
      <c r="T162" s="87"/>
      <c r="U162" s="88"/>
    </row>
    <row r="163" spans="1:24" ht="14.45" hidden="1" customHeight="1" x14ac:dyDescent="0.25">
      <c r="A163" s="116" t="s">
        <v>210</v>
      </c>
      <c r="D163" s="57"/>
      <c r="E163" s="57"/>
      <c r="F163" s="57"/>
      <c r="G163" s="57"/>
      <c r="P163" s="57"/>
      <c r="Q163" s="57"/>
      <c r="R163" s="57"/>
      <c r="S163" s="57"/>
      <c r="T163" s="57"/>
      <c r="U163" s="57"/>
    </row>
    <row r="164" spans="1:24" ht="14.45" hidden="1" customHeight="1" x14ac:dyDescent="0.25">
      <c r="A164" s="117" t="s">
        <v>211</v>
      </c>
      <c r="D164" s="57"/>
      <c r="E164" s="57"/>
      <c r="F164" s="57"/>
      <c r="G164" s="57"/>
      <c r="P164" s="57"/>
      <c r="Q164" s="57"/>
      <c r="R164" s="57"/>
      <c r="S164" s="57"/>
      <c r="T164" s="57"/>
      <c r="U164" s="57"/>
    </row>
    <row r="165" spans="1:24" ht="14.45" hidden="1" customHeight="1" x14ac:dyDescent="0.25">
      <c r="A165" s="118">
        <v>43343</v>
      </c>
      <c r="D165" s="57"/>
      <c r="E165" s="57"/>
      <c r="F165" s="57"/>
      <c r="G165" s="57"/>
      <c r="P165" s="57"/>
      <c r="Q165" s="57"/>
      <c r="R165" s="57"/>
      <c r="S165" s="57"/>
      <c r="T165" s="57"/>
      <c r="U165" s="57"/>
    </row>
    <row r="166" spans="1:24" s="66" customFormat="1" hidden="1" x14ac:dyDescent="0.25">
      <c r="A166" s="59"/>
      <c r="B166" s="60"/>
      <c r="C166" s="60"/>
      <c r="D166" s="60"/>
      <c r="E166" s="60"/>
      <c r="F166" s="60"/>
      <c r="G166" s="61"/>
      <c r="P166" s="60"/>
      <c r="Q166" s="60"/>
      <c r="R166" s="60"/>
      <c r="S166" s="60"/>
      <c r="T166" s="60"/>
      <c r="U166" s="61"/>
      <c r="V166" s="65"/>
    </row>
    <row r="167" spans="1:24" hidden="1" x14ac:dyDescent="0.25">
      <c r="A167" s="62"/>
      <c r="B167" s="63" t="s">
        <v>212</v>
      </c>
      <c r="C167" s="63" t="s">
        <v>213</v>
      </c>
      <c r="D167" s="63" t="s">
        <v>214</v>
      </c>
      <c r="E167" s="63" t="s">
        <v>215</v>
      </c>
      <c r="F167" s="63" t="s">
        <v>216</v>
      </c>
      <c r="G167" s="64" t="s">
        <v>217</v>
      </c>
      <c r="P167" s="63" t="s">
        <v>212</v>
      </c>
      <c r="Q167" s="63" t="s">
        <v>213</v>
      </c>
      <c r="R167" s="63" t="s">
        <v>214</v>
      </c>
      <c r="S167" s="63" t="s">
        <v>215</v>
      </c>
      <c r="T167" s="63" t="s">
        <v>216</v>
      </c>
      <c r="U167" s="64" t="s">
        <v>217</v>
      </c>
    </row>
    <row r="168" spans="1:24" hidden="1" x14ac:dyDescent="0.25">
      <c r="A168" s="62" t="s">
        <v>63</v>
      </c>
      <c r="B168" s="2"/>
      <c r="C168" s="2"/>
      <c r="D168" s="2"/>
      <c r="E168" s="2"/>
      <c r="F168" s="2"/>
      <c r="G168" s="67">
        <v>0</v>
      </c>
      <c r="P168" s="2"/>
      <c r="Q168" s="2"/>
      <c r="R168" s="2"/>
      <c r="S168" s="2"/>
      <c r="T168" s="2"/>
      <c r="U168" s="67">
        <f>SUM(P168:T168)</f>
        <v>0</v>
      </c>
    </row>
    <row r="169" spans="1:24" hidden="1" x14ac:dyDescent="0.25">
      <c r="A169" s="62" t="s">
        <v>218</v>
      </c>
      <c r="B169" s="2"/>
      <c r="C169" s="2"/>
      <c r="D169" s="2"/>
      <c r="E169" s="2"/>
      <c r="F169" s="2"/>
      <c r="G169" s="67">
        <v>0</v>
      </c>
      <c r="P169" s="2"/>
      <c r="Q169" s="2"/>
      <c r="R169" s="2"/>
      <c r="S169" s="2"/>
      <c r="T169" s="2"/>
      <c r="U169" s="67">
        <f>SUM(P169:T169)</f>
        <v>0</v>
      </c>
    </row>
    <row r="170" spans="1:24" hidden="1" x14ac:dyDescent="0.25">
      <c r="A170" s="62" t="s">
        <v>219</v>
      </c>
      <c r="B170" s="2"/>
      <c r="C170" s="2"/>
      <c r="D170" s="2"/>
      <c r="E170" s="2"/>
      <c r="F170" s="2"/>
      <c r="G170" s="67">
        <v>0</v>
      </c>
      <c r="P170" s="2"/>
      <c r="Q170" s="2"/>
      <c r="R170" s="2"/>
      <c r="S170" s="2"/>
      <c r="T170" s="2"/>
      <c r="U170" s="67">
        <f>SUM(P170:T170)</f>
        <v>0</v>
      </c>
    </row>
    <row r="171" spans="1:24" hidden="1" x14ac:dyDescent="0.25">
      <c r="A171" s="62" t="s">
        <v>220</v>
      </c>
      <c r="B171" s="2"/>
      <c r="C171" s="2"/>
      <c r="D171" s="2"/>
      <c r="E171" s="2"/>
      <c r="F171" s="2"/>
      <c r="G171" s="67">
        <v>0</v>
      </c>
      <c r="P171" s="2"/>
      <c r="Q171" s="2"/>
      <c r="R171" s="2"/>
      <c r="S171" s="2"/>
      <c r="T171" s="2"/>
      <c r="U171" s="67">
        <f>SUM(P171:T171)</f>
        <v>0</v>
      </c>
    </row>
    <row r="172" spans="1:24" hidden="1" x14ac:dyDescent="0.25">
      <c r="A172" s="62" t="s">
        <v>221</v>
      </c>
      <c r="B172" s="12"/>
      <c r="C172" s="12"/>
      <c r="D172" s="75"/>
      <c r="E172" s="75"/>
      <c r="F172" s="75"/>
      <c r="G172" s="67">
        <v>0</v>
      </c>
      <c r="P172" s="12"/>
      <c r="Q172" s="12"/>
      <c r="R172" s="75"/>
      <c r="S172" s="75"/>
      <c r="T172" s="75"/>
      <c r="U172" s="67">
        <f>SUM(P172:T172)</f>
        <v>0</v>
      </c>
    </row>
    <row r="173" spans="1:24" ht="15.75" hidden="1" thickBot="1" x14ac:dyDescent="0.3">
      <c r="A173" s="62" t="s">
        <v>223</v>
      </c>
      <c r="B173" s="82"/>
      <c r="C173" s="82"/>
      <c r="D173" s="82"/>
      <c r="E173" s="82"/>
      <c r="F173" s="82"/>
      <c r="G173" s="83"/>
      <c r="P173" s="82"/>
      <c r="Q173" s="82"/>
      <c r="R173" s="82"/>
      <c r="S173" s="82"/>
      <c r="T173" s="82"/>
      <c r="U173" s="83"/>
    </row>
    <row r="174" spans="1:24" ht="15.75" hidden="1" thickBot="1" x14ac:dyDescent="0.3">
      <c r="A174" s="62"/>
      <c r="B174" s="84">
        <v>0</v>
      </c>
      <c r="C174" s="84">
        <v>0</v>
      </c>
      <c r="D174" s="84">
        <v>0</v>
      </c>
      <c r="E174" s="84">
        <v>0</v>
      </c>
      <c r="F174" s="84">
        <v>0</v>
      </c>
      <c r="G174" s="74">
        <v>0</v>
      </c>
      <c r="P174" s="84">
        <f>+P168-P169-P170-P171-P172</f>
        <v>0</v>
      </c>
      <c r="Q174" s="84">
        <f>+Q168-Q169-Q170-Q171-Q172</f>
        <v>0</v>
      </c>
      <c r="R174" s="84">
        <f>+R168-R169-R170-R171-R172</f>
        <v>0</v>
      </c>
      <c r="S174" s="84">
        <f>+S168-S169-S170-S171-S172</f>
        <v>0</v>
      </c>
      <c r="T174" s="84">
        <f>+T168-T169-T170-T171-T172</f>
        <v>0</v>
      </c>
      <c r="U174" s="74">
        <f>+U168-U169-U170-U171-U172-U173</f>
        <v>0</v>
      </c>
    </row>
    <row r="175" spans="1:24" hidden="1" x14ac:dyDescent="0.25">
      <c r="A175" s="62"/>
      <c r="B175" s="85"/>
      <c r="C175" s="85"/>
      <c r="D175" s="85"/>
      <c r="E175" s="85"/>
      <c r="F175" s="85"/>
      <c r="G175" s="67"/>
      <c r="P175" s="85"/>
      <c r="Q175" s="85"/>
      <c r="R175" s="85"/>
      <c r="S175" s="85"/>
      <c r="T175" s="85"/>
      <c r="U175" s="67"/>
    </row>
    <row r="176" spans="1:24" hidden="1" x14ac:dyDescent="0.25">
      <c r="A176" s="62" t="s">
        <v>224</v>
      </c>
      <c r="B176" s="85"/>
      <c r="C176" s="85"/>
      <c r="D176" s="85"/>
      <c r="E176" s="85"/>
      <c r="F176" s="85"/>
      <c r="G176" s="67">
        <v>0</v>
      </c>
      <c r="P176" s="85"/>
      <c r="Q176" s="85"/>
      <c r="R176" s="85"/>
      <c r="S176" s="85"/>
      <c r="T176" s="85"/>
      <c r="U176" s="67">
        <f t="shared" ref="U176:U182" si="13">SUM(P176:T176)</f>
        <v>0</v>
      </c>
    </row>
    <row r="177" spans="1:24" hidden="1" x14ac:dyDescent="0.25">
      <c r="A177" s="62" t="s">
        <v>225</v>
      </c>
      <c r="B177" s="8"/>
      <c r="C177" s="8"/>
      <c r="D177" s="8"/>
      <c r="E177" s="8"/>
      <c r="F177" s="8"/>
      <c r="G177" s="67">
        <v>0</v>
      </c>
      <c r="P177" s="8"/>
      <c r="Q177" s="8"/>
      <c r="R177" s="8"/>
      <c r="S177" s="8"/>
      <c r="T177" s="8"/>
      <c r="U177" s="67">
        <f t="shared" si="13"/>
        <v>0</v>
      </c>
    </row>
    <row r="178" spans="1:24" hidden="1" x14ac:dyDescent="0.25">
      <c r="A178" s="62" t="s">
        <v>226</v>
      </c>
      <c r="B178" s="21"/>
      <c r="C178" s="21"/>
      <c r="D178" s="8"/>
      <c r="E178" s="8"/>
      <c r="F178" s="8"/>
      <c r="G178" s="67">
        <v>0</v>
      </c>
      <c r="P178" s="21"/>
      <c r="Q178" s="21"/>
      <c r="R178" s="8"/>
      <c r="S178" s="8"/>
      <c r="T178" s="8"/>
      <c r="U178" s="67">
        <f t="shared" si="13"/>
        <v>0</v>
      </c>
    </row>
    <row r="179" spans="1:24" hidden="1" x14ac:dyDescent="0.25">
      <c r="A179" s="62" t="s">
        <v>227</v>
      </c>
      <c r="B179" s="8"/>
      <c r="C179" s="8"/>
      <c r="D179" s="8"/>
      <c r="E179" s="8"/>
      <c r="F179" s="8"/>
      <c r="G179" s="67">
        <v>0</v>
      </c>
      <c r="P179" s="8"/>
      <c r="Q179" s="8"/>
      <c r="R179" s="8"/>
      <c r="S179" s="8"/>
      <c r="T179" s="8"/>
      <c r="U179" s="67">
        <f t="shared" si="13"/>
        <v>0</v>
      </c>
    </row>
    <row r="180" spans="1:24" hidden="1" x14ac:dyDescent="0.25">
      <c r="A180" s="62" t="s">
        <v>228</v>
      </c>
      <c r="B180" s="8"/>
      <c r="C180" s="8"/>
      <c r="D180" s="8"/>
      <c r="E180" s="8"/>
      <c r="F180" s="8"/>
      <c r="G180" s="67">
        <v>0</v>
      </c>
      <c r="P180" s="8"/>
      <c r="Q180" s="8"/>
      <c r="R180" s="8"/>
      <c r="S180" s="8"/>
      <c r="T180" s="8"/>
      <c r="U180" s="67">
        <f t="shared" si="13"/>
        <v>0</v>
      </c>
    </row>
    <row r="181" spans="1:24" hidden="1" x14ac:dyDescent="0.25">
      <c r="A181" s="62" t="s">
        <v>37</v>
      </c>
      <c r="B181" s="8"/>
      <c r="C181" s="8"/>
      <c r="D181" s="8"/>
      <c r="E181" s="8"/>
      <c r="F181" s="8"/>
      <c r="G181" s="67">
        <v>0</v>
      </c>
      <c r="P181" s="8"/>
      <c r="Q181" s="8"/>
      <c r="R181" s="8"/>
      <c r="S181" s="8"/>
      <c r="T181" s="8"/>
      <c r="U181" s="67">
        <f t="shared" si="13"/>
        <v>0</v>
      </c>
    </row>
    <row r="182" spans="1:24" hidden="1" x14ac:dyDescent="0.25">
      <c r="A182" s="62" t="s">
        <v>229</v>
      </c>
      <c r="B182" s="8"/>
      <c r="C182" s="8"/>
      <c r="D182" s="8"/>
      <c r="E182" s="8"/>
      <c r="F182" s="8"/>
      <c r="G182" s="67">
        <v>0</v>
      </c>
      <c r="P182" s="8"/>
      <c r="Q182" s="8"/>
      <c r="R182" s="8"/>
      <c r="S182" s="8"/>
      <c r="T182" s="8"/>
      <c r="U182" s="67">
        <f t="shared" si="13"/>
        <v>0</v>
      </c>
    </row>
    <row r="183" spans="1:24" hidden="1" x14ac:dyDescent="0.25">
      <c r="A183" s="62"/>
      <c r="B183" s="85"/>
      <c r="C183" s="85"/>
      <c r="D183" s="85"/>
      <c r="E183" s="85"/>
      <c r="F183" s="85"/>
      <c r="G183" s="67"/>
      <c r="P183" s="85"/>
      <c r="Q183" s="85"/>
      <c r="R183" s="85"/>
      <c r="S183" s="85"/>
      <c r="T183" s="85"/>
      <c r="U183" s="67"/>
      <c r="V183" s="56">
        <f>SUM(P184:T184)-U173</f>
        <v>0</v>
      </c>
      <c r="W183" s="78">
        <f>U184-V183</f>
        <v>0</v>
      </c>
      <c r="X183" s="56" t="s">
        <v>230</v>
      </c>
    </row>
    <row r="184" spans="1:24" hidden="1" x14ac:dyDescent="0.25">
      <c r="A184" s="62" t="s">
        <v>222</v>
      </c>
      <c r="B184" s="86">
        <v>0</v>
      </c>
      <c r="C184" s="86">
        <v>0</v>
      </c>
      <c r="D184" s="86">
        <v>0</v>
      </c>
      <c r="E184" s="86">
        <v>0</v>
      </c>
      <c r="F184" s="86">
        <v>0</v>
      </c>
      <c r="G184" s="90">
        <v>0</v>
      </c>
      <c r="P184" s="86">
        <f>+P174-SUM(P176:P182)</f>
        <v>0</v>
      </c>
      <c r="Q184" s="86">
        <f>+Q174-SUM(Q176:Q182)</f>
        <v>0</v>
      </c>
      <c r="R184" s="86">
        <f>+R174-SUM(R176:R182)</f>
        <v>0</v>
      </c>
      <c r="S184" s="86">
        <f>+S174-SUM(S176:S182)</f>
        <v>0</v>
      </c>
      <c r="T184" s="86">
        <f>+T174-SUM(T176:T182)</f>
        <v>0</v>
      </c>
      <c r="U184" s="90">
        <f>+U174-U176-U177-U178-U179-U182-U180-U181</f>
        <v>0</v>
      </c>
      <c r="W184" s="78">
        <f>U184-V184</f>
        <v>0</v>
      </c>
      <c r="X184" s="57" t="s">
        <v>232</v>
      </c>
    </row>
    <row r="185" spans="1:24" ht="15.75" hidden="1" thickBot="1" x14ac:dyDescent="0.3">
      <c r="A185" s="80" t="s">
        <v>231</v>
      </c>
      <c r="B185" s="87"/>
      <c r="C185" s="87"/>
      <c r="D185" s="87"/>
      <c r="E185" s="87"/>
      <c r="F185" s="87"/>
      <c r="G185" s="88"/>
      <c r="P185" s="87"/>
      <c r="Q185" s="87"/>
      <c r="R185" s="87"/>
      <c r="S185" s="87"/>
      <c r="T185" s="87"/>
      <c r="U185" s="88"/>
    </row>
    <row r="186" spans="1:24" ht="14.45" hidden="1" customHeight="1" x14ac:dyDescent="0.25">
      <c r="A186" s="116" t="s">
        <v>210</v>
      </c>
      <c r="D186" s="57"/>
      <c r="E186" s="57"/>
      <c r="F186" s="57"/>
      <c r="G186" s="57"/>
      <c r="P186" s="57"/>
      <c r="Q186" s="57"/>
      <c r="R186" s="57"/>
      <c r="S186" s="57"/>
      <c r="T186" s="57"/>
      <c r="U186" s="57"/>
    </row>
    <row r="187" spans="1:24" ht="14.45" hidden="1" customHeight="1" x14ac:dyDescent="0.25">
      <c r="A187" s="117" t="s">
        <v>211</v>
      </c>
      <c r="D187" s="57"/>
      <c r="E187" s="57"/>
      <c r="F187" s="57"/>
      <c r="G187" s="57"/>
      <c r="P187" s="57"/>
      <c r="Q187" s="57"/>
      <c r="R187" s="57"/>
      <c r="S187" s="57"/>
      <c r="T187" s="57"/>
      <c r="U187" s="57"/>
    </row>
    <row r="188" spans="1:24" ht="14.45" hidden="1" customHeight="1" x14ac:dyDescent="0.25">
      <c r="A188" s="118">
        <v>43373</v>
      </c>
      <c r="D188" s="57"/>
      <c r="E188" s="57"/>
      <c r="F188" s="57"/>
      <c r="G188" s="57"/>
      <c r="P188" s="57"/>
      <c r="Q188" s="57"/>
      <c r="R188" s="57"/>
      <c r="S188" s="57"/>
      <c r="T188" s="57"/>
      <c r="U188" s="57"/>
    </row>
    <row r="189" spans="1:24" s="66" customFormat="1" hidden="1" x14ac:dyDescent="0.25">
      <c r="A189" s="59"/>
      <c r="B189" s="60"/>
      <c r="C189" s="60"/>
      <c r="D189" s="60"/>
      <c r="E189" s="60"/>
      <c r="F189" s="60"/>
      <c r="G189" s="61"/>
      <c r="P189" s="60"/>
      <c r="Q189" s="60"/>
      <c r="R189" s="60"/>
      <c r="S189" s="60"/>
      <c r="T189" s="60"/>
      <c r="U189" s="61"/>
      <c r="V189" s="65"/>
    </row>
    <row r="190" spans="1:24" hidden="1" x14ac:dyDescent="0.25">
      <c r="A190" s="62"/>
      <c r="B190" s="63" t="s">
        <v>212</v>
      </c>
      <c r="C190" s="63" t="s">
        <v>213</v>
      </c>
      <c r="D190" s="63" t="s">
        <v>214</v>
      </c>
      <c r="E190" s="63" t="s">
        <v>215</v>
      </c>
      <c r="F190" s="63" t="s">
        <v>216</v>
      </c>
      <c r="G190" s="64" t="s">
        <v>217</v>
      </c>
      <c r="P190" s="63" t="s">
        <v>212</v>
      </c>
      <c r="Q190" s="63" t="s">
        <v>213</v>
      </c>
      <c r="R190" s="63" t="s">
        <v>214</v>
      </c>
      <c r="S190" s="63" t="s">
        <v>215</v>
      </c>
      <c r="T190" s="63" t="s">
        <v>216</v>
      </c>
      <c r="U190" s="64" t="s">
        <v>217</v>
      </c>
    </row>
    <row r="191" spans="1:24" hidden="1" x14ac:dyDescent="0.25">
      <c r="A191" s="62" t="s">
        <v>63</v>
      </c>
      <c r="B191" s="2"/>
      <c r="C191" s="2"/>
      <c r="D191" s="2"/>
      <c r="E191" s="2"/>
      <c r="F191" s="2"/>
      <c r="G191" s="67">
        <v>0</v>
      </c>
      <c r="P191" s="2"/>
      <c r="Q191" s="2"/>
      <c r="R191" s="2"/>
      <c r="S191" s="2"/>
      <c r="T191" s="2"/>
      <c r="U191" s="67">
        <f>SUM(P191:T191)</f>
        <v>0</v>
      </c>
    </row>
    <row r="192" spans="1:24" hidden="1" x14ac:dyDescent="0.25">
      <c r="A192" s="62" t="s">
        <v>218</v>
      </c>
      <c r="B192" s="2"/>
      <c r="C192" s="2"/>
      <c r="D192" s="2"/>
      <c r="E192" s="2"/>
      <c r="F192" s="2"/>
      <c r="G192" s="67">
        <v>0</v>
      </c>
      <c r="P192" s="2"/>
      <c r="Q192" s="2"/>
      <c r="R192" s="2"/>
      <c r="S192" s="2"/>
      <c r="T192" s="2"/>
      <c r="U192" s="67">
        <f>SUM(P192:T192)</f>
        <v>0</v>
      </c>
    </row>
    <row r="193" spans="1:24" hidden="1" x14ac:dyDescent="0.25">
      <c r="A193" s="62" t="s">
        <v>219</v>
      </c>
      <c r="B193" s="2"/>
      <c r="C193" s="2"/>
      <c r="D193" s="2"/>
      <c r="E193" s="2"/>
      <c r="F193" s="2"/>
      <c r="G193" s="67">
        <v>0</v>
      </c>
      <c r="P193" s="2"/>
      <c r="Q193" s="2"/>
      <c r="R193" s="2"/>
      <c r="S193" s="2"/>
      <c r="T193" s="2"/>
      <c r="U193" s="67">
        <f>SUM(P193:T193)</f>
        <v>0</v>
      </c>
    </row>
    <row r="194" spans="1:24" hidden="1" x14ac:dyDescent="0.25">
      <c r="A194" s="62" t="s">
        <v>220</v>
      </c>
      <c r="B194" s="2"/>
      <c r="C194" s="2"/>
      <c r="D194" s="2"/>
      <c r="E194" s="2"/>
      <c r="F194" s="2"/>
      <c r="G194" s="67">
        <v>0</v>
      </c>
      <c r="P194" s="2"/>
      <c r="Q194" s="2"/>
      <c r="R194" s="2"/>
      <c r="S194" s="2"/>
      <c r="T194" s="2"/>
      <c r="U194" s="67">
        <f>SUM(P194:T194)</f>
        <v>0</v>
      </c>
    </row>
    <row r="195" spans="1:24" hidden="1" x14ac:dyDescent="0.25">
      <c r="A195" s="62" t="s">
        <v>221</v>
      </c>
      <c r="B195" s="12"/>
      <c r="C195" s="12"/>
      <c r="D195" s="75"/>
      <c r="E195" s="75"/>
      <c r="F195" s="75"/>
      <c r="G195" s="67">
        <v>0</v>
      </c>
      <c r="P195" s="12"/>
      <c r="Q195" s="12"/>
      <c r="R195" s="75"/>
      <c r="S195" s="75"/>
      <c r="T195" s="75"/>
      <c r="U195" s="67">
        <f>SUM(P195:T195)</f>
        <v>0</v>
      </c>
    </row>
    <row r="196" spans="1:24" ht="15.75" hidden="1" thickBot="1" x14ac:dyDescent="0.3">
      <c r="A196" s="62" t="s">
        <v>223</v>
      </c>
      <c r="B196" s="82"/>
      <c r="C196" s="82"/>
      <c r="D196" s="82"/>
      <c r="E196" s="82"/>
      <c r="F196" s="82"/>
      <c r="G196" s="83"/>
      <c r="P196" s="82"/>
      <c r="Q196" s="82"/>
      <c r="R196" s="82"/>
      <c r="S196" s="82"/>
      <c r="T196" s="82"/>
      <c r="U196" s="83"/>
    </row>
    <row r="197" spans="1:24" ht="15.75" hidden="1" thickBot="1" x14ac:dyDescent="0.3">
      <c r="A197" s="62"/>
      <c r="B197" s="84">
        <v>0</v>
      </c>
      <c r="C197" s="84">
        <v>0</v>
      </c>
      <c r="D197" s="84">
        <v>0</v>
      </c>
      <c r="E197" s="84">
        <v>0</v>
      </c>
      <c r="F197" s="84">
        <v>0</v>
      </c>
      <c r="G197" s="74">
        <v>0</v>
      </c>
      <c r="P197" s="84">
        <f>+P191-P192-P193-P194-P195</f>
        <v>0</v>
      </c>
      <c r="Q197" s="84">
        <f>+Q191-Q192-Q193-Q194-Q195</f>
        <v>0</v>
      </c>
      <c r="R197" s="84">
        <f>+R191-R192-R193-R194-R195</f>
        <v>0</v>
      </c>
      <c r="S197" s="84">
        <f>+S191-S192-S193-S194-S195</f>
        <v>0</v>
      </c>
      <c r="T197" s="84">
        <f>+T191-T192-T193-T194-T195</f>
        <v>0</v>
      </c>
      <c r="U197" s="74">
        <f>+U191-U192-U193-U194-U195-U196</f>
        <v>0</v>
      </c>
    </row>
    <row r="198" spans="1:24" hidden="1" x14ac:dyDescent="0.25">
      <c r="A198" s="62"/>
      <c r="B198" s="85"/>
      <c r="C198" s="85"/>
      <c r="D198" s="85"/>
      <c r="E198" s="85"/>
      <c r="F198" s="85"/>
      <c r="G198" s="67"/>
      <c r="P198" s="85"/>
      <c r="Q198" s="85"/>
      <c r="R198" s="85"/>
      <c r="S198" s="85"/>
      <c r="T198" s="85"/>
      <c r="U198" s="67"/>
    </row>
    <row r="199" spans="1:24" hidden="1" x14ac:dyDescent="0.25">
      <c r="A199" s="62" t="s">
        <v>224</v>
      </c>
      <c r="B199" s="85"/>
      <c r="C199" s="85"/>
      <c r="D199" s="85"/>
      <c r="E199" s="85"/>
      <c r="F199" s="85"/>
      <c r="G199" s="67">
        <v>0</v>
      </c>
      <c r="P199" s="85"/>
      <c r="Q199" s="85"/>
      <c r="R199" s="85"/>
      <c r="S199" s="85"/>
      <c r="T199" s="85"/>
      <c r="U199" s="67">
        <f t="shared" ref="U199:U205" si="14">SUM(P199:T199)</f>
        <v>0</v>
      </c>
    </row>
    <row r="200" spans="1:24" hidden="1" x14ac:dyDescent="0.25">
      <c r="A200" s="62" t="s">
        <v>225</v>
      </c>
      <c r="B200" s="8"/>
      <c r="C200" s="8"/>
      <c r="D200" s="8"/>
      <c r="E200" s="8"/>
      <c r="F200" s="8"/>
      <c r="G200" s="67">
        <v>0</v>
      </c>
      <c r="P200" s="8"/>
      <c r="Q200" s="8"/>
      <c r="R200" s="8"/>
      <c r="S200" s="8"/>
      <c r="T200" s="8"/>
      <c r="U200" s="67">
        <f t="shared" si="14"/>
        <v>0</v>
      </c>
    </row>
    <row r="201" spans="1:24" hidden="1" x14ac:dyDescent="0.25">
      <c r="A201" s="62" t="s">
        <v>226</v>
      </c>
      <c r="B201" s="21"/>
      <c r="C201" s="8"/>
      <c r="D201" s="8"/>
      <c r="E201" s="8"/>
      <c r="F201" s="8"/>
      <c r="G201" s="67">
        <v>0</v>
      </c>
      <c r="P201" s="21"/>
      <c r="Q201" s="8"/>
      <c r="R201" s="8"/>
      <c r="S201" s="8"/>
      <c r="T201" s="8"/>
      <c r="U201" s="67">
        <f t="shared" si="14"/>
        <v>0</v>
      </c>
    </row>
    <row r="202" spans="1:24" hidden="1" x14ac:dyDescent="0.25">
      <c r="A202" s="62" t="s">
        <v>228</v>
      </c>
      <c r="B202" s="8"/>
      <c r="C202" s="8"/>
      <c r="D202" s="8"/>
      <c r="E202" s="8"/>
      <c r="F202" s="8"/>
      <c r="G202" s="67">
        <v>0</v>
      </c>
      <c r="P202" s="8"/>
      <c r="Q202" s="8"/>
      <c r="R202" s="8"/>
      <c r="S202" s="8"/>
      <c r="T202" s="8"/>
      <c r="U202" s="67">
        <f t="shared" si="14"/>
        <v>0</v>
      </c>
    </row>
    <row r="203" spans="1:24" hidden="1" x14ac:dyDescent="0.25">
      <c r="A203" s="62" t="s">
        <v>227</v>
      </c>
      <c r="B203" s="8"/>
      <c r="C203" s="8"/>
      <c r="D203" s="8"/>
      <c r="E203" s="8"/>
      <c r="F203" s="8"/>
      <c r="G203" s="67">
        <v>0</v>
      </c>
      <c r="P203" s="8"/>
      <c r="Q203" s="8"/>
      <c r="R203" s="8"/>
      <c r="S203" s="8"/>
      <c r="T203" s="8"/>
      <c r="U203" s="67">
        <f t="shared" si="14"/>
        <v>0</v>
      </c>
    </row>
    <row r="204" spans="1:24" hidden="1" x14ac:dyDescent="0.25">
      <c r="A204" s="62" t="s">
        <v>37</v>
      </c>
      <c r="B204" s="8"/>
      <c r="C204" s="8"/>
      <c r="D204" s="8"/>
      <c r="E204" s="8"/>
      <c r="F204" s="8"/>
      <c r="G204" s="67">
        <v>0</v>
      </c>
      <c r="P204" s="8"/>
      <c r="Q204" s="8"/>
      <c r="R204" s="8"/>
      <c r="S204" s="8"/>
      <c r="T204" s="8"/>
      <c r="U204" s="67">
        <f t="shared" si="14"/>
        <v>0</v>
      </c>
    </row>
    <row r="205" spans="1:24" hidden="1" x14ac:dyDescent="0.25">
      <c r="A205" s="62" t="s">
        <v>229</v>
      </c>
      <c r="B205" s="8"/>
      <c r="C205" s="8"/>
      <c r="D205" s="8"/>
      <c r="E205" s="8"/>
      <c r="F205" s="8"/>
      <c r="G205" s="67">
        <v>0</v>
      </c>
      <c r="P205" s="8"/>
      <c r="Q205" s="8"/>
      <c r="R205" s="8"/>
      <c r="S205" s="8"/>
      <c r="T205" s="8"/>
      <c r="U205" s="67">
        <f t="shared" si="14"/>
        <v>0</v>
      </c>
    </row>
    <row r="206" spans="1:24" hidden="1" x14ac:dyDescent="0.25">
      <c r="A206" s="62"/>
      <c r="B206" s="85"/>
      <c r="C206" s="85"/>
      <c r="D206" s="85"/>
      <c r="E206" s="85"/>
      <c r="F206" s="85"/>
      <c r="G206" s="67"/>
      <c r="P206" s="85"/>
      <c r="Q206" s="85"/>
      <c r="R206" s="85"/>
      <c r="S206" s="85"/>
      <c r="T206" s="85"/>
      <c r="U206" s="67"/>
      <c r="V206" s="56">
        <f>SUM(P207:T207)-U196</f>
        <v>0</v>
      </c>
      <c r="W206" s="78">
        <f>U207-V206</f>
        <v>0</v>
      </c>
      <c r="X206" s="56" t="s">
        <v>230</v>
      </c>
    </row>
    <row r="207" spans="1:24" hidden="1" x14ac:dyDescent="0.25">
      <c r="A207" s="62" t="s">
        <v>222</v>
      </c>
      <c r="B207" s="86"/>
      <c r="C207" s="86"/>
      <c r="D207" s="86"/>
      <c r="E207" s="86"/>
      <c r="F207" s="86"/>
      <c r="G207" s="90">
        <v>0</v>
      </c>
      <c r="P207" s="86"/>
      <c r="Q207" s="86"/>
      <c r="R207" s="86"/>
      <c r="S207" s="86"/>
      <c r="T207" s="86"/>
      <c r="U207" s="90">
        <f>+U197-U199-U200-U201-U202-U205-U203-U204</f>
        <v>0</v>
      </c>
      <c r="W207" s="78">
        <f>U207-V207</f>
        <v>0</v>
      </c>
      <c r="X207" s="57" t="s">
        <v>232</v>
      </c>
    </row>
    <row r="208" spans="1:24" ht="15.75" hidden="1" thickBot="1" x14ac:dyDescent="0.3">
      <c r="A208" s="80" t="s">
        <v>231</v>
      </c>
      <c r="B208" s="87"/>
      <c r="C208" s="87"/>
      <c r="D208" s="87"/>
      <c r="E208" s="87"/>
      <c r="F208" s="87"/>
      <c r="G208" s="88"/>
      <c r="P208" s="87"/>
      <c r="Q208" s="87"/>
      <c r="R208" s="87"/>
      <c r="S208" s="87"/>
      <c r="T208" s="87"/>
      <c r="U208" s="88"/>
    </row>
    <row r="209" spans="1:24" ht="14.45" hidden="1" customHeight="1" x14ac:dyDescent="0.25">
      <c r="A209" s="119" t="s">
        <v>210</v>
      </c>
      <c r="D209" s="57"/>
      <c r="E209" s="57"/>
      <c r="F209" s="57"/>
      <c r="G209" s="57"/>
      <c r="P209" s="57"/>
      <c r="Q209" s="57"/>
      <c r="R209" s="57"/>
      <c r="S209" s="57"/>
      <c r="T209" s="57"/>
      <c r="U209" s="57"/>
    </row>
    <row r="210" spans="1:24" ht="14.45" hidden="1" customHeight="1" x14ac:dyDescent="0.25">
      <c r="A210" s="120" t="s">
        <v>211</v>
      </c>
      <c r="D210" s="57"/>
      <c r="E210" s="57"/>
      <c r="F210" s="57"/>
      <c r="G210" s="57"/>
      <c r="P210" s="57"/>
      <c r="Q210" s="57"/>
      <c r="R210" s="57"/>
      <c r="S210" s="57"/>
      <c r="T210" s="57"/>
      <c r="U210" s="57"/>
    </row>
    <row r="211" spans="1:24" ht="14.45" hidden="1" customHeight="1" x14ac:dyDescent="0.25">
      <c r="A211" s="121">
        <v>43404</v>
      </c>
      <c r="D211" s="57"/>
      <c r="E211" s="57"/>
      <c r="F211" s="57"/>
      <c r="G211" s="57"/>
      <c r="P211" s="57"/>
      <c r="Q211" s="57"/>
      <c r="R211" s="57"/>
      <c r="S211" s="57"/>
      <c r="T211" s="57"/>
      <c r="U211" s="57"/>
    </row>
    <row r="212" spans="1:24" s="66" customFormat="1" hidden="1" x14ac:dyDescent="0.25">
      <c r="A212" s="92"/>
      <c r="B212" s="93"/>
      <c r="C212" s="93"/>
      <c r="D212" s="93"/>
      <c r="E212" s="93"/>
      <c r="F212" s="93"/>
      <c r="G212" s="94"/>
      <c r="P212" s="93"/>
      <c r="Q212" s="93"/>
      <c r="R212" s="93"/>
      <c r="S212" s="93"/>
      <c r="T212" s="93"/>
      <c r="U212" s="94"/>
      <c r="V212" s="65"/>
    </row>
    <row r="213" spans="1:24" hidden="1" x14ac:dyDescent="0.25">
      <c r="A213" s="95"/>
      <c r="B213" s="96" t="s">
        <v>212</v>
      </c>
      <c r="C213" s="96" t="s">
        <v>213</v>
      </c>
      <c r="D213" s="96" t="s">
        <v>214</v>
      </c>
      <c r="E213" s="96" t="s">
        <v>215</v>
      </c>
      <c r="F213" s="96" t="s">
        <v>216</v>
      </c>
      <c r="G213" s="97" t="s">
        <v>217</v>
      </c>
      <c r="P213" s="96" t="s">
        <v>212</v>
      </c>
      <c r="Q213" s="96" t="s">
        <v>213</v>
      </c>
      <c r="R213" s="96" t="s">
        <v>214</v>
      </c>
      <c r="S213" s="96" t="s">
        <v>215</v>
      </c>
      <c r="T213" s="96" t="s">
        <v>216</v>
      </c>
      <c r="U213" s="97" t="s">
        <v>217</v>
      </c>
    </row>
    <row r="214" spans="1:24" hidden="1" x14ac:dyDescent="0.25">
      <c r="A214" s="95" t="s">
        <v>63</v>
      </c>
      <c r="B214" s="2"/>
      <c r="C214" s="2"/>
      <c r="D214" s="2"/>
      <c r="E214" s="2"/>
      <c r="F214" s="2"/>
      <c r="G214" s="81">
        <v>0</v>
      </c>
      <c r="P214" s="2"/>
      <c r="Q214" s="2"/>
      <c r="R214" s="2"/>
      <c r="S214" s="2"/>
      <c r="T214" s="2"/>
      <c r="U214" s="81">
        <f t="shared" ref="U214:U217" si="15">SUM(P214:T214)</f>
        <v>0</v>
      </c>
    </row>
    <row r="215" spans="1:24" hidden="1" x14ac:dyDescent="0.25">
      <c r="A215" s="95" t="s">
        <v>218</v>
      </c>
      <c r="B215" s="2"/>
      <c r="C215" s="2"/>
      <c r="D215" s="2"/>
      <c r="E215" s="2"/>
      <c r="F215" s="2"/>
      <c r="G215" s="81">
        <v>0</v>
      </c>
      <c r="P215" s="2"/>
      <c r="Q215" s="2"/>
      <c r="R215" s="2"/>
      <c r="S215" s="2"/>
      <c r="T215" s="2"/>
      <c r="U215" s="81">
        <f t="shared" si="15"/>
        <v>0</v>
      </c>
    </row>
    <row r="216" spans="1:24" hidden="1" x14ac:dyDescent="0.25">
      <c r="A216" s="95" t="s">
        <v>219</v>
      </c>
      <c r="B216" s="2"/>
      <c r="C216" s="2"/>
      <c r="D216" s="2"/>
      <c r="E216" s="2"/>
      <c r="F216" s="2"/>
      <c r="G216" s="81">
        <v>0</v>
      </c>
      <c r="P216" s="2"/>
      <c r="Q216" s="2"/>
      <c r="R216" s="2"/>
      <c r="S216" s="2"/>
      <c r="T216" s="2"/>
      <c r="U216" s="81">
        <f t="shared" si="15"/>
        <v>0</v>
      </c>
    </row>
    <row r="217" spans="1:24" hidden="1" x14ac:dyDescent="0.25">
      <c r="A217" s="95" t="s">
        <v>220</v>
      </c>
      <c r="B217" s="2"/>
      <c r="C217" s="2"/>
      <c r="D217" s="2"/>
      <c r="E217" s="2"/>
      <c r="F217" s="2"/>
      <c r="G217" s="81">
        <v>0</v>
      </c>
      <c r="P217" s="2"/>
      <c r="Q217" s="2"/>
      <c r="R217" s="2"/>
      <c r="S217" s="2"/>
      <c r="T217" s="2"/>
      <c r="U217" s="81">
        <f t="shared" si="15"/>
        <v>0</v>
      </c>
    </row>
    <row r="218" spans="1:24" hidden="1" x14ac:dyDescent="0.25">
      <c r="A218" s="95" t="s">
        <v>221</v>
      </c>
      <c r="B218" s="12"/>
      <c r="C218" s="12"/>
      <c r="D218" s="21"/>
      <c r="E218" s="21"/>
      <c r="F218" s="21"/>
      <c r="G218" s="98">
        <v>0</v>
      </c>
      <c r="P218" s="12"/>
      <c r="Q218" s="12"/>
      <c r="R218" s="21"/>
      <c r="S218" s="21"/>
      <c r="T218" s="21"/>
      <c r="U218" s="98">
        <f>SUM(P218:T218)</f>
        <v>0</v>
      </c>
    </row>
    <row r="219" spans="1:24" hidden="1" x14ac:dyDescent="0.25">
      <c r="A219" s="95" t="s">
        <v>221</v>
      </c>
      <c r="B219" s="12"/>
      <c r="C219" s="12"/>
      <c r="D219" s="21"/>
      <c r="E219" s="21"/>
      <c r="F219" s="21"/>
      <c r="G219" s="81">
        <v>0</v>
      </c>
      <c r="P219" s="12"/>
      <c r="Q219" s="12"/>
      <c r="R219" s="21"/>
      <c r="S219" s="21"/>
      <c r="T219" s="21"/>
      <c r="U219" s="81">
        <f t="shared" ref="U219" si="16">SUM(P219:T219)</f>
        <v>0</v>
      </c>
      <c r="X219" s="69"/>
    </row>
    <row r="220" spans="1:24" ht="15.75" hidden="1" thickBot="1" x14ac:dyDescent="0.3">
      <c r="A220" s="95" t="s">
        <v>223</v>
      </c>
      <c r="B220" s="8"/>
      <c r="C220" s="8"/>
      <c r="D220" s="8"/>
      <c r="E220" s="8"/>
      <c r="F220" s="8"/>
      <c r="G220" s="99"/>
      <c r="P220" s="8"/>
      <c r="Q220" s="8"/>
      <c r="R220" s="8"/>
      <c r="S220" s="8"/>
      <c r="T220" s="8"/>
      <c r="U220" s="99"/>
      <c r="X220" s="69"/>
    </row>
    <row r="221" spans="1:24" ht="15.75" hidden="1" thickBot="1" x14ac:dyDescent="0.3">
      <c r="A221" s="95"/>
      <c r="B221" s="39">
        <v>0</v>
      </c>
      <c r="C221" s="39">
        <v>0</v>
      </c>
      <c r="D221" s="39">
        <v>0</v>
      </c>
      <c r="E221" s="39">
        <v>0</v>
      </c>
      <c r="F221" s="39">
        <v>0</v>
      </c>
      <c r="G221" s="40">
        <v>0</v>
      </c>
      <c r="P221" s="39">
        <f>+P214-P215-P216-P217-P218</f>
        <v>0</v>
      </c>
      <c r="Q221" s="39">
        <f>+Q214-Q215-Q216-Q217-Q218</f>
        <v>0</v>
      </c>
      <c r="R221" s="39">
        <f>+R214-R215-R216-R217-R218</f>
        <v>0</v>
      </c>
      <c r="S221" s="39">
        <f>+S214-S215-S216-S217-S218</f>
        <v>0</v>
      </c>
      <c r="T221" s="39">
        <f>+T214-T215-T216-T217-T218</f>
        <v>0</v>
      </c>
      <c r="U221" s="40">
        <f>+U214-U215-U216-U217-U218-U220</f>
        <v>0</v>
      </c>
      <c r="X221" s="69"/>
    </row>
    <row r="222" spans="1:24" hidden="1" x14ac:dyDescent="0.25">
      <c r="A222" s="95"/>
      <c r="B222" s="8"/>
      <c r="C222" s="8"/>
      <c r="D222" s="8"/>
      <c r="E222" s="8"/>
      <c r="F222" s="8"/>
      <c r="G222" s="81"/>
      <c r="P222" s="8"/>
      <c r="Q222" s="8"/>
      <c r="R222" s="8"/>
      <c r="S222" s="8"/>
      <c r="T222" s="8"/>
      <c r="U222" s="81"/>
    </row>
    <row r="223" spans="1:24" hidden="1" x14ac:dyDescent="0.25">
      <c r="A223" s="95" t="s">
        <v>224</v>
      </c>
      <c r="B223" s="8"/>
      <c r="C223" s="8"/>
      <c r="D223" s="8"/>
      <c r="E223" s="8"/>
      <c r="F223" s="8"/>
      <c r="G223" s="81">
        <v>0</v>
      </c>
      <c r="P223" s="8"/>
      <c r="Q223" s="8"/>
      <c r="R223" s="8"/>
      <c r="S223" s="8"/>
      <c r="T223" s="8"/>
      <c r="U223" s="81">
        <f t="shared" ref="U223:U230" si="17">SUM(P223:T223)</f>
        <v>0</v>
      </c>
    </row>
    <row r="224" spans="1:24" hidden="1" x14ac:dyDescent="0.25">
      <c r="A224" s="95" t="s">
        <v>225</v>
      </c>
      <c r="B224" s="100"/>
      <c r="C224" s="8"/>
      <c r="D224" s="8"/>
      <c r="E224" s="8"/>
      <c r="F224" s="8"/>
      <c r="G224" s="81">
        <v>0</v>
      </c>
      <c r="P224" s="100"/>
      <c r="Q224" s="8"/>
      <c r="R224" s="8"/>
      <c r="S224" s="8"/>
      <c r="T224" s="8"/>
      <c r="U224" s="81">
        <f t="shared" si="17"/>
        <v>0</v>
      </c>
    </row>
    <row r="225" spans="1:24" hidden="1" x14ac:dyDescent="0.25">
      <c r="A225" s="95" t="s">
        <v>226</v>
      </c>
      <c r="B225" s="8"/>
      <c r="C225" s="8"/>
      <c r="D225" s="8"/>
      <c r="E225" s="8"/>
      <c r="F225" s="8"/>
      <c r="G225" s="81">
        <v>0</v>
      </c>
      <c r="P225" s="8"/>
      <c r="Q225" s="8"/>
      <c r="R225" s="8"/>
      <c r="S225" s="8"/>
      <c r="T225" s="8"/>
      <c r="U225" s="81">
        <f t="shared" si="17"/>
        <v>0</v>
      </c>
    </row>
    <row r="226" spans="1:24" hidden="1" x14ac:dyDescent="0.25">
      <c r="A226" s="95" t="s">
        <v>227</v>
      </c>
      <c r="B226" s="8"/>
      <c r="C226" s="8"/>
      <c r="D226" s="8"/>
      <c r="E226" s="8"/>
      <c r="F226" s="8"/>
      <c r="G226" s="81">
        <v>0</v>
      </c>
      <c r="P226" s="8"/>
      <c r="Q226" s="8"/>
      <c r="R226" s="8"/>
      <c r="S226" s="8"/>
      <c r="T226" s="8"/>
      <c r="U226" s="81">
        <f t="shared" si="17"/>
        <v>0</v>
      </c>
    </row>
    <row r="227" spans="1:24" hidden="1" x14ac:dyDescent="0.25">
      <c r="A227" s="95" t="s">
        <v>228</v>
      </c>
      <c r="B227" s="8"/>
      <c r="C227" s="8"/>
      <c r="D227" s="8"/>
      <c r="E227" s="8"/>
      <c r="F227" s="8"/>
      <c r="G227" s="81">
        <v>0</v>
      </c>
      <c r="P227" s="8"/>
      <c r="Q227" s="8"/>
      <c r="R227" s="8"/>
      <c r="S227" s="8"/>
      <c r="T227" s="8"/>
      <c r="U227" s="81">
        <f t="shared" si="17"/>
        <v>0</v>
      </c>
    </row>
    <row r="228" spans="1:24" hidden="1" x14ac:dyDescent="0.25">
      <c r="A228" s="95" t="s">
        <v>37</v>
      </c>
      <c r="B228" s="8"/>
      <c r="C228" s="8"/>
      <c r="D228" s="8"/>
      <c r="E228" s="8"/>
      <c r="F228" s="8"/>
      <c r="G228" s="81">
        <v>0</v>
      </c>
      <c r="P228" s="8"/>
      <c r="Q228" s="8"/>
      <c r="R228" s="8"/>
      <c r="S228" s="8"/>
      <c r="T228" s="8"/>
      <c r="U228" s="81">
        <f t="shared" si="17"/>
        <v>0</v>
      </c>
    </row>
    <row r="229" spans="1:24" hidden="1" x14ac:dyDescent="0.25">
      <c r="A229" s="95" t="s">
        <v>235</v>
      </c>
      <c r="B229" s="8"/>
      <c r="C229" s="8"/>
      <c r="D229" s="8"/>
      <c r="E229" s="8"/>
      <c r="F229" s="8"/>
      <c r="G229" s="81">
        <v>0</v>
      </c>
      <c r="P229" s="8"/>
      <c r="Q229" s="8"/>
      <c r="R229" s="8"/>
      <c r="S229" s="8"/>
      <c r="T229" s="8"/>
      <c r="U229" s="81">
        <f t="shared" si="17"/>
        <v>0</v>
      </c>
    </row>
    <row r="230" spans="1:24" hidden="1" x14ac:dyDescent="0.25">
      <c r="A230" s="95" t="s">
        <v>236</v>
      </c>
      <c r="B230" s="8"/>
      <c r="C230" s="8"/>
      <c r="D230" s="8"/>
      <c r="E230" s="8"/>
      <c r="F230" s="8"/>
      <c r="G230" s="81">
        <v>0</v>
      </c>
      <c r="P230" s="8"/>
      <c r="Q230" s="8"/>
      <c r="R230" s="8"/>
      <c r="S230" s="8"/>
      <c r="T230" s="8"/>
      <c r="U230" s="81">
        <f t="shared" si="17"/>
        <v>0</v>
      </c>
      <c r="W230" s="78"/>
      <c r="X230" s="56"/>
    </row>
    <row r="231" spans="1:24" hidden="1" x14ac:dyDescent="0.25">
      <c r="A231" s="95" t="s">
        <v>237</v>
      </c>
      <c r="B231" s="8"/>
      <c r="C231" s="8"/>
      <c r="D231" s="8"/>
      <c r="E231" s="8"/>
      <c r="F231" s="8"/>
      <c r="G231" s="81">
        <v>0</v>
      </c>
      <c r="P231" s="8"/>
      <c r="Q231" s="8"/>
      <c r="R231" s="8"/>
      <c r="S231" s="8"/>
      <c r="T231" s="8"/>
      <c r="U231" s="81">
        <f>SUM(P231:T231)</f>
        <v>0</v>
      </c>
      <c r="V231" s="56">
        <f>SUM(P232:T232)-U220</f>
        <v>0</v>
      </c>
      <c r="W231" s="78">
        <f>U232-V231</f>
        <v>0</v>
      </c>
      <c r="X231" s="56" t="s">
        <v>230</v>
      </c>
    </row>
    <row r="232" spans="1:24" hidden="1" x14ac:dyDescent="0.25">
      <c r="A232" s="95" t="s">
        <v>222</v>
      </c>
      <c r="B232" s="101"/>
      <c r="C232" s="101"/>
      <c r="D232" s="101"/>
      <c r="E232" s="101"/>
      <c r="F232" s="101"/>
      <c r="G232" s="102">
        <v>0</v>
      </c>
      <c r="P232" s="101"/>
      <c r="Q232" s="101"/>
      <c r="R232" s="101"/>
      <c r="S232" s="101"/>
      <c r="T232" s="101"/>
      <c r="U232" s="102">
        <f>+U221-U223-U224-U225-U226-U229-U227-U228-U230-U231</f>
        <v>0</v>
      </c>
      <c r="W232" s="78">
        <f>U232-V232</f>
        <v>0</v>
      </c>
      <c r="X232" s="57" t="s">
        <v>232</v>
      </c>
    </row>
    <row r="233" spans="1:24" ht="15.75" hidden="1" thickBot="1" x14ac:dyDescent="0.3">
      <c r="A233" s="41" t="s">
        <v>231</v>
      </c>
      <c r="B233" s="42"/>
      <c r="C233" s="42"/>
      <c r="D233" s="42"/>
      <c r="E233" s="42"/>
      <c r="F233" s="42"/>
      <c r="G233" s="40"/>
      <c r="P233" s="42"/>
      <c r="Q233" s="42"/>
      <c r="R233" s="42"/>
      <c r="S233" s="42"/>
      <c r="T233" s="42"/>
      <c r="U233" s="40"/>
    </row>
    <row r="234" spans="1:24" ht="14.45" hidden="1" customHeight="1" x14ac:dyDescent="0.25">
      <c r="A234" s="116" t="s">
        <v>210</v>
      </c>
      <c r="D234" s="57"/>
      <c r="E234" s="57"/>
      <c r="F234" s="57"/>
      <c r="G234" s="57"/>
      <c r="P234" s="57"/>
      <c r="Q234" s="57"/>
      <c r="R234" s="57"/>
      <c r="S234" s="57"/>
      <c r="T234" s="57"/>
      <c r="U234" s="57"/>
    </row>
    <row r="235" spans="1:24" ht="14.45" hidden="1" customHeight="1" x14ac:dyDescent="0.25">
      <c r="A235" s="117" t="s">
        <v>211</v>
      </c>
      <c r="D235" s="57"/>
      <c r="E235" s="57"/>
      <c r="F235" s="57"/>
      <c r="G235" s="57"/>
      <c r="P235" s="57"/>
      <c r="Q235" s="57"/>
      <c r="R235" s="57"/>
      <c r="S235" s="57"/>
      <c r="T235" s="57"/>
      <c r="U235" s="57"/>
    </row>
    <row r="236" spans="1:24" ht="14.45" hidden="1" customHeight="1" x14ac:dyDescent="0.25">
      <c r="A236" s="118">
        <v>43434</v>
      </c>
      <c r="D236" s="57"/>
      <c r="E236" s="57"/>
      <c r="F236" s="57"/>
      <c r="G236" s="57"/>
      <c r="P236" s="57"/>
      <c r="Q236" s="57"/>
      <c r="R236" s="57"/>
      <c r="S236" s="57"/>
      <c r="T236" s="57"/>
      <c r="U236" s="57"/>
    </row>
    <row r="237" spans="1:24" s="66" customFormat="1" hidden="1" x14ac:dyDescent="0.25">
      <c r="A237" s="59"/>
      <c r="B237" s="60"/>
      <c r="C237" s="60"/>
      <c r="D237" s="60"/>
      <c r="E237" s="60"/>
      <c r="F237" s="60"/>
      <c r="G237" s="61"/>
      <c r="P237" s="60"/>
      <c r="Q237" s="60"/>
      <c r="R237" s="60"/>
      <c r="S237" s="60"/>
      <c r="T237" s="60"/>
      <c r="U237" s="61"/>
      <c r="V237" s="65"/>
    </row>
    <row r="238" spans="1:24" hidden="1" x14ac:dyDescent="0.25">
      <c r="A238" s="62"/>
      <c r="B238" s="63" t="s">
        <v>212</v>
      </c>
      <c r="C238" s="63" t="s">
        <v>213</v>
      </c>
      <c r="D238" s="63" t="s">
        <v>214</v>
      </c>
      <c r="E238" s="63" t="s">
        <v>215</v>
      </c>
      <c r="F238" s="63" t="s">
        <v>216</v>
      </c>
      <c r="G238" s="64" t="s">
        <v>217</v>
      </c>
      <c r="P238" s="63" t="s">
        <v>212</v>
      </c>
      <c r="Q238" s="63" t="s">
        <v>213</v>
      </c>
      <c r="R238" s="63" t="s">
        <v>214</v>
      </c>
      <c r="S238" s="63" t="s">
        <v>215</v>
      </c>
      <c r="T238" s="63" t="s">
        <v>216</v>
      </c>
      <c r="U238" s="64" t="s">
        <v>217</v>
      </c>
    </row>
    <row r="239" spans="1:24" hidden="1" x14ac:dyDescent="0.25">
      <c r="A239" s="62" t="s">
        <v>63</v>
      </c>
      <c r="B239" s="2"/>
      <c r="C239" s="2"/>
      <c r="D239" s="2"/>
      <c r="E239" s="2"/>
      <c r="F239" s="2"/>
      <c r="G239" s="67">
        <v>0</v>
      </c>
      <c r="P239" s="2"/>
      <c r="Q239" s="2"/>
      <c r="R239" s="2"/>
      <c r="S239" s="2"/>
      <c r="T239" s="2"/>
      <c r="U239" s="67">
        <f>SUM(P239:T239)</f>
        <v>0</v>
      </c>
      <c r="V239" s="103"/>
    </row>
    <row r="240" spans="1:24" hidden="1" x14ac:dyDescent="0.25">
      <c r="A240" s="62" t="s">
        <v>218</v>
      </c>
      <c r="B240" s="2"/>
      <c r="C240" s="2"/>
      <c r="D240" s="2"/>
      <c r="E240" s="2"/>
      <c r="F240" s="2"/>
      <c r="G240" s="67">
        <v>0</v>
      </c>
      <c r="P240" s="2"/>
      <c r="Q240" s="2"/>
      <c r="R240" s="2"/>
      <c r="S240" s="2"/>
      <c r="T240" s="2"/>
      <c r="U240" s="67">
        <f>SUM(P240:T240)</f>
        <v>0</v>
      </c>
      <c r="V240" s="103"/>
    </row>
    <row r="241" spans="1:24" hidden="1" x14ac:dyDescent="0.25">
      <c r="A241" s="62" t="s">
        <v>219</v>
      </c>
      <c r="B241" s="2"/>
      <c r="C241" s="2"/>
      <c r="D241" s="2"/>
      <c r="E241" s="2"/>
      <c r="F241" s="2"/>
      <c r="G241" s="67">
        <v>0</v>
      </c>
      <c r="P241" s="2"/>
      <c r="Q241" s="2"/>
      <c r="R241" s="2"/>
      <c r="S241" s="2"/>
      <c r="T241" s="2"/>
      <c r="U241" s="67">
        <f>SUM(P241:T241)</f>
        <v>0</v>
      </c>
      <c r="V241" s="103"/>
    </row>
    <row r="242" spans="1:24" hidden="1" x14ac:dyDescent="0.25">
      <c r="A242" s="62" t="s">
        <v>220</v>
      </c>
      <c r="B242" s="2"/>
      <c r="C242" s="2"/>
      <c r="D242" s="2"/>
      <c r="E242" s="2"/>
      <c r="F242" s="2"/>
      <c r="G242" s="67">
        <v>0</v>
      </c>
      <c r="P242" s="2"/>
      <c r="Q242" s="2"/>
      <c r="R242" s="2"/>
      <c r="S242" s="2"/>
      <c r="T242" s="2"/>
      <c r="U242" s="67">
        <f>SUM(P242:T242)</f>
        <v>0</v>
      </c>
      <c r="V242" s="103"/>
    </row>
    <row r="243" spans="1:24" hidden="1" x14ac:dyDescent="0.25">
      <c r="A243" s="62" t="s">
        <v>221</v>
      </c>
      <c r="B243" s="12"/>
      <c r="C243" s="2"/>
      <c r="D243" s="75"/>
      <c r="E243" s="75"/>
      <c r="F243" s="75"/>
      <c r="G243" s="76">
        <v>0</v>
      </c>
      <c r="P243" s="12"/>
      <c r="Q243" s="2"/>
      <c r="R243" s="75"/>
      <c r="S243" s="75"/>
      <c r="T243" s="75"/>
      <c r="U243" s="76">
        <f>SUM(P243:T243)</f>
        <v>0</v>
      </c>
      <c r="V243" s="103"/>
      <c r="W243" s="104"/>
      <c r="X243" s="78"/>
    </row>
    <row r="244" spans="1:24" ht="15.75" hidden="1" thickBot="1" x14ac:dyDescent="0.3">
      <c r="A244" s="62" t="s">
        <v>223</v>
      </c>
      <c r="B244" s="82"/>
      <c r="C244" s="82"/>
      <c r="D244" s="82"/>
      <c r="E244" s="82"/>
      <c r="F244" s="82"/>
      <c r="G244" s="105"/>
      <c r="P244" s="82"/>
      <c r="Q244" s="82"/>
      <c r="R244" s="82"/>
      <c r="S244" s="82"/>
      <c r="T244" s="82"/>
      <c r="U244" s="105"/>
      <c r="V244" s="103"/>
      <c r="W244" s="104"/>
    </row>
    <row r="245" spans="1:24" ht="15.75" hidden="1" thickBot="1" x14ac:dyDescent="0.3">
      <c r="A245" s="62"/>
      <c r="B245" s="84">
        <v>0</v>
      </c>
      <c r="C245" s="84">
        <v>0</v>
      </c>
      <c r="D245" s="84">
        <v>0</v>
      </c>
      <c r="E245" s="84">
        <v>0</v>
      </c>
      <c r="F245" s="84">
        <v>0</v>
      </c>
      <c r="G245" s="74">
        <v>0</v>
      </c>
      <c r="P245" s="84">
        <f>+P239-P240-P241-P242-P243</f>
        <v>0</v>
      </c>
      <c r="Q245" s="84">
        <f>+Q239-Q240-Q241-Q242-Q243</f>
        <v>0</v>
      </c>
      <c r="R245" s="84">
        <f>+R239-R240-R241-R242-R243</f>
        <v>0</v>
      </c>
      <c r="S245" s="84">
        <f>+S239-S240-S241-S242-S243</f>
        <v>0</v>
      </c>
      <c r="T245" s="84">
        <f>+T239-T240-T241-T242-T243</f>
        <v>0</v>
      </c>
      <c r="U245" s="74">
        <f>+U239-U240-U241-U242-U243-U244</f>
        <v>0</v>
      </c>
      <c r="W245" s="69"/>
    </row>
    <row r="246" spans="1:24" hidden="1" x14ac:dyDescent="0.25">
      <c r="A246" s="62"/>
      <c r="B246" s="85"/>
      <c r="C246" s="85"/>
      <c r="D246" s="85"/>
      <c r="E246" s="85"/>
      <c r="F246" s="85"/>
      <c r="G246" s="67"/>
      <c r="P246" s="85"/>
      <c r="Q246" s="85"/>
      <c r="R246" s="85"/>
      <c r="S246" s="85"/>
      <c r="T246" s="85"/>
      <c r="U246" s="67"/>
      <c r="X246" s="78"/>
    </row>
    <row r="247" spans="1:24" hidden="1" x14ac:dyDescent="0.25">
      <c r="A247" s="62" t="s">
        <v>224</v>
      </c>
      <c r="B247" s="2"/>
      <c r="C247" s="2"/>
      <c r="D247" s="2"/>
      <c r="E247" s="2"/>
      <c r="F247" s="2"/>
      <c r="G247" s="67">
        <v>0</v>
      </c>
      <c r="P247" s="2"/>
      <c r="Q247" s="2"/>
      <c r="R247" s="2"/>
      <c r="S247" s="2"/>
      <c r="T247" s="2"/>
      <c r="U247" s="67">
        <f t="shared" ref="U247:U254" si="18">SUM(P247:T247)</f>
        <v>0</v>
      </c>
      <c r="V247" s="103"/>
    </row>
    <row r="248" spans="1:24" hidden="1" x14ac:dyDescent="0.25">
      <c r="A248" s="62" t="s">
        <v>225</v>
      </c>
      <c r="B248" s="8"/>
      <c r="C248" s="8"/>
      <c r="D248" s="8"/>
      <c r="E248" s="8"/>
      <c r="F248" s="8"/>
      <c r="G248" s="67">
        <v>0</v>
      </c>
      <c r="P248" s="8"/>
      <c r="Q248" s="8"/>
      <c r="R248" s="8"/>
      <c r="S248" s="8"/>
      <c r="T248" s="8"/>
      <c r="U248" s="67">
        <f t="shared" si="18"/>
        <v>0</v>
      </c>
      <c r="V248" s="103"/>
    </row>
    <row r="249" spans="1:24" hidden="1" x14ac:dyDescent="0.25">
      <c r="A249" s="62" t="s">
        <v>226</v>
      </c>
      <c r="B249" s="8"/>
      <c r="C249" s="8"/>
      <c r="D249" s="8"/>
      <c r="E249" s="8"/>
      <c r="F249" s="8"/>
      <c r="G249" s="67">
        <v>0</v>
      </c>
      <c r="P249" s="8"/>
      <c r="Q249" s="8"/>
      <c r="R249" s="8"/>
      <c r="S249" s="8"/>
      <c r="T249" s="8"/>
      <c r="U249" s="67">
        <f t="shared" si="18"/>
        <v>0</v>
      </c>
      <c r="V249" s="103"/>
    </row>
    <row r="250" spans="1:24" hidden="1" x14ac:dyDescent="0.25">
      <c r="A250" s="62" t="s">
        <v>227</v>
      </c>
      <c r="B250" s="8"/>
      <c r="C250" s="8"/>
      <c r="D250" s="8"/>
      <c r="E250" s="8"/>
      <c r="F250" s="8"/>
      <c r="G250" s="67">
        <v>0</v>
      </c>
      <c r="P250" s="8"/>
      <c r="Q250" s="8"/>
      <c r="R250" s="8"/>
      <c r="S250" s="8"/>
      <c r="T250" s="8"/>
      <c r="U250" s="67">
        <f t="shared" si="18"/>
        <v>0</v>
      </c>
    </row>
    <row r="251" spans="1:24" hidden="1" x14ac:dyDescent="0.25">
      <c r="A251" s="62" t="s">
        <v>228</v>
      </c>
      <c r="B251" s="8"/>
      <c r="C251" s="8"/>
      <c r="D251" s="8"/>
      <c r="E251" s="8"/>
      <c r="F251" s="8"/>
      <c r="G251" s="67">
        <v>0</v>
      </c>
      <c r="P251" s="8"/>
      <c r="Q251" s="8"/>
      <c r="R251" s="8"/>
      <c r="S251" s="8"/>
      <c r="T251" s="8"/>
      <c r="U251" s="67">
        <f t="shared" si="18"/>
        <v>0</v>
      </c>
    </row>
    <row r="252" spans="1:24" hidden="1" x14ac:dyDescent="0.25">
      <c r="A252" s="62" t="s">
        <v>37</v>
      </c>
      <c r="B252" s="8"/>
      <c r="C252" s="8"/>
      <c r="D252" s="8"/>
      <c r="E252" s="8"/>
      <c r="F252" s="8"/>
      <c r="G252" s="67">
        <v>0</v>
      </c>
      <c r="P252" s="8"/>
      <c r="Q252" s="8"/>
      <c r="R252" s="8"/>
      <c r="S252" s="8"/>
      <c r="T252" s="8"/>
      <c r="U252" s="67">
        <f t="shared" si="18"/>
        <v>0</v>
      </c>
    </row>
    <row r="253" spans="1:24" hidden="1" x14ac:dyDescent="0.25">
      <c r="A253" s="62" t="s">
        <v>229</v>
      </c>
      <c r="B253" s="8"/>
      <c r="C253" s="8"/>
      <c r="D253" s="8"/>
      <c r="E253" s="8"/>
      <c r="F253" s="8"/>
      <c r="G253" s="67">
        <v>0</v>
      </c>
      <c r="P253" s="8"/>
      <c r="Q253" s="8"/>
      <c r="R253" s="8"/>
      <c r="S253" s="8"/>
      <c r="T253" s="8"/>
      <c r="U253" s="67">
        <f t="shared" si="18"/>
        <v>0</v>
      </c>
    </row>
    <row r="254" spans="1:24" hidden="1" x14ac:dyDescent="0.25">
      <c r="A254" s="95" t="s">
        <v>237</v>
      </c>
      <c r="B254" s="85"/>
      <c r="C254" s="85"/>
      <c r="D254" s="85"/>
      <c r="E254" s="85"/>
      <c r="F254" s="85"/>
      <c r="G254" s="67">
        <v>0</v>
      </c>
      <c r="P254" s="85"/>
      <c r="Q254" s="85"/>
      <c r="R254" s="85"/>
      <c r="S254" s="85"/>
      <c r="T254" s="85"/>
      <c r="U254" s="67">
        <f t="shared" si="18"/>
        <v>0</v>
      </c>
      <c r="V254" s="56">
        <f>SUM(P255:T255)-U244</f>
        <v>0</v>
      </c>
      <c r="W254" s="78">
        <f>U255-V254</f>
        <v>0</v>
      </c>
      <c r="X254" s="56" t="s">
        <v>230</v>
      </c>
    </row>
    <row r="255" spans="1:24" hidden="1" x14ac:dyDescent="0.25">
      <c r="A255" s="62" t="s">
        <v>222</v>
      </c>
      <c r="B255" s="85"/>
      <c r="C255" s="85"/>
      <c r="D255" s="85"/>
      <c r="E255" s="85"/>
      <c r="F255" s="85"/>
      <c r="G255" s="102">
        <v>0</v>
      </c>
      <c r="P255" s="85"/>
      <c r="Q255" s="85"/>
      <c r="R255" s="85"/>
      <c r="S255" s="85"/>
      <c r="T255" s="85"/>
      <c r="U255" s="102">
        <f>U245-U247-U248-U249-U250-U251-U252</f>
        <v>0</v>
      </c>
      <c r="W255" s="78">
        <f>U255-V255</f>
        <v>0</v>
      </c>
      <c r="X255" s="57" t="s">
        <v>232</v>
      </c>
    </row>
    <row r="256" spans="1:24" ht="15.75" hidden="1" thickBot="1" x14ac:dyDescent="0.3">
      <c r="A256" s="80" t="s">
        <v>231</v>
      </c>
      <c r="B256" s="87"/>
      <c r="C256" s="87"/>
      <c r="D256" s="87"/>
      <c r="E256" s="87"/>
      <c r="F256" s="87"/>
      <c r="G256" s="88"/>
      <c r="P256" s="87"/>
      <c r="Q256" s="87"/>
      <c r="R256" s="87"/>
      <c r="S256" s="87"/>
      <c r="T256" s="87"/>
      <c r="U256" s="88"/>
    </row>
    <row r="257" spans="1:23" ht="14.45" hidden="1" customHeight="1" x14ac:dyDescent="0.25">
      <c r="A257" s="116" t="s">
        <v>210</v>
      </c>
      <c r="D257" s="57"/>
      <c r="E257" s="57"/>
      <c r="F257" s="57"/>
      <c r="G257" s="57"/>
      <c r="P257" s="57"/>
      <c r="Q257" s="57"/>
      <c r="R257" s="57"/>
      <c r="S257" s="57"/>
      <c r="T257" s="57"/>
      <c r="U257" s="57"/>
      <c r="W257" s="78">
        <f>W255/2</f>
        <v>0</v>
      </c>
    </row>
    <row r="258" spans="1:23" ht="14.45" hidden="1" customHeight="1" x14ac:dyDescent="0.25">
      <c r="A258" s="117" t="s">
        <v>211</v>
      </c>
      <c r="D258" s="57"/>
      <c r="E258" s="57"/>
      <c r="F258" s="57"/>
      <c r="G258" s="57"/>
      <c r="P258" s="57"/>
      <c r="Q258" s="57"/>
      <c r="R258" s="57"/>
      <c r="S258" s="57"/>
      <c r="T258" s="57"/>
      <c r="U258" s="57"/>
    </row>
    <row r="259" spans="1:23" ht="14.45" hidden="1" customHeight="1" x14ac:dyDescent="0.25">
      <c r="A259" s="118">
        <v>43465</v>
      </c>
      <c r="D259" s="57"/>
      <c r="E259" s="57"/>
      <c r="F259" s="57"/>
      <c r="G259" s="57"/>
      <c r="P259" s="57"/>
      <c r="Q259" s="57"/>
      <c r="R259" s="57"/>
      <c r="S259" s="57"/>
      <c r="T259" s="57"/>
      <c r="U259" s="57"/>
    </row>
    <row r="260" spans="1:23" s="66" customFormat="1" hidden="1" x14ac:dyDescent="0.25">
      <c r="A260" s="59"/>
      <c r="B260" s="60"/>
      <c r="C260" s="60"/>
      <c r="D260" s="60"/>
      <c r="E260" s="60"/>
      <c r="F260" s="60"/>
      <c r="G260" s="61"/>
      <c r="P260" s="60"/>
      <c r="Q260" s="60"/>
      <c r="R260" s="60"/>
      <c r="S260" s="60"/>
      <c r="T260" s="60"/>
      <c r="U260" s="61"/>
      <c r="V260" s="65"/>
    </row>
    <row r="261" spans="1:23" hidden="1" x14ac:dyDescent="0.25">
      <c r="A261" s="62"/>
      <c r="B261" s="63" t="s">
        <v>212</v>
      </c>
      <c r="C261" s="63" t="s">
        <v>213</v>
      </c>
      <c r="D261" s="63" t="s">
        <v>214</v>
      </c>
      <c r="E261" s="63" t="s">
        <v>215</v>
      </c>
      <c r="F261" s="63" t="s">
        <v>216</v>
      </c>
      <c r="G261" s="64" t="s">
        <v>217</v>
      </c>
      <c r="P261" s="63" t="s">
        <v>212</v>
      </c>
      <c r="Q261" s="63" t="s">
        <v>213</v>
      </c>
      <c r="R261" s="63" t="s">
        <v>214</v>
      </c>
      <c r="S261" s="63" t="s">
        <v>215</v>
      </c>
      <c r="T261" s="63" t="s">
        <v>216</v>
      </c>
      <c r="U261" s="64" t="s">
        <v>217</v>
      </c>
    </row>
    <row r="262" spans="1:23" hidden="1" x14ac:dyDescent="0.25">
      <c r="A262" s="62" t="s">
        <v>63</v>
      </c>
      <c r="B262" s="2"/>
      <c r="C262" s="2"/>
      <c r="D262" s="2"/>
      <c r="E262" s="2"/>
      <c r="F262" s="2"/>
      <c r="G262" s="67">
        <v>0</v>
      </c>
      <c r="P262" s="2"/>
      <c r="Q262" s="2"/>
      <c r="R262" s="2"/>
      <c r="S262" s="2"/>
      <c r="T262" s="2"/>
      <c r="U262" s="67">
        <f>SUM(P262:T262)</f>
        <v>0</v>
      </c>
    </row>
    <row r="263" spans="1:23" hidden="1" x14ac:dyDescent="0.25">
      <c r="A263" s="62" t="s">
        <v>218</v>
      </c>
      <c r="B263" s="2"/>
      <c r="C263" s="2"/>
      <c r="D263" s="2"/>
      <c r="E263" s="2"/>
      <c r="F263" s="2"/>
      <c r="G263" s="67">
        <v>0</v>
      </c>
      <c r="P263" s="2"/>
      <c r="Q263" s="2"/>
      <c r="R263" s="2"/>
      <c r="S263" s="2"/>
      <c r="T263" s="2"/>
      <c r="U263" s="67">
        <f>SUM(P263:T263)</f>
        <v>0</v>
      </c>
    </row>
    <row r="264" spans="1:23" hidden="1" x14ac:dyDescent="0.25">
      <c r="A264" s="62" t="s">
        <v>219</v>
      </c>
      <c r="B264" s="2"/>
      <c r="C264" s="2"/>
      <c r="D264" s="2"/>
      <c r="E264" s="2"/>
      <c r="F264" s="2"/>
      <c r="G264" s="67">
        <v>0</v>
      </c>
      <c r="P264" s="2"/>
      <c r="Q264" s="2"/>
      <c r="R264" s="2"/>
      <c r="S264" s="2"/>
      <c r="T264" s="2"/>
      <c r="U264" s="67">
        <f>SUM(P264:T264)</f>
        <v>0</v>
      </c>
    </row>
    <row r="265" spans="1:23" hidden="1" x14ac:dyDescent="0.25">
      <c r="A265" s="62" t="s">
        <v>220</v>
      </c>
      <c r="B265" s="2"/>
      <c r="C265" s="2"/>
      <c r="D265" s="2"/>
      <c r="E265" s="2"/>
      <c r="F265" s="2"/>
      <c r="G265" s="67">
        <v>0</v>
      </c>
      <c r="P265" s="2"/>
      <c r="Q265" s="2"/>
      <c r="R265" s="2"/>
      <c r="S265" s="2"/>
      <c r="T265" s="2"/>
      <c r="U265" s="67">
        <f>SUM(P265:T265)</f>
        <v>0</v>
      </c>
    </row>
    <row r="266" spans="1:23" hidden="1" x14ac:dyDescent="0.25">
      <c r="A266" s="62" t="s">
        <v>221</v>
      </c>
      <c r="B266" s="2"/>
      <c r="C266" s="2"/>
      <c r="D266" s="2"/>
      <c r="E266" s="2"/>
      <c r="F266" s="2"/>
      <c r="G266" s="67">
        <v>0</v>
      </c>
      <c r="P266" s="2"/>
      <c r="Q266" s="2"/>
      <c r="R266" s="2"/>
      <c r="S266" s="2"/>
      <c r="T266" s="2"/>
      <c r="U266" s="67">
        <f>SUM(P266:T266)</f>
        <v>0</v>
      </c>
    </row>
    <row r="267" spans="1:23" ht="15.75" hidden="1" thickBot="1" x14ac:dyDescent="0.3">
      <c r="A267" s="62" t="s">
        <v>223</v>
      </c>
      <c r="B267" s="82"/>
      <c r="C267" s="82"/>
      <c r="D267" s="82"/>
      <c r="E267" s="82"/>
      <c r="F267" s="82"/>
      <c r="G267" s="83"/>
      <c r="P267" s="82"/>
      <c r="Q267" s="82"/>
      <c r="R267" s="82"/>
      <c r="S267" s="82"/>
      <c r="T267" s="82"/>
      <c r="U267" s="83"/>
    </row>
    <row r="268" spans="1:23" ht="15.75" hidden="1" thickBot="1" x14ac:dyDescent="0.3">
      <c r="A268" s="62"/>
      <c r="B268" s="84">
        <v>0</v>
      </c>
      <c r="C268" s="84">
        <v>0</v>
      </c>
      <c r="D268" s="84">
        <v>0</v>
      </c>
      <c r="E268" s="84">
        <v>0</v>
      </c>
      <c r="F268" s="84">
        <v>0</v>
      </c>
      <c r="G268" s="74">
        <v>0</v>
      </c>
      <c r="P268" s="84">
        <f>+P262-P263-P264-P265-P266</f>
        <v>0</v>
      </c>
      <c r="Q268" s="84">
        <f>+Q262-Q263-Q264-Q265-Q266</f>
        <v>0</v>
      </c>
      <c r="R268" s="84">
        <f>+R262-R263-R264-R265-R266</f>
        <v>0</v>
      </c>
      <c r="S268" s="84">
        <f>+S262-S263-S264-S265-S266</f>
        <v>0</v>
      </c>
      <c r="T268" s="84">
        <f>+T262-T263-T264-T265-T266</f>
        <v>0</v>
      </c>
      <c r="U268" s="74">
        <f>+U262-U263-U264-U265-U266-U267</f>
        <v>0</v>
      </c>
    </row>
    <row r="269" spans="1:23" hidden="1" x14ac:dyDescent="0.25">
      <c r="A269" s="62"/>
      <c r="B269" s="85"/>
      <c r="C269" s="85"/>
      <c r="D269" s="85"/>
      <c r="E269" s="85"/>
      <c r="F269" s="85"/>
      <c r="G269" s="67"/>
      <c r="P269" s="85"/>
      <c r="Q269" s="85"/>
      <c r="R269" s="85"/>
      <c r="S269" s="85"/>
      <c r="T269" s="85"/>
      <c r="U269" s="67"/>
    </row>
    <row r="270" spans="1:23" hidden="1" x14ac:dyDescent="0.25">
      <c r="A270" s="62" t="s">
        <v>224</v>
      </c>
      <c r="B270" s="85"/>
      <c r="C270" s="85"/>
      <c r="D270" s="85"/>
      <c r="E270" s="85"/>
      <c r="F270" s="85"/>
      <c r="G270" s="67">
        <v>0</v>
      </c>
      <c r="P270" s="85"/>
      <c r="Q270" s="85"/>
      <c r="R270" s="85"/>
      <c r="S270" s="85"/>
      <c r="T270" s="85"/>
      <c r="U270" s="67">
        <f t="shared" ref="U270:U276" si="19">SUM(P270:T270)</f>
        <v>0</v>
      </c>
    </row>
    <row r="271" spans="1:23" hidden="1" x14ac:dyDescent="0.25">
      <c r="A271" s="62" t="s">
        <v>225</v>
      </c>
      <c r="B271" s="8"/>
      <c r="C271" s="8"/>
      <c r="D271" s="8"/>
      <c r="E271" s="8"/>
      <c r="F271" s="8"/>
      <c r="G271" s="67">
        <v>0</v>
      </c>
      <c r="P271" s="8"/>
      <c r="Q271" s="8"/>
      <c r="R271" s="8"/>
      <c r="S271" s="8"/>
      <c r="T271" s="8"/>
      <c r="U271" s="67">
        <f t="shared" si="19"/>
        <v>0</v>
      </c>
    </row>
    <row r="272" spans="1:23" hidden="1" x14ac:dyDescent="0.25">
      <c r="A272" s="62" t="s">
        <v>226</v>
      </c>
      <c r="B272" s="21"/>
      <c r="C272" s="21"/>
      <c r="D272" s="8"/>
      <c r="E272" s="8"/>
      <c r="F272" s="8"/>
      <c r="G272" s="67">
        <v>0</v>
      </c>
      <c r="P272" s="21"/>
      <c r="Q272" s="21"/>
      <c r="R272" s="8"/>
      <c r="S272" s="8"/>
      <c r="T272" s="8"/>
      <c r="U272" s="67">
        <f t="shared" si="19"/>
        <v>0</v>
      </c>
    </row>
    <row r="273" spans="1:24" hidden="1" x14ac:dyDescent="0.25">
      <c r="A273" s="62" t="s">
        <v>227</v>
      </c>
      <c r="B273" s="8"/>
      <c r="C273" s="8"/>
      <c r="D273" s="8"/>
      <c r="E273" s="8"/>
      <c r="F273" s="8"/>
      <c r="G273" s="67">
        <v>0</v>
      </c>
      <c r="P273" s="8"/>
      <c r="Q273" s="8"/>
      <c r="R273" s="8"/>
      <c r="S273" s="8"/>
      <c r="T273" s="8"/>
      <c r="U273" s="67">
        <f t="shared" si="19"/>
        <v>0</v>
      </c>
    </row>
    <row r="274" spans="1:24" hidden="1" x14ac:dyDescent="0.25">
      <c r="A274" s="62" t="s">
        <v>228</v>
      </c>
      <c r="B274" s="8"/>
      <c r="C274" s="8"/>
      <c r="D274" s="8"/>
      <c r="E274" s="8"/>
      <c r="F274" s="8"/>
      <c r="G274" s="67">
        <v>0</v>
      </c>
      <c r="P274" s="8"/>
      <c r="Q274" s="8"/>
      <c r="R274" s="8"/>
      <c r="S274" s="8"/>
      <c r="T274" s="8"/>
      <c r="U274" s="67">
        <f t="shared" si="19"/>
        <v>0</v>
      </c>
    </row>
    <row r="275" spans="1:24" hidden="1" x14ac:dyDescent="0.25">
      <c r="A275" s="62" t="s">
        <v>37</v>
      </c>
      <c r="B275" s="8"/>
      <c r="C275" s="8"/>
      <c r="D275" s="8"/>
      <c r="E275" s="8"/>
      <c r="F275" s="8"/>
      <c r="G275" s="67">
        <v>0</v>
      </c>
      <c r="P275" s="8"/>
      <c r="Q275" s="8"/>
      <c r="R275" s="8"/>
      <c r="S275" s="8"/>
      <c r="T275" s="8"/>
      <c r="U275" s="67">
        <f t="shared" si="19"/>
        <v>0</v>
      </c>
    </row>
    <row r="276" spans="1:24" hidden="1" x14ac:dyDescent="0.25">
      <c r="A276" s="62" t="s">
        <v>229</v>
      </c>
      <c r="B276" s="8"/>
      <c r="C276" s="8"/>
      <c r="D276" s="8"/>
      <c r="E276" s="8"/>
      <c r="F276" s="8"/>
      <c r="G276" s="67">
        <v>0</v>
      </c>
      <c r="P276" s="8"/>
      <c r="Q276" s="8"/>
      <c r="R276" s="8"/>
      <c r="S276" s="8"/>
      <c r="T276" s="8"/>
      <c r="U276" s="67">
        <f t="shared" si="19"/>
        <v>0</v>
      </c>
    </row>
    <row r="277" spans="1:24" hidden="1" x14ac:dyDescent="0.25">
      <c r="A277" s="95" t="s">
        <v>238</v>
      </c>
      <c r="B277" s="8"/>
      <c r="C277" s="8"/>
      <c r="D277" s="8"/>
      <c r="E277" s="8"/>
      <c r="F277" s="8"/>
      <c r="G277" s="81">
        <v>0</v>
      </c>
      <c r="P277" s="8"/>
      <c r="Q277" s="8"/>
      <c r="R277" s="8"/>
      <c r="S277" s="8"/>
      <c r="T277" s="8"/>
      <c r="U277" s="81">
        <f>SUM(P277:T277)</f>
        <v>0</v>
      </c>
      <c r="V277" s="56">
        <f>SUM(P278:T278)-U267</f>
        <v>0</v>
      </c>
      <c r="W277" s="78">
        <f>U278-V277</f>
        <v>0</v>
      </c>
      <c r="X277" s="56" t="s">
        <v>230</v>
      </c>
    </row>
    <row r="278" spans="1:24" hidden="1" x14ac:dyDescent="0.25">
      <c r="A278" s="62" t="s">
        <v>222</v>
      </c>
      <c r="B278" s="86"/>
      <c r="C278" s="86"/>
      <c r="D278" s="86"/>
      <c r="E278" s="86"/>
      <c r="F278" s="86"/>
      <c r="G278" s="90">
        <v>0</v>
      </c>
      <c r="P278" s="86"/>
      <c r="Q278" s="86"/>
      <c r="R278" s="86"/>
      <c r="S278" s="86"/>
      <c r="T278" s="86"/>
      <c r="U278" s="90">
        <f>+U268-U270-U271-U272-U273-U276-U274-U275</f>
        <v>0</v>
      </c>
      <c r="W278" s="78">
        <f>U278-V278</f>
        <v>0</v>
      </c>
      <c r="X278" s="57" t="s">
        <v>232</v>
      </c>
    </row>
    <row r="279" spans="1:24" hidden="1" x14ac:dyDescent="0.25">
      <c r="A279" s="106" t="s">
        <v>231</v>
      </c>
      <c r="B279" s="85"/>
      <c r="C279" s="85"/>
      <c r="D279" s="85"/>
      <c r="E279" s="85"/>
      <c r="F279" s="85"/>
      <c r="G279" s="67"/>
      <c r="P279" s="85"/>
      <c r="Q279" s="85"/>
      <c r="R279" s="85"/>
      <c r="S279" s="85"/>
      <c r="T279" s="85"/>
      <c r="U279" s="67"/>
    </row>
    <row r="280" spans="1:24" x14ac:dyDescent="0.25">
      <c r="A280" s="107" t="s">
        <v>211</v>
      </c>
      <c r="B280" s="108"/>
      <c r="C280" s="108"/>
      <c r="D280" s="108"/>
      <c r="E280" s="108"/>
      <c r="F280" s="108"/>
      <c r="G280" s="109"/>
      <c r="P280" s="108"/>
      <c r="Q280" s="108"/>
      <c r="R280" s="108"/>
      <c r="S280" s="108"/>
      <c r="T280" s="108"/>
      <c r="U280" s="109"/>
    </row>
    <row r="281" spans="1:24" x14ac:dyDescent="0.25">
      <c r="A281" s="59" t="s">
        <v>239</v>
      </c>
      <c r="B281" s="60"/>
      <c r="C281" s="60"/>
      <c r="D281" s="60"/>
      <c r="E281" s="60"/>
      <c r="F281" s="60"/>
      <c r="G281" s="61"/>
      <c r="P281" s="60"/>
      <c r="Q281" s="60"/>
      <c r="R281" s="60"/>
      <c r="S281" s="60"/>
      <c r="T281" s="60"/>
      <c r="U281" s="61"/>
    </row>
    <row r="282" spans="1:24" x14ac:dyDescent="0.25">
      <c r="A282" s="59"/>
      <c r="B282" s="60"/>
      <c r="C282" s="60"/>
      <c r="D282" s="60"/>
      <c r="E282" s="60"/>
      <c r="F282" s="60"/>
      <c r="G282" s="61"/>
      <c r="P282" s="60"/>
      <c r="Q282" s="60"/>
      <c r="R282" s="60"/>
      <c r="S282" s="60"/>
      <c r="T282" s="60"/>
      <c r="U282" s="61"/>
    </row>
    <row r="283" spans="1:24" x14ac:dyDescent="0.25">
      <c r="A283" s="62"/>
      <c r="B283" s="63" t="s">
        <v>212</v>
      </c>
      <c r="C283" s="63" t="s">
        <v>213</v>
      </c>
      <c r="D283" s="63" t="s">
        <v>214</v>
      </c>
      <c r="E283" s="63" t="s">
        <v>215</v>
      </c>
      <c r="F283" s="63" t="s">
        <v>216</v>
      </c>
      <c r="G283" s="64" t="s">
        <v>217</v>
      </c>
      <c r="P283" s="63" t="s">
        <v>212</v>
      </c>
      <c r="Q283" s="63" t="s">
        <v>213</v>
      </c>
      <c r="R283" s="63" t="s">
        <v>214</v>
      </c>
      <c r="S283" s="63" t="s">
        <v>215</v>
      </c>
      <c r="T283" s="63" t="s">
        <v>216</v>
      </c>
      <c r="U283" s="64" t="s">
        <v>217</v>
      </c>
    </row>
    <row r="284" spans="1:24" x14ac:dyDescent="0.25">
      <c r="A284" s="62" t="s">
        <v>63</v>
      </c>
      <c r="B284" s="7">
        <v>457906563.70999998</v>
      </c>
      <c r="C284" s="7">
        <v>1989101405.0200002</v>
      </c>
      <c r="D284" s="7">
        <v>8049386.8099999996</v>
      </c>
      <c r="E284" s="7">
        <v>8312379.8700000001</v>
      </c>
      <c r="F284" s="7">
        <v>1677325.3900000001</v>
      </c>
      <c r="G284" s="67">
        <v>2465047060.7999997</v>
      </c>
      <c r="P284" s="7">
        <f t="shared" ref="P284:T284" si="20">+P6+P29+P52+P75+P99+P122+P145+P168+P191+P214+P239+P262</f>
        <v>457906563.70999998</v>
      </c>
      <c r="Q284" s="7">
        <f t="shared" si="20"/>
        <v>1989101405.0200002</v>
      </c>
      <c r="R284" s="7">
        <f t="shared" si="20"/>
        <v>8049386.8099999996</v>
      </c>
      <c r="S284" s="7">
        <f t="shared" si="20"/>
        <v>8312379.8700000001</v>
      </c>
      <c r="T284" s="7">
        <f t="shared" si="20"/>
        <v>1677325.3900000001</v>
      </c>
      <c r="U284" s="67">
        <f t="shared" ref="U284:U289" si="21">SUM(P284:T284)</f>
        <v>2465047060.7999997</v>
      </c>
    </row>
    <row r="285" spans="1:24" x14ac:dyDescent="0.25">
      <c r="A285" s="62" t="s">
        <v>218</v>
      </c>
      <c r="B285" s="7">
        <v>459968414.53999996</v>
      </c>
      <c r="C285" s="7">
        <v>1992171881.79</v>
      </c>
      <c r="D285" s="7">
        <v>7941554.29</v>
      </c>
      <c r="E285" s="7">
        <v>9046965.6300000008</v>
      </c>
      <c r="F285" s="7">
        <v>1656771.56</v>
      </c>
      <c r="G285" s="67">
        <v>2470785587.8099999</v>
      </c>
      <c r="P285" s="7">
        <f t="shared" ref="P285:T285" si="22">+P7+P30+P53+P76+P100+P123+P146+P169+P192+P215+P240+P263</f>
        <v>459968414.53999996</v>
      </c>
      <c r="Q285" s="7">
        <f t="shared" si="22"/>
        <v>1992171881.79</v>
      </c>
      <c r="R285" s="7">
        <f t="shared" si="22"/>
        <v>7941554.29</v>
      </c>
      <c r="S285" s="7">
        <f t="shared" si="22"/>
        <v>9046965.6300000008</v>
      </c>
      <c r="T285" s="7">
        <f t="shared" si="22"/>
        <v>1656771.56</v>
      </c>
      <c r="U285" s="67">
        <f t="shared" si="21"/>
        <v>2470785587.8099999</v>
      </c>
    </row>
    <row r="286" spans="1:24" x14ac:dyDescent="0.25">
      <c r="A286" s="62" t="s">
        <v>219</v>
      </c>
      <c r="B286" s="7">
        <v>-4621016.9799999893</v>
      </c>
      <c r="C286" s="7">
        <v>177210.97999999113</v>
      </c>
      <c r="D286" s="7">
        <v>-96499.9200000001</v>
      </c>
      <c r="E286" s="7">
        <v>-51351.099999999962</v>
      </c>
      <c r="F286" s="7">
        <v>0</v>
      </c>
      <c r="G286" s="67">
        <v>-4591657.0199999977</v>
      </c>
      <c r="P286" s="7">
        <f t="shared" ref="P286:T286" si="23">+P8+P31+P54+P77+P101+P124+P147+P170+P193+P216+P241+P264</f>
        <v>-4621016.9799999893</v>
      </c>
      <c r="Q286" s="7">
        <f t="shared" si="23"/>
        <v>177210.97999999113</v>
      </c>
      <c r="R286" s="7">
        <f t="shared" si="23"/>
        <v>-96499.9200000001</v>
      </c>
      <c r="S286" s="7">
        <f t="shared" si="23"/>
        <v>-51351.099999999962</v>
      </c>
      <c r="T286" s="7">
        <f t="shared" si="23"/>
        <v>0</v>
      </c>
      <c r="U286" s="67">
        <f t="shared" si="21"/>
        <v>-4591657.0199999977</v>
      </c>
    </row>
    <row r="287" spans="1:24" x14ac:dyDescent="0.25">
      <c r="A287" s="62" t="s">
        <v>220</v>
      </c>
      <c r="B287" s="7">
        <v>-1775997.5700000077</v>
      </c>
      <c r="C287" s="7">
        <v>-7520796.1300000027</v>
      </c>
      <c r="D287" s="7">
        <v>90</v>
      </c>
      <c r="E287" s="7">
        <v>0</v>
      </c>
      <c r="F287" s="7">
        <v>0</v>
      </c>
      <c r="G287" s="67">
        <v>-9296703.7000000104</v>
      </c>
      <c r="P287" s="7">
        <f t="shared" ref="P287:T287" si="24">+P9+P32+P55+P78+P102+P125+P148+P171+P194+P217+P242+P265</f>
        <v>-1775997.5700000077</v>
      </c>
      <c r="Q287" s="7">
        <f t="shared" si="24"/>
        <v>-7520796.1300000027</v>
      </c>
      <c r="R287" s="7">
        <f t="shared" si="24"/>
        <v>90</v>
      </c>
      <c r="S287" s="7">
        <f t="shared" si="24"/>
        <v>0</v>
      </c>
      <c r="T287" s="7">
        <f t="shared" si="24"/>
        <v>0</v>
      </c>
      <c r="U287" s="67">
        <f t="shared" si="21"/>
        <v>-9296703.7000000104</v>
      </c>
    </row>
    <row r="288" spans="1:24" x14ac:dyDescent="0.25">
      <c r="A288" s="62" t="s">
        <v>221</v>
      </c>
      <c r="B288" s="7">
        <v>3058124.2628400028</v>
      </c>
      <c r="C288" s="7">
        <v>2910424.8437331957</v>
      </c>
      <c r="D288" s="7">
        <v>87035.871369999368</v>
      </c>
      <c r="E288" s="7">
        <v>-807158.24017500004</v>
      </c>
      <c r="F288" s="7">
        <v>-7044.9800000000105</v>
      </c>
      <c r="G288" s="67">
        <v>5241381.7577681961</v>
      </c>
      <c r="P288" s="7">
        <f t="shared" ref="P288:T288" si="25">+P10+P33+P56+P79+P103+P126+P149+P172+P195+P218+P243+P266</f>
        <v>3058124.2628400028</v>
      </c>
      <c r="Q288" s="7">
        <f t="shared" si="25"/>
        <v>2910424.8437331957</v>
      </c>
      <c r="R288" s="7">
        <f t="shared" si="25"/>
        <v>87035.871369999368</v>
      </c>
      <c r="S288" s="7">
        <f t="shared" si="25"/>
        <v>-807158.24017500004</v>
      </c>
      <c r="T288" s="7">
        <f t="shared" si="25"/>
        <v>-7044.9800000000105</v>
      </c>
      <c r="U288" s="67">
        <f t="shared" si="21"/>
        <v>5241381.7577681961</v>
      </c>
    </row>
    <row r="289" spans="1:24" x14ac:dyDescent="0.25">
      <c r="A289" s="62" t="s">
        <v>233</v>
      </c>
      <c r="B289" s="7">
        <v>111322.78999999998</v>
      </c>
      <c r="C289" s="7">
        <v>0</v>
      </c>
      <c r="D289" s="7">
        <v>0</v>
      </c>
      <c r="E289" s="7">
        <v>0</v>
      </c>
      <c r="F289" s="7">
        <v>0</v>
      </c>
      <c r="G289" s="67">
        <v>111322.78999999998</v>
      </c>
      <c r="P289" s="7">
        <f>+P11+P34+P57+P80+P104+P127+P150+P173+P196+P219+P244+P267</f>
        <v>111322.78999999998</v>
      </c>
      <c r="Q289" s="7">
        <f t="shared" ref="Q289:T289" si="26">+Q11+Q34+Q57+Q80+Q104+Q127+Q150+Q173+Q196+Q219+Q244+Q267</f>
        <v>0</v>
      </c>
      <c r="R289" s="7">
        <f t="shared" si="26"/>
        <v>0</v>
      </c>
      <c r="S289" s="7">
        <f t="shared" si="26"/>
        <v>0</v>
      </c>
      <c r="T289" s="7">
        <f t="shared" si="26"/>
        <v>0</v>
      </c>
      <c r="U289" s="67">
        <f t="shared" si="21"/>
        <v>111322.78999999998</v>
      </c>
    </row>
    <row r="290" spans="1:24" x14ac:dyDescent="0.25">
      <c r="A290" s="62" t="s">
        <v>223</v>
      </c>
      <c r="B290" s="110"/>
      <c r="C290" s="110"/>
      <c r="D290" s="110"/>
      <c r="E290" s="110"/>
      <c r="F290" s="110"/>
      <c r="G290" s="67">
        <v>15869.059999999998</v>
      </c>
      <c r="P290" s="110"/>
      <c r="Q290" s="110"/>
      <c r="R290" s="110"/>
      <c r="S290" s="110"/>
      <c r="T290" s="110"/>
      <c r="U290" s="67">
        <f>+U244+U220+U196+U173+U150+U127+U104+U81+U57+U34+U11+U267</f>
        <v>15869.059999999998</v>
      </c>
    </row>
    <row r="291" spans="1:24" ht="15.75" thickBot="1" x14ac:dyDescent="0.3">
      <c r="A291" s="62"/>
      <c r="B291" s="72">
        <v>1165716.6671600342</v>
      </c>
      <c r="C291" s="72">
        <v>1362683.5362670422</v>
      </c>
      <c r="D291" s="72">
        <v>117206.56862999965</v>
      </c>
      <c r="E291" s="72">
        <v>123923.58017499931</v>
      </c>
      <c r="F291" s="72">
        <v>27598.810000000056</v>
      </c>
      <c r="G291" s="74">
        <v>3003905.6822315832</v>
      </c>
      <c r="P291" s="72">
        <f>+P284-SUM(P285:P289)</f>
        <v>1165716.6671600342</v>
      </c>
      <c r="Q291" s="72">
        <f t="shared" ref="Q291:T291" si="27">+Q284-SUM(Q285:Q289)</f>
        <v>1362683.5362670422</v>
      </c>
      <c r="R291" s="72">
        <f t="shared" si="27"/>
        <v>117206.56862999965</v>
      </c>
      <c r="S291" s="72">
        <f t="shared" si="27"/>
        <v>123923.58017499931</v>
      </c>
      <c r="T291" s="72">
        <f t="shared" si="27"/>
        <v>27598.810000000056</v>
      </c>
      <c r="U291" s="74">
        <f>+U284-U285-U286-U287-U288-U290+U289</f>
        <v>3003905.6822315832</v>
      </c>
    </row>
    <row r="292" spans="1:24" ht="15.75" thickTop="1" x14ac:dyDescent="0.25">
      <c r="A292" s="62"/>
      <c r="B292" s="86"/>
      <c r="C292" s="86"/>
      <c r="D292" s="86"/>
      <c r="E292" s="86"/>
      <c r="F292" s="86"/>
      <c r="G292" s="76"/>
      <c r="P292" s="86"/>
      <c r="Q292" s="86"/>
      <c r="R292" s="86"/>
      <c r="S292" s="86"/>
      <c r="T292" s="86"/>
      <c r="U292" s="76"/>
    </row>
    <row r="293" spans="1:24" x14ac:dyDescent="0.25">
      <c r="A293" s="62" t="s">
        <v>224</v>
      </c>
      <c r="B293" s="8">
        <v>1374229.642614149</v>
      </c>
      <c r="C293" s="8">
        <v>1355854.7119999959</v>
      </c>
      <c r="D293" s="8">
        <v>87897.023499999952</v>
      </c>
      <c r="E293" s="8">
        <v>83049.838200000086</v>
      </c>
      <c r="F293" s="8">
        <v>26702.39</v>
      </c>
      <c r="G293" s="67">
        <v>2927733.6063141455</v>
      </c>
      <c r="P293" s="8">
        <f t="shared" ref="P293:T293" si="28">+P14+P37+P60+P84+P107+P130+P153+P176+P199+P223+P247+P270</f>
        <v>1374229.642614149</v>
      </c>
      <c r="Q293" s="8">
        <f t="shared" si="28"/>
        <v>1325952.9729999998</v>
      </c>
      <c r="R293" s="8">
        <f t="shared" si="28"/>
        <v>87897.023499999952</v>
      </c>
      <c r="S293" s="8">
        <f t="shared" si="28"/>
        <v>83049.838200000086</v>
      </c>
      <c r="T293" s="8">
        <f t="shared" si="28"/>
        <v>26702.39</v>
      </c>
      <c r="U293" s="67">
        <f>SUM(P293:T293)</f>
        <v>2897831.8673141492</v>
      </c>
    </row>
    <row r="294" spans="1:24" x14ac:dyDescent="0.25">
      <c r="A294" s="62" t="s">
        <v>225</v>
      </c>
      <c r="B294" s="8">
        <v>18247.57</v>
      </c>
      <c r="C294" s="8">
        <v>6082.2931969977171</v>
      </c>
      <c r="D294" s="8">
        <v>0</v>
      </c>
      <c r="E294" s="8">
        <v>0</v>
      </c>
      <c r="F294" s="8">
        <v>0</v>
      </c>
      <c r="G294" s="67">
        <v>24329.863196997718</v>
      </c>
      <c r="P294" s="8">
        <f t="shared" ref="P294:T294" si="29">+P15+P38+P61+P85+P108+P131+P154+P177+P200+P224+P248+P271</f>
        <v>18247.57</v>
      </c>
      <c r="Q294" s="8">
        <f t="shared" si="29"/>
        <v>6082.2931969977171</v>
      </c>
      <c r="R294" s="8">
        <f t="shared" si="29"/>
        <v>0</v>
      </c>
      <c r="S294" s="8">
        <f t="shared" si="29"/>
        <v>0</v>
      </c>
      <c r="T294" s="8">
        <f t="shared" si="29"/>
        <v>0</v>
      </c>
      <c r="U294" s="67">
        <f t="shared" ref="U294:U296" si="30">SUM(P294:T294)</f>
        <v>24329.863196997718</v>
      </c>
    </row>
    <row r="295" spans="1:24" x14ac:dyDescent="0.25">
      <c r="A295" s="62" t="s">
        <v>226</v>
      </c>
      <c r="B295" s="8">
        <v>108378.48999999999</v>
      </c>
      <c r="C295" s="8">
        <v>42954.59</v>
      </c>
      <c r="D295" s="8">
        <v>69211.049999999988</v>
      </c>
      <c r="E295" s="8">
        <v>0</v>
      </c>
      <c r="F295" s="8">
        <v>0</v>
      </c>
      <c r="G295" s="67">
        <v>220544.12999999998</v>
      </c>
      <c r="P295" s="8">
        <f t="shared" ref="P295:T295" si="31">+P16+P39+P62+P86+P109+P132+P155+P178+P201+P225+P249+P272</f>
        <v>108378.48999999999</v>
      </c>
      <c r="Q295" s="8">
        <f t="shared" si="31"/>
        <v>42954.59</v>
      </c>
      <c r="R295" s="8">
        <f t="shared" si="31"/>
        <v>69211.049999999988</v>
      </c>
      <c r="S295" s="8">
        <f t="shared" si="31"/>
        <v>0</v>
      </c>
      <c r="T295" s="8">
        <f t="shared" si="31"/>
        <v>0</v>
      </c>
      <c r="U295" s="67">
        <f t="shared" si="30"/>
        <v>220544.12999999998</v>
      </c>
    </row>
    <row r="296" spans="1:24" x14ac:dyDescent="0.25">
      <c r="A296" s="62" t="s">
        <v>227</v>
      </c>
      <c r="B296" s="8">
        <v>-23642.630000000005</v>
      </c>
      <c r="C296" s="8">
        <v>-206351.13</v>
      </c>
      <c r="D296" s="8">
        <v>0</v>
      </c>
      <c r="E296" s="8">
        <v>0</v>
      </c>
      <c r="F296" s="8">
        <v>0</v>
      </c>
      <c r="G296" s="67">
        <v>-229993.76</v>
      </c>
      <c r="P296" s="8">
        <f>+P17+P40+P63+P87+P110+P133+P156+P179+P203+P226+P250+P273</f>
        <v>-23642.630000000005</v>
      </c>
      <c r="Q296" s="8">
        <f>+Q17+Q40+Q63+Q87+Q110+Q133+Q156+Q179+Q203+Q226+Q250+Q273</f>
        <v>-206351.13</v>
      </c>
      <c r="R296" s="8">
        <f>+R17+R40+R63+R87+R110+R133+R156+R179+R203+R226+R250+R273</f>
        <v>0</v>
      </c>
      <c r="S296" s="8">
        <f>+S17+S40+S63+S87+S110+S133+S156+S179+S203+S226+S250+S273</f>
        <v>0</v>
      </c>
      <c r="T296" s="8">
        <f>+T17+T40+T63+T87+T110+T133+T156+T179+T203+T226+T250+T273</f>
        <v>0</v>
      </c>
      <c r="U296" s="67">
        <f t="shared" si="30"/>
        <v>-229993.76</v>
      </c>
    </row>
    <row r="297" spans="1:24" x14ac:dyDescent="0.25">
      <c r="A297" s="62" t="s">
        <v>228</v>
      </c>
      <c r="B297" s="8">
        <v>-39027.33</v>
      </c>
      <c r="C297" s="8">
        <v>48267</v>
      </c>
      <c r="D297" s="8">
        <v>0</v>
      </c>
      <c r="E297" s="8">
        <v>0</v>
      </c>
      <c r="F297" s="8">
        <v>0</v>
      </c>
      <c r="G297" s="67">
        <v>9239.6699999999983</v>
      </c>
      <c r="P297" s="8">
        <f>P18+P41+P64+P88+P111+P134+P157+P180+P202+P227+P251+P274</f>
        <v>-39027.33</v>
      </c>
      <c r="Q297" s="8">
        <f>Q18+Q41+Q64+Q88+Q111+Q134+Q157+Q180+Q202+Q227+Q251+Q274</f>
        <v>48267</v>
      </c>
      <c r="R297" s="8">
        <f>R18+R41+R64+R88+R111+R134+R157+R180+R202+R227+R251+R274</f>
        <v>0</v>
      </c>
      <c r="S297" s="8">
        <f>S18+S41+S64+S88+S111+S134+S157+S180+S202+S227+S251+S274</f>
        <v>0</v>
      </c>
      <c r="T297" s="8">
        <f>T18+T41+T64+T88+T111+T134+T157+T180+T202+T227+T251+T274</f>
        <v>0</v>
      </c>
      <c r="U297" s="67">
        <f>SUM(P297:T297)</f>
        <v>9239.6699999999983</v>
      </c>
    </row>
    <row r="298" spans="1:24" x14ac:dyDescent="0.25">
      <c r="A298" s="62" t="s">
        <v>229</v>
      </c>
      <c r="B298" s="8">
        <v>-129582</v>
      </c>
      <c r="C298" s="8">
        <v>0</v>
      </c>
      <c r="D298" s="8">
        <v>0</v>
      </c>
      <c r="E298" s="8">
        <v>0</v>
      </c>
      <c r="F298" s="8">
        <v>0</v>
      </c>
      <c r="G298" s="67">
        <v>-129582</v>
      </c>
      <c r="P298" s="8">
        <f>+P19+P42+P66+P90+P113+P136+P159+P182+P205+P229+P253+P276</f>
        <v>-129582</v>
      </c>
      <c r="Q298" s="8">
        <f>+Q19+Q42+Q66+Q90+Q113+Q136+Q159+Q182+Q205+Q229+Q253+Q276</f>
        <v>0</v>
      </c>
      <c r="R298" s="8">
        <f>+R19+R42+R66+R90+R113+R136+R159+R182+R205+R229+R253+R276</f>
        <v>0</v>
      </c>
      <c r="S298" s="8">
        <f>+S19+S42+S66+S90+S113+S136+S159+S182+S205+S229+S253+S276</f>
        <v>0</v>
      </c>
      <c r="T298" s="8">
        <f>+T19+T42+T66+T90+T113+T136+T159+T182+T205+T229+T253+T276</f>
        <v>0</v>
      </c>
      <c r="U298" s="67">
        <f t="shared" ref="U298:U300" si="32">SUM(P298:T298)</f>
        <v>-129582</v>
      </c>
    </row>
    <row r="299" spans="1:24" x14ac:dyDescent="0.25">
      <c r="A299" s="62" t="s">
        <v>37</v>
      </c>
      <c r="B299" s="8">
        <v>-72000</v>
      </c>
      <c r="C299" s="8">
        <v>-68000</v>
      </c>
      <c r="D299" s="8">
        <v>0</v>
      </c>
      <c r="E299" s="8">
        <v>0</v>
      </c>
      <c r="F299" s="8">
        <v>0</v>
      </c>
      <c r="G299" s="67">
        <v>-140000</v>
      </c>
      <c r="P299" s="8">
        <f>+P20+P43+P65+P89+P112+P135+P158+P181+P204+P228+P252+P275</f>
        <v>-72000</v>
      </c>
      <c r="Q299" s="8">
        <f>+Q20+Q43+Q65+Q89+Q112+Q135+Q158+Q181+Q204+Q228+Q252+Q275</f>
        <v>-68000</v>
      </c>
      <c r="R299" s="8">
        <f>+R20+R43+R65+R89+R112+R135+R158+R181+R204+R228+R252+R275</f>
        <v>0</v>
      </c>
      <c r="S299" s="8">
        <f>+S20+S43+S65+S89+S112+S135+S158+S181+S204+S228+S252+S275</f>
        <v>0</v>
      </c>
      <c r="T299" s="8">
        <f>+T20+T43+T65+T89+T112+T135+T158+T181+T204+T228+T252+T275</f>
        <v>0</v>
      </c>
      <c r="U299" s="67">
        <f t="shared" si="32"/>
        <v>-140000</v>
      </c>
    </row>
    <row r="300" spans="1:24" x14ac:dyDescent="0.25">
      <c r="A300" s="62" t="s">
        <v>234</v>
      </c>
      <c r="B300" s="111">
        <v>-4500</v>
      </c>
      <c r="C300" s="101"/>
      <c r="D300" s="101"/>
      <c r="E300" s="101"/>
      <c r="F300" s="101"/>
      <c r="G300" s="67">
        <v>-4500</v>
      </c>
      <c r="P300" s="111">
        <f>P91</f>
        <v>-4500</v>
      </c>
      <c r="Q300" s="101"/>
      <c r="R300" s="101"/>
      <c r="S300" s="101"/>
      <c r="T300" s="101"/>
      <c r="U300" s="67">
        <f t="shared" si="32"/>
        <v>-4500</v>
      </c>
      <c r="V300" s="56">
        <f>SUM(P301:T301)-U290</f>
        <v>356035.91172072239</v>
      </c>
      <c r="W300" s="112">
        <f>U301-V300</f>
        <v>-2.8603244572877884E-7</v>
      </c>
      <c r="X300" s="56" t="s">
        <v>230</v>
      </c>
    </row>
    <row r="301" spans="1:24" x14ac:dyDescent="0.25">
      <c r="A301" s="62" t="s">
        <v>222</v>
      </c>
      <c r="B301" s="8">
        <v>156258.50454584713</v>
      </c>
      <c r="C301" s="8">
        <v>183876.07106987847</v>
      </c>
      <c r="D301" s="8">
        <v>-39901.50486999908</v>
      </c>
      <c r="E301" s="8">
        <v>40873.741974999684</v>
      </c>
      <c r="F301" s="8">
        <v>896.41999999996915</v>
      </c>
      <c r="G301" s="67">
        <v>326134.17272044002</v>
      </c>
      <c r="P301" s="8">
        <f>+P22+P45+P68+P92+P115+P138+P161+P184+P207+P232+P255+P278</f>
        <v>156258.50454584713</v>
      </c>
      <c r="Q301" s="8">
        <f>+Q22+Q45+Q68+Q92+Q115+Q138+Q161+Q184+Q207+Q232+Q255+Q278</f>
        <v>213777.81006987469</v>
      </c>
      <c r="R301" s="8">
        <f>+R22+R45+R68+R92+R115+R138+R161+R184+R207+R232+R255+R278</f>
        <v>-39901.50486999908</v>
      </c>
      <c r="S301" s="8">
        <f>+S22+S45+S68+S92+S115+S138+S161+S184+S207+S232+S255+S278</f>
        <v>40873.741974999684</v>
      </c>
      <c r="T301" s="8">
        <f>+T22+T45+T68+T92+T115+T138+T161+T184+T207+T232+T255+T278</f>
        <v>896.41999999996915</v>
      </c>
      <c r="U301" s="67">
        <f>+U291-U293-U294-U295-U296-U297-U298-U299-U300</f>
        <v>356035.91172043636</v>
      </c>
      <c r="V301" s="56">
        <f>'[1]P&amp;L Compare to Hedge 2018'!$N$45</f>
        <v>326134.17368568387</v>
      </c>
      <c r="W301" s="112">
        <f>U301-V301</f>
        <v>29901.738034752489</v>
      </c>
      <c r="X301" s="113" t="s">
        <v>232</v>
      </c>
    </row>
    <row r="302" spans="1:24" ht="15.75" thickBot="1" x14ac:dyDescent="0.3">
      <c r="A302" s="80"/>
      <c r="B302" s="114"/>
      <c r="C302" s="114"/>
      <c r="D302" s="114"/>
      <c r="E302" s="114"/>
      <c r="F302" s="114"/>
      <c r="G302" s="67"/>
      <c r="P302" s="114"/>
      <c r="Q302" s="114"/>
      <c r="R302" s="114"/>
      <c r="S302" s="114"/>
      <c r="T302" s="114"/>
      <c r="U302" s="67"/>
    </row>
    <row r="303" spans="1:24" x14ac:dyDescent="0.25">
      <c r="G303" s="115"/>
      <c r="U303" s="115"/>
    </row>
  </sheetData>
  <pageMargins left="0.7" right="0.7" top="0.5" bottom="0.5" header="0.3" footer="0.3"/>
  <pageSetup scale="66" fitToHeight="0" orientation="portrait" r:id="rId1"/>
  <rowBreaks count="4" manualBreakCount="4">
    <brk id="46" max="16383" man="1"/>
    <brk id="93" max="16383" man="1"/>
    <brk id="139" max="16383" man="1"/>
    <brk id="2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216F-AB07-41D7-AACD-99990CC37DF5}">
  <sheetPr>
    <tabColor theme="9" tint="0.79998168889431442"/>
  </sheetPr>
  <dimension ref="A1:R262"/>
  <sheetViews>
    <sheetView zoomScale="110" zoomScaleNormal="110" workbookViewId="0">
      <pane xSplit="1" ySplit="4" topLeftCell="B236" activePane="bottomRight" state="frozen"/>
      <selection pane="topRight" activeCell="B1" sqref="B1"/>
      <selection pane="bottomLeft" activeCell="A5" sqref="A5"/>
      <selection pane="bottomRight" activeCell="N175" sqref="N175"/>
    </sheetView>
  </sheetViews>
  <sheetFormatPr defaultColWidth="9.140625" defaultRowHeight="15" x14ac:dyDescent="0.25"/>
  <cols>
    <col min="1" max="1" width="69.5703125" style="3" customWidth="1"/>
    <col min="2" max="2" width="22.42578125" style="2" customWidth="1"/>
    <col min="3" max="3" width="24" style="3" customWidth="1"/>
    <col min="4" max="4" width="24.28515625" style="3" customWidth="1"/>
    <col min="5" max="6" width="25.140625" style="3" customWidth="1"/>
    <col min="7" max="7" width="24" style="3" hidden="1" customWidth="1"/>
    <col min="8" max="8" width="23.42578125" style="3" hidden="1" customWidth="1"/>
    <col min="9" max="9" width="24" style="3" hidden="1" customWidth="1"/>
    <col min="10" max="11" width="23" style="3" hidden="1" customWidth="1"/>
    <col min="12" max="13" width="25.5703125" style="3" hidden="1" customWidth="1"/>
    <col min="14" max="14" width="26.28515625" style="3" customWidth="1"/>
    <col min="15" max="15" width="12.5703125" style="3" bestFit="1" customWidth="1"/>
    <col min="16" max="17" width="26.28515625" style="3" hidden="1" customWidth="1"/>
    <col min="18" max="16384" width="9.140625" style="3"/>
  </cols>
  <sheetData>
    <row r="1" spans="1:17" ht="18.75" x14ac:dyDescent="0.3">
      <c r="A1" s="1" t="s">
        <v>0</v>
      </c>
    </row>
    <row r="2" spans="1:17" ht="19.5" thickBot="1" x14ac:dyDescent="0.35">
      <c r="A2" s="1"/>
    </row>
    <row r="3" spans="1:17" ht="15.75" thickBot="1" x14ac:dyDescent="0.3">
      <c r="B3" s="4">
        <v>43131</v>
      </c>
      <c r="C3" s="4">
        <v>43159</v>
      </c>
      <c r="D3" s="4">
        <v>43190</v>
      </c>
      <c r="E3" s="4">
        <v>43220</v>
      </c>
      <c r="F3" s="4">
        <v>43251</v>
      </c>
      <c r="G3" s="4">
        <v>43281</v>
      </c>
      <c r="H3" s="4">
        <v>43312</v>
      </c>
      <c r="I3" s="4">
        <v>43343</v>
      </c>
      <c r="J3" s="4">
        <v>43373</v>
      </c>
      <c r="K3" s="4">
        <v>43404</v>
      </c>
      <c r="L3" s="4">
        <v>43434</v>
      </c>
      <c r="M3" s="4">
        <v>43465</v>
      </c>
      <c r="N3" s="5" t="s">
        <v>1</v>
      </c>
      <c r="P3" s="5" t="s">
        <v>2</v>
      </c>
      <c r="Q3" s="5" t="s">
        <v>3</v>
      </c>
    </row>
    <row r="4" spans="1:17" ht="15.75" thickBot="1" x14ac:dyDescent="0.3">
      <c r="A4" s="6" t="s">
        <v>4</v>
      </c>
      <c r="P4" s="5" t="s">
        <v>5</v>
      </c>
      <c r="Q4" s="5" t="s">
        <v>6</v>
      </c>
    </row>
    <row r="5" spans="1:17" x14ac:dyDescent="0.25">
      <c r="A5" s="3" t="s">
        <v>7</v>
      </c>
      <c r="B5" s="7">
        <f t="shared" ref="B5:E6" si="0">+B103+B114</f>
        <v>154563428.67000002</v>
      </c>
      <c r="C5" s="7">
        <f t="shared" si="0"/>
        <v>109601727.78999999</v>
      </c>
      <c r="D5" s="7">
        <f>+D103+D114</f>
        <v>101069868.19</v>
      </c>
      <c r="E5" s="7">
        <f>+E103+E114</f>
        <v>92671539.059999987</v>
      </c>
      <c r="F5" s="7">
        <f>+F103+F114</f>
        <v>94258757.019999996</v>
      </c>
      <c r="G5" s="2">
        <f>G103+G114</f>
        <v>0</v>
      </c>
      <c r="H5" s="2">
        <f t="shared" ref="H5:M8" si="1">H103+H114</f>
        <v>0</v>
      </c>
      <c r="I5" s="2">
        <f>I103+I114</f>
        <v>0</v>
      </c>
      <c r="J5" s="2">
        <f t="shared" si="1"/>
        <v>0</v>
      </c>
      <c r="K5" s="2">
        <f>K103+K114</f>
        <v>0</v>
      </c>
      <c r="L5" s="2">
        <f t="shared" ref="L5:M5" si="2">L103+L114</f>
        <v>0</v>
      </c>
      <c r="M5" s="2">
        <f t="shared" si="2"/>
        <v>0</v>
      </c>
      <c r="N5" s="2">
        <f t="shared" ref="N5:N10" si="3">SUM(B5:M5)</f>
        <v>552165320.73000002</v>
      </c>
      <c r="P5" s="2">
        <f t="shared" ref="P5:P69" si="4">(N5-M5)/11</f>
        <v>50196847.339090914</v>
      </c>
      <c r="Q5" s="2">
        <f t="shared" ref="Q5:Q69" si="5">M5-P5</f>
        <v>-50196847.339090914</v>
      </c>
    </row>
    <row r="6" spans="1:17" x14ac:dyDescent="0.25">
      <c r="A6" s="3" t="s">
        <v>8</v>
      </c>
      <c r="B6" s="7">
        <f t="shared" si="0"/>
        <v>424529753.21999997</v>
      </c>
      <c r="C6" s="7">
        <f t="shared" si="0"/>
        <v>1212317398.3500001</v>
      </c>
      <c r="D6" s="7">
        <f>+D104+D115</f>
        <v>305312522.13</v>
      </c>
      <c r="E6" s="7">
        <f t="shared" si="0"/>
        <v>46941731.32</v>
      </c>
      <c r="F6" s="7">
        <f>+F104+F115</f>
        <v>115060805.22</v>
      </c>
      <c r="G6" s="2">
        <f>G104+G115</f>
        <v>0</v>
      </c>
      <c r="H6" s="2">
        <f t="shared" si="1"/>
        <v>0</v>
      </c>
      <c r="I6" s="2">
        <f t="shared" si="1"/>
        <v>0</v>
      </c>
      <c r="J6" s="2">
        <f t="shared" si="1"/>
        <v>0</v>
      </c>
      <c r="K6" s="2">
        <f t="shared" si="1"/>
        <v>0</v>
      </c>
      <c r="L6" s="2">
        <f t="shared" si="1"/>
        <v>0</v>
      </c>
      <c r="M6" s="2">
        <f t="shared" si="1"/>
        <v>0</v>
      </c>
      <c r="N6" s="2">
        <f t="shared" si="3"/>
        <v>2104162210.2400002</v>
      </c>
      <c r="P6" s="2">
        <f t="shared" si="4"/>
        <v>191287473.65818185</v>
      </c>
      <c r="Q6" s="2">
        <f t="shared" si="5"/>
        <v>-191287473.65818185</v>
      </c>
    </row>
    <row r="7" spans="1:17" x14ac:dyDescent="0.25">
      <c r="A7" s="3" t="s">
        <v>9</v>
      </c>
      <c r="B7" s="7">
        <f>B105+B116</f>
        <v>2884704.37</v>
      </c>
      <c r="C7" s="7">
        <f>C105+C116</f>
        <v>2596535.7200000002</v>
      </c>
      <c r="D7" s="7">
        <f>D105+D116</f>
        <v>622399.88</v>
      </c>
      <c r="E7" s="7">
        <f>E105+E116</f>
        <v>1945746.84</v>
      </c>
      <c r="F7" s="7">
        <f>F105+F116</f>
        <v>1927944.8</v>
      </c>
      <c r="G7" s="2">
        <f>G105+G116</f>
        <v>0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0</v>
      </c>
      <c r="L7" s="2">
        <f t="shared" si="1"/>
        <v>0</v>
      </c>
      <c r="M7" s="2">
        <f t="shared" si="1"/>
        <v>0</v>
      </c>
      <c r="N7" s="2">
        <f t="shared" si="3"/>
        <v>9977331.6099999994</v>
      </c>
      <c r="P7" s="2">
        <f t="shared" si="4"/>
        <v>907030.14636363636</v>
      </c>
      <c r="Q7" s="2">
        <f t="shared" si="5"/>
        <v>-907030.14636363636</v>
      </c>
    </row>
    <row r="8" spans="1:17" x14ac:dyDescent="0.25">
      <c r="A8" s="3" t="s">
        <v>10</v>
      </c>
      <c r="B8" s="7">
        <f>+B106</f>
        <v>3238349</v>
      </c>
      <c r="C8" s="7">
        <f>+C106</f>
        <v>1478660.42</v>
      </c>
      <c r="D8" s="7">
        <f>+D106+D117</f>
        <v>1427673</v>
      </c>
      <c r="E8" s="7">
        <f>+E106</f>
        <v>2167697.4500000002</v>
      </c>
      <c r="F8" s="7">
        <f>+F106</f>
        <v>847867.6</v>
      </c>
      <c r="G8" s="8">
        <f t="shared" ref="G8:H8" si="6">G106</f>
        <v>0</v>
      </c>
      <c r="H8" s="8">
        <f t="shared" si="6"/>
        <v>0</v>
      </c>
      <c r="I8" s="8">
        <f>I106+I117</f>
        <v>0</v>
      </c>
      <c r="J8" s="8">
        <f>J106+J117</f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2">
        <f t="shared" si="3"/>
        <v>9160247.4700000007</v>
      </c>
      <c r="P8" s="2">
        <f t="shared" si="4"/>
        <v>832749.77</v>
      </c>
      <c r="Q8" s="2">
        <f t="shared" si="5"/>
        <v>-832749.77</v>
      </c>
    </row>
    <row r="9" spans="1:17" x14ac:dyDescent="0.25">
      <c r="A9" s="3" t="s">
        <v>11</v>
      </c>
      <c r="B9" s="7">
        <f>+B110+B120</f>
        <v>85825</v>
      </c>
      <c r="C9" s="7">
        <f>+C110+C120</f>
        <v>579872.5</v>
      </c>
      <c r="D9" s="7">
        <f>+D110+D120</f>
        <v>108078.75</v>
      </c>
      <c r="E9" s="7">
        <f t="shared" ref="E9:M9" si="7">+E110+E120</f>
        <v>903549.14</v>
      </c>
      <c r="F9" s="7">
        <f>+F110+F120</f>
        <v>310999.59999999998</v>
      </c>
      <c r="G9" s="7">
        <f t="shared" si="7"/>
        <v>0</v>
      </c>
      <c r="H9" s="7">
        <f t="shared" si="7"/>
        <v>0</v>
      </c>
      <c r="I9" s="7">
        <f t="shared" si="7"/>
        <v>0</v>
      </c>
      <c r="J9" s="7">
        <f t="shared" si="7"/>
        <v>0</v>
      </c>
      <c r="K9" s="7">
        <f t="shared" si="7"/>
        <v>0</v>
      </c>
      <c r="L9" s="7">
        <f t="shared" si="7"/>
        <v>0</v>
      </c>
      <c r="M9" s="7">
        <f t="shared" si="7"/>
        <v>0</v>
      </c>
      <c r="N9" s="2">
        <f t="shared" si="3"/>
        <v>1988324.9900000002</v>
      </c>
      <c r="P9" s="2">
        <f t="shared" si="4"/>
        <v>180756.81727272729</v>
      </c>
      <c r="Q9" s="2">
        <f t="shared" si="5"/>
        <v>-180756.81727272729</v>
      </c>
    </row>
    <row r="10" spans="1:17" x14ac:dyDescent="0.25">
      <c r="A10" s="9" t="s">
        <v>12</v>
      </c>
      <c r="B10" s="7"/>
      <c r="C10" s="7"/>
      <c r="D10" s="7"/>
      <c r="E10" s="7">
        <f>E121+E122</f>
        <v>292312.5</v>
      </c>
      <c r="F10" s="7">
        <f t="shared" ref="F10:M10" si="8">F121+F122</f>
        <v>0</v>
      </c>
      <c r="G10" s="7">
        <f t="shared" si="8"/>
        <v>0</v>
      </c>
      <c r="H10" s="7">
        <f t="shared" si="8"/>
        <v>0</v>
      </c>
      <c r="I10" s="7">
        <f t="shared" si="8"/>
        <v>0</v>
      </c>
      <c r="J10" s="7">
        <f t="shared" si="8"/>
        <v>0</v>
      </c>
      <c r="K10" s="7">
        <f t="shared" si="8"/>
        <v>0</v>
      </c>
      <c r="L10" s="7">
        <f t="shared" si="8"/>
        <v>0</v>
      </c>
      <c r="M10" s="7">
        <f t="shared" si="8"/>
        <v>0</v>
      </c>
      <c r="N10" s="2">
        <f t="shared" si="3"/>
        <v>292312.5</v>
      </c>
      <c r="P10" s="2"/>
      <c r="Q10" s="2"/>
    </row>
    <row r="11" spans="1:17" x14ac:dyDescent="0.25">
      <c r="B11" s="10">
        <f>SUM(B5:B10)</f>
        <v>585302060.25999999</v>
      </c>
      <c r="C11" s="10">
        <f>SUM(C5:C10)</f>
        <v>1326574194.7800002</v>
      </c>
      <c r="D11" s="10">
        <f>SUM(D5:D10)</f>
        <v>408540541.94999999</v>
      </c>
      <c r="E11" s="11">
        <f>SUM(E5:E10)</f>
        <v>144922576.30999997</v>
      </c>
      <c r="F11" s="11">
        <f t="shared" ref="F11:M11" si="9">SUM(F5:F10)</f>
        <v>212406374.24000001</v>
      </c>
      <c r="G11" s="11">
        <f t="shared" si="9"/>
        <v>0</v>
      </c>
      <c r="H11" s="11">
        <f t="shared" si="9"/>
        <v>0</v>
      </c>
      <c r="I11" s="11">
        <f t="shared" si="9"/>
        <v>0</v>
      </c>
      <c r="J11" s="11">
        <f t="shared" si="9"/>
        <v>0</v>
      </c>
      <c r="K11" s="11">
        <f t="shared" si="9"/>
        <v>0</v>
      </c>
      <c r="L11" s="11">
        <f t="shared" si="9"/>
        <v>0</v>
      </c>
      <c r="M11" s="11">
        <f t="shared" si="9"/>
        <v>0</v>
      </c>
      <c r="N11" s="10">
        <f>SUM(N5:N10)</f>
        <v>2677745747.54</v>
      </c>
      <c r="P11" s="10">
        <f t="shared" si="4"/>
        <v>243431431.59454545</v>
      </c>
      <c r="Q11" s="10">
        <f t="shared" si="5"/>
        <v>-243431431.59454545</v>
      </c>
    </row>
    <row r="12" spans="1:17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P12" s="3">
        <f t="shared" si="4"/>
        <v>0</v>
      </c>
      <c r="Q12" s="3">
        <f t="shared" si="5"/>
        <v>0</v>
      </c>
    </row>
    <row r="13" spans="1:17" x14ac:dyDescent="0.25">
      <c r="A13" s="6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P13" s="3">
        <f t="shared" si="4"/>
        <v>0</v>
      </c>
      <c r="Q13" s="3">
        <f t="shared" si="5"/>
        <v>0</v>
      </c>
    </row>
    <row r="14" spans="1:17" x14ac:dyDescent="0.25">
      <c r="A14" s="3" t="s">
        <v>14</v>
      </c>
      <c r="B14" s="7">
        <f t="shared" ref="B14:E17" si="10">+B127+B152+B158</f>
        <v>157842383.69</v>
      </c>
      <c r="C14" s="7">
        <f t="shared" si="10"/>
        <v>108846154.46000001</v>
      </c>
      <c r="D14" s="7">
        <f t="shared" si="10"/>
        <v>100906197.60999998</v>
      </c>
      <c r="E14" s="7">
        <f t="shared" si="10"/>
        <v>92373678.780000001</v>
      </c>
      <c r="F14" s="7">
        <f>+F127+F152+F158</f>
        <v>94255718.569999993</v>
      </c>
      <c r="G14" s="7">
        <f>G127+G152+G158</f>
        <v>0</v>
      </c>
      <c r="H14" s="2">
        <f t="shared" ref="H14:M17" si="11">H127+H152+H158</f>
        <v>0</v>
      </c>
      <c r="I14" s="2">
        <f t="shared" si="11"/>
        <v>0</v>
      </c>
      <c r="J14" s="2">
        <f t="shared" si="11"/>
        <v>0</v>
      </c>
      <c r="K14" s="2">
        <f t="shared" si="11"/>
        <v>0</v>
      </c>
      <c r="L14" s="2">
        <f t="shared" si="11"/>
        <v>0</v>
      </c>
      <c r="M14" s="2">
        <f t="shared" si="11"/>
        <v>0</v>
      </c>
      <c r="N14" s="2">
        <f t="shared" ref="N14:N20" si="12">SUM(B14:M14)</f>
        <v>554224133.1099999</v>
      </c>
      <c r="P14" s="2">
        <f t="shared" si="4"/>
        <v>50384012.100909084</v>
      </c>
      <c r="Q14" s="2">
        <f t="shared" si="5"/>
        <v>-50384012.100909084</v>
      </c>
    </row>
    <row r="15" spans="1:17" x14ac:dyDescent="0.25">
      <c r="A15" s="3" t="s">
        <v>15</v>
      </c>
      <c r="B15" s="7">
        <f t="shared" si="10"/>
        <v>422465521.94999993</v>
      </c>
      <c r="C15" s="7">
        <f t="shared" si="10"/>
        <v>1215546261.6300001</v>
      </c>
      <c r="D15" s="7">
        <f t="shared" si="10"/>
        <v>305678068.99000001</v>
      </c>
      <c r="E15" s="7">
        <f t="shared" si="10"/>
        <v>48482029.219999999</v>
      </c>
      <c r="F15" s="7">
        <f>+F128+F153+F159</f>
        <v>116507251.69</v>
      </c>
      <c r="G15" s="7">
        <f>G128+G153+G159</f>
        <v>0</v>
      </c>
      <c r="H15" s="2">
        <f t="shared" si="11"/>
        <v>0</v>
      </c>
      <c r="I15" s="2">
        <f t="shared" si="11"/>
        <v>0</v>
      </c>
      <c r="J15" s="2">
        <f t="shared" si="11"/>
        <v>0</v>
      </c>
      <c r="K15" s="2">
        <f t="shared" si="11"/>
        <v>0</v>
      </c>
      <c r="L15" s="2">
        <f t="shared" si="11"/>
        <v>0</v>
      </c>
      <c r="M15" s="2">
        <f t="shared" si="11"/>
        <v>0</v>
      </c>
      <c r="N15" s="2">
        <f t="shared" si="12"/>
        <v>2108679133.48</v>
      </c>
      <c r="P15" s="2">
        <f t="shared" si="4"/>
        <v>191698103.04363635</v>
      </c>
      <c r="Q15" s="2">
        <f t="shared" si="5"/>
        <v>-191698103.04363635</v>
      </c>
    </row>
    <row r="16" spans="1:17" x14ac:dyDescent="0.25">
      <c r="A16" s="3" t="s">
        <v>16</v>
      </c>
      <c r="B16" s="7">
        <f t="shared" si="10"/>
        <v>2842624.1900000004</v>
      </c>
      <c r="C16" s="7">
        <f t="shared" si="10"/>
        <v>2535222.7399999998</v>
      </c>
      <c r="D16" s="7">
        <f t="shared" si="10"/>
        <v>618326.57000000007</v>
      </c>
      <c r="E16" s="7">
        <f t="shared" si="10"/>
        <v>1945380.79</v>
      </c>
      <c r="F16" s="7">
        <f>+F129+F154+F160</f>
        <v>2008835.22</v>
      </c>
      <c r="G16" s="7">
        <f>G129+G154+G160</f>
        <v>0</v>
      </c>
      <c r="H16" s="2">
        <f>H129+H154+H160</f>
        <v>0</v>
      </c>
      <c r="I16" s="2">
        <f t="shared" si="11"/>
        <v>0</v>
      </c>
      <c r="J16" s="2">
        <f t="shared" si="11"/>
        <v>0</v>
      </c>
      <c r="K16" s="2">
        <f t="shared" si="11"/>
        <v>0</v>
      </c>
      <c r="L16" s="2">
        <f t="shared" si="11"/>
        <v>0</v>
      </c>
      <c r="M16" s="2">
        <f t="shared" si="11"/>
        <v>0</v>
      </c>
      <c r="N16" s="2">
        <f t="shared" si="12"/>
        <v>9950389.5099999998</v>
      </c>
      <c r="P16" s="2">
        <f t="shared" si="4"/>
        <v>904580.8645454545</v>
      </c>
      <c r="Q16" s="2">
        <f t="shared" si="5"/>
        <v>-904580.8645454545</v>
      </c>
    </row>
    <row r="17" spans="1:17" x14ac:dyDescent="0.25">
      <c r="A17" s="3" t="s">
        <v>17</v>
      </c>
      <c r="B17" s="7">
        <f t="shared" si="10"/>
        <v>3972878.5</v>
      </c>
      <c r="C17" s="7">
        <f t="shared" si="10"/>
        <v>1516251.86</v>
      </c>
      <c r="D17" s="7">
        <f t="shared" si="10"/>
        <v>1446310.3</v>
      </c>
      <c r="E17" s="7">
        <f t="shared" si="10"/>
        <v>2111524.9700000002</v>
      </c>
      <c r="F17" s="7">
        <f>+F130+F155+F161</f>
        <v>836505.07000000007</v>
      </c>
      <c r="G17" s="7">
        <f>G130+G155+G161</f>
        <v>0</v>
      </c>
      <c r="H17" s="2">
        <f t="shared" si="11"/>
        <v>0</v>
      </c>
      <c r="I17" s="2">
        <f t="shared" si="11"/>
        <v>0</v>
      </c>
      <c r="J17" s="2">
        <f t="shared" si="11"/>
        <v>0</v>
      </c>
      <c r="K17" s="2">
        <f t="shared" si="11"/>
        <v>0</v>
      </c>
      <c r="L17" s="2">
        <f t="shared" si="11"/>
        <v>0</v>
      </c>
      <c r="M17" s="2">
        <f t="shared" si="11"/>
        <v>0</v>
      </c>
      <c r="N17" s="2">
        <f t="shared" si="12"/>
        <v>9883470.7000000011</v>
      </c>
      <c r="P17" s="2">
        <f t="shared" si="4"/>
        <v>898497.33636363642</v>
      </c>
      <c r="Q17" s="2">
        <f t="shared" si="5"/>
        <v>-898497.33636363642</v>
      </c>
    </row>
    <row r="18" spans="1:17" x14ac:dyDescent="0.25">
      <c r="A18" s="3" t="s">
        <v>18</v>
      </c>
      <c r="B18" s="7">
        <f>+B133+B167</f>
        <v>103200.43</v>
      </c>
      <c r="C18" s="7">
        <f>+C133+C167</f>
        <v>557565.63</v>
      </c>
      <c r="D18" s="7">
        <f>+D133+D167</f>
        <v>104546.19</v>
      </c>
      <c r="E18" s="7">
        <f>+E133+E167</f>
        <v>891459.31</v>
      </c>
      <c r="F18" s="7">
        <f>+F133+F167</f>
        <v>468362.63</v>
      </c>
      <c r="G18" s="7">
        <f t="shared" ref="G18:M18" si="13">G133+G167</f>
        <v>0</v>
      </c>
      <c r="H18" s="2">
        <f t="shared" si="13"/>
        <v>0</v>
      </c>
      <c r="I18" s="2">
        <f t="shared" si="13"/>
        <v>0</v>
      </c>
      <c r="J18" s="2">
        <f t="shared" si="13"/>
        <v>0</v>
      </c>
      <c r="K18" s="2">
        <f t="shared" si="13"/>
        <v>0</v>
      </c>
      <c r="L18" s="2">
        <f t="shared" si="13"/>
        <v>0</v>
      </c>
      <c r="M18" s="2">
        <f t="shared" si="13"/>
        <v>0</v>
      </c>
      <c r="N18" s="2">
        <f t="shared" si="12"/>
        <v>2125134.19</v>
      </c>
      <c r="P18" s="2">
        <f t="shared" si="4"/>
        <v>193194.01727272727</v>
      </c>
      <c r="Q18" s="2">
        <f t="shared" si="5"/>
        <v>-193194.01727272727</v>
      </c>
    </row>
    <row r="19" spans="1:17" x14ac:dyDescent="0.25">
      <c r="A19" s="9" t="s">
        <v>444</v>
      </c>
      <c r="B19" s="7"/>
      <c r="C19" s="7"/>
      <c r="D19" s="7"/>
      <c r="E19" s="7"/>
      <c r="F19" s="7">
        <f>F131</f>
        <v>72</v>
      </c>
      <c r="G19" s="7"/>
      <c r="H19" s="2"/>
      <c r="I19" s="2"/>
      <c r="J19" s="2"/>
      <c r="K19" s="2"/>
      <c r="L19" s="2"/>
      <c r="M19" s="2"/>
      <c r="N19" s="2">
        <f t="shared" si="12"/>
        <v>72</v>
      </c>
      <c r="P19" s="2"/>
      <c r="Q19" s="2"/>
    </row>
    <row r="20" spans="1:17" x14ac:dyDescent="0.25">
      <c r="A20" s="9" t="s">
        <v>12</v>
      </c>
      <c r="B20" s="7"/>
      <c r="C20" s="7"/>
      <c r="D20" s="7"/>
      <c r="E20" s="7">
        <f>E178+E179</f>
        <v>180989.71000000002</v>
      </c>
      <c r="F20" s="7">
        <f t="shared" ref="F20:M20" si="14">F178+F179</f>
        <v>-0.02</v>
      </c>
      <c r="G20" s="7">
        <f t="shared" si="14"/>
        <v>0</v>
      </c>
      <c r="H20" s="7">
        <f t="shared" si="14"/>
        <v>0</v>
      </c>
      <c r="I20" s="7">
        <f t="shared" si="14"/>
        <v>0</v>
      </c>
      <c r="J20" s="7">
        <f t="shared" si="14"/>
        <v>0</v>
      </c>
      <c r="K20" s="7">
        <f t="shared" si="14"/>
        <v>0</v>
      </c>
      <c r="L20" s="7">
        <f t="shared" si="14"/>
        <v>0</v>
      </c>
      <c r="M20" s="7">
        <f t="shared" si="14"/>
        <v>0</v>
      </c>
      <c r="N20" s="2">
        <f t="shared" si="12"/>
        <v>180989.69000000003</v>
      </c>
      <c r="P20" s="2"/>
      <c r="Q20" s="2"/>
    </row>
    <row r="21" spans="1:17" x14ac:dyDescent="0.25">
      <c r="C21" s="2"/>
      <c r="D21" s="2"/>
      <c r="E21" s="12"/>
      <c r="F21" s="12"/>
      <c r="G21" s="12"/>
      <c r="H21" s="2"/>
      <c r="I21" s="2"/>
      <c r="J21" s="2"/>
      <c r="K21" s="2"/>
      <c r="L21" s="2"/>
      <c r="M21" s="2"/>
      <c r="N21" s="13"/>
      <c r="P21" s="13">
        <f t="shared" si="4"/>
        <v>0</v>
      </c>
      <c r="Q21" s="13">
        <f t="shared" si="5"/>
        <v>0</v>
      </c>
    </row>
    <row r="22" spans="1:17" x14ac:dyDescent="0.25">
      <c r="A22" s="3" t="s">
        <v>19</v>
      </c>
      <c r="B22" s="7">
        <f>B148+B143</f>
        <v>-4303584.0399999917</v>
      </c>
      <c r="C22" s="7">
        <f>C148+C143</f>
        <v>-230168.78000000119</v>
      </c>
      <c r="D22" s="7">
        <f>D148+D143</f>
        <v>-102046.03999999166</v>
      </c>
      <c r="E22" s="15">
        <f>E148+E143</f>
        <v>14781.879999995232</v>
      </c>
      <c r="F22" s="15">
        <f>F148+F143</f>
        <v>98279.520000003278</v>
      </c>
      <c r="G22" s="15">
        <f t="shared" ref="G22:M22" si="15">G143+G148</f>
        <v>0</v>
      </c>
      <c r="H22" s="2">
        <f t="shared" si="15"/>
        <v>0</v>
      </c>
      <c r="I22" s="2">
        <f t="shared" si="15"/>
        <v>0</v>
      </c>
      <c r="J22" s="2">
        <f t="shared" si="15"/>
        <v>0</v>
      </c>
      <c r="K22" s="2">
        <f t="shared" si="15"/>
        <v>0</v>
      </c>
      <c r="L22" s="2">
        <f t="shared" si="15"/>
        <v>0</v>
      </c>
      <c r="M22" s="2">
        <f t="shared" si="15"/>
        <v>0</v>
      </c>
      <c r="N22" s="2">
        <f>SUM(B22:M22)</f>
        <v>-4522737.459999986</v>
      </c>
      <c r="P22" s="2">
        <f t="shared" si="4"/>
        <v>-411157.95090908965</v>
      </c>
      <c r="Q22" s="2">
        <f t="shared" si="5"/>
        <v>411157.95090908965</v>
      </c>
    </row>
    <row r="23" spans="1:17" x14ac:dyDescent="0.25">
      <c r="A23" s="3" t="s">
        <v>20</v>
      </c>
      <c r="B23" s="7">
        <f t="shared" ref="B23:M24" si="16">B149+B156</f>
        <v>-198311.54999999702</v>
      </c>
      <c r="C23" s="7">
        <f t="shared" si="16"/>
        <v>-141071.81000000052</v>
      </c>
      <c r="D23" s="7">
        <f t="shared" si="16"/>
        <v>73914.890000000596</v>
      </c>
      <c r="E23" s="7">
        <f t="shared" si="16"/>
        <v>442679.44999998808</v>
      </c>
      <c r="F23" s="7">
        <f>F149+F156</f>
        <v>682167.71000003815</v>
      </c>
      <c r="G23" s="7">
        <f t="shared" si="16"/>
        <v>0</v>
      </c>
      <c r="H23" s="2">
        <f t="shared" si="16"/>
        <v>0</v>
      </c>
      <c r="I23" s="2">
        <f t="shared" si="16"/>
        <v>0</v>
      </c>
      <c r="J23" s="2">
        <f t="shared" si="16"/>
        <v>0</v>
      </c>
      <c r="K23" s="2">
        <f t="shared" si="16"/>
        <v>0</v>
      </c>
      <c r="L23" s="2">
        <f t="shared" si="16"/>
        <v>0</v>
      </c>
      <c r="M23" s="2">
        <f t="shared" si="16"/>
        <v>0</v>
      </c>
      <c r="N23" s="2">
        <f>SUM(B23:M23)</f>
        <v>859378.69000002928</v>
      </c>
      <c r="P23" s="2">
        <f t="shared" si="4"/>
        <v>78125.335454548112</v>
      </c>
      <c r="Q23" s="2">
        <f t="shared" si="5"/>
        <v>-78125.335454548112</v>
      </c>
    </row>
    <row r="24" spans="1:17" x14ac:dyDescent="0.25">
      <c r="A24" s="3" t="s">
        <v>21</v>
      </c>
      <c r="B24" s="7">
        <f t="shared" si="16"/>
        <v>-28077.910000000033</v>
      </c>
      <c r="C24" s="7">
        <f t="shared" si="16"/>
        <v>-41342.620000000112</v>
      </c>
      <c r="D24" s="7">
        <f t="shared" si="16"/>
        <v>-28127.939999999944</v>
      </c>
      <c r="E24" s="14">
        <f t="shared" si="16"/>
        <v>1048.5499999999884</v>
      </c>
      <c r="F24" s="14">
        <f>F150+F157</f>
        <v>13526.869999999995</v>
      </c>
      <c r="G24" s="14">
        <f t="shared" si="16"/>
        <v>0</v>
      </c>
      <c r="H24" s="2">
        <f t="shared" si="16"/>
        <v>0</v>
      </c>
      <c r="I24" s="2">
        <f t="shared" si="16"/>
        <v>0</v>
      </c>
      <c r="J24" s="2">
        <f t="shared" si="16"/>
        <v>0</v>
      </c>
      <c r="K24" s="2">
        <f t="shared" si="16"/>
        <v>0</v>
      </c>
      <c r="L24" s="2">
        <f t="shared" si="16"/>
        <v>0</v>
      </c>
      <c r="M24" s="2">
        <f t="shared" si="16"/>
        <v>0</v>
      </c>
      <c r="N24" s="2">
        <f>SUM(B24:M24)</f>
        <v>-82973.050000000105</v>
      </c>
      <c r="P24" s="2">
        <f t="shared" si="4"/>
        <v>-7543.0045454545552</v>
      </c>
      <c r="Q24" s="2">
        <f t="shared" si="5"/>
        <v>7543.0045454545552</v>
      </c>
    </row>
    <row r="25" spans="1:17" x14ac:dyDescent="0.25">
      <c r="A25" s="3" t="s">
        <v>22</v>
      </c>
      <c r="B25" s="7">
        <f>B151+B162</f>
        <v>-17915.510000000009</v>
      </c>
      <c r="C25" s="7">
        <f>C151+C162</f>
        <v>0</v>
      </c>
      <c r="D25" s="7">
        <f>D151+D162</f>
        <v>-35497.39</v>
      </c>
      <c r="E25" s="14">
        <f t="shared" ref="E25:J25" si="17">E151+E162</f>
        <v>2061.8000000000466</v>
      </c>
      <c r="F25" s="14">
        <f>F151+F162</f>
        <v>0</v>
      </c>
      <c r="G25" s="14">
        <f t="shared" si="17"/>
        <v>0</v>
      </c>
      <c r="H25" s="2">
        <f t="shared" si="17"/>
        <v>0</v>
      </c>
      <c r="I25" s="2">
        <f t="shared" si="17"/>
        <v>0</v>
      </c>
      <c r="J25" s="2">
        <f t="shared" si="17"/>
        <v>0</v>
      </c>
      <c r="K25" s="2">
        <f>K151+K162</f>
        <v>0</v>
      </c>
      <c r="L25" s="2">
        <f>L151+L162</f>
        <v>0</v>
      </c>
      <c r="M25" s="2">
        <f>M151+M162</f>
        <v>0</v>
      </c>
      <c r="N25" s="2">
        <f>SUM(B25:M25)</f>
        <v>-51351.099999999962</v>
      </c>
      <c r="P25" s="2">
        <f t="shared" si="4"/>
        <v>-4668.2818181818147</v>
      </c>
      <c r="Q25" s="2">
        <f t="shared" si="5"/>
        <v>4668.2818181818147</v>
      </c>
    </row>
    <row r="26" spans="1:17" x14ac:dyDescent="0.25">
      <c r="C26" s="2"/>
      <c r="D26" s="2"/>
      <c r="E26" s="12"/>
      <c r="F26" s="12"/>
      <c r="G26" s="12"/>
      <c r="H26" s="2"/>
      <c r="I26" s="2"/>
      <c r="J26" s="2"/>
      <c r="K26" s="2"/>
      <c r="L26" s="2"/>
      <c r="M26" s="2"/>
      <c r="N26" s="13"/>
      <c r="P26" s="13">
        <f t="shared" si="4"/>
        <v>0</v>
      </c>
      <c r="Q26" s="13">
        <f t="shared" si="5"/>
        <v>0</v>
      </c>
    </row>
    <row r="27" spans="1:17" x14ac:dyDescent="0.25">
      <c r="A27" s="3" t="s">
        <v>23</v>
      </c>
      <c r="B27" s="7">
        <f t="shared" ref="B27:M29" si="18">B139+B144</f>
        <v>-1451390.0700000077</v>
      </c>
      <c r="C27" s="7">
        <f t="shared" si="18"/>
        <v>-14017.5</v>
      </c>
      <c r="D27" s="7">
        <f t="shared" si="18"/>
        <v>-649600</v>
      </c>
      <c r="E27" s="7">
        <f t="shared" si="18"/>
        <v>339010</v>
      </c>
      <c r="F27" s="7">
        <f>F139+F144</f>
        <v>92680</v>
      </c>
      <c r="G27" s="7">
        <f t="shared" si="18"/>
        <v>0</v>
      </c>
      <c r="H27" s="2">
        <f t="shared" si="18"/>
        <v>0</v>
      </c>
      <c r="I27" s="2">
        <f t="shared" si="18"/>
        <v>0</v>
      </c>
      <c r="J27" s="2">
        <f t="shared" si="18"/>
        <v>0</v>
      </c>
      <c r="K27" s="2">
        <f t="shared" si="18"/>
        <v>0</v>
      </c>
      <c r="L27" s="2">
        <f t="shared" si="18"/>
        <v>0</v>
      </c>
      <c r="M27" s="2">
        <f t="shared" si="18"/>
        <v>0</v>
      </c>
      <c r="N27" s="2">
        <f>SUM(B27:M27)</f>
        <v>-1683317.5700000077</v>
      </c>
      <c r="P27" s="2">
        <f t="shared" si="4"/>
        <v>-153028.87000000069</v>
      </c>
      <c r="Q27" s="2">
        <f t="shared" si="5"/>
        <v>153028.87000000069</v>
      </c>
    </row>
    <row r="28" spans="1:17" x14ac:dyDescent="0.25">
      <c r="A28" s="3" t="s">
        <v>24</v>
      </c>
      <c r="B28" s="7">
        <f t="shared" si="18"/>
        <v>287951.64999999851</v>
      </c>
      <c r="C28" s="7">
        <f t="shared" si="18"/>
        <v>-4461877.3100000024</v>
      </c>
      <c r="D28" s="7">
        <f t="shared" si="18"/>
        <v>67555.530000001192</v>
      </c>
      <c r="E28" s="14">
        <f t="shared" si="18"/>
        <v>-3414426</v>
      </c>
      <c r="F28" s="14">
        <f>F140+F145</f>
        <v>-28165.459999993443</v>
      </c>
      <c r="G28" s="14">
        <f t="shared" si="18"/>
        <v>0</v>
      </c>
      <c r="H28" s="2">
        <f t="shared" si="18"/>
        <v>0</v>
      </c>
      <c r="I28" s="2">
        <f t="shared" si="18"/>
        <v>0</v>
      </c>
      <c r="J28" s="2">
        <f t="shared" si="18"/>
        <v>0</v>
      </c>
      <c r="K28" s="2">
        <f t="shared" si="18"/>
        <v>0</v>
      </c>
      <c r="L28" s="2">
        <f t="shared" si="18"/>
        <v>0</v>
      </c>
      <c r="M28" s="2">
        <f t="shared" si="18"/>
        <v>0</v>
      </c>
      <c r="N28" s="2">
        <f>SUM(B28:M28)</f>
        <v>-7548961.5899999961</v>
      </c>
      <c r="P28" s="2">
        <f t="shared" si="4"/>
        <v>-686269.23545454512</v>
      </c>
      <c r="Q28" s="2">
        <f t="shared" si="5"/>
        <v>686269.23545454512</v>
      </c>
    </row>
    <row r="29" spans="1:17" x14ac:dyDescent="0.25">
      <c r="A29" s="3" t="s">
        <v>25</v>
      </c>
      <c r="B29" s="7">
        <f t="shared" si="18"/>
        <v>0</v>
      </c>
      <c r="C29" s="7">
        <f t="shared" si="18"/>
        <v>4535</v>
      </c>
      <c r="D29" s="7">
        <f t="shared" si="18"/>
        <v>-3890</v>
      </c>
      <c r="E29" s="14">
        <f>E141+E146</f>
        <v>-555</v>
      </c>
      <c r="F29" s="14">
        <f>F141+F146</f>
        <v>0</v>
      </c>
      <c r="G29" s="14">
        <f t="shared" ref="G29:M30" si="19">G146+G141</f>
        <v>0</v>
      </c>
      <c r="H29" s="2">
        <f t="shared" si="19"/>
        <v>0</v>
      </c>
      <c r="I29" s="2">
        <f t="shared" si="19"/>
        <v>0</v>
      </c>
      <c r="J29" s="2">
        <f t="shared" si="19"/>
        <v>0</v>
      </c>
      <c r="K29" s="2">
        <f t="shared" si="19"/>
        <v>0</v>
      </c>
      <c r="L29" s="2">
        <f t="shared" si="19"/>
        <v>0</v>
      </c>
      <c r="M29" s="2">
        <f t="shared" si="19"/>
        <v>0</v>
      </c>
      <c r="N29" s="2">
        <f>SUM(B29:M29)</f>
        <v>90</v>
      </c>
      <c r="P29" s="2">
        <f t="shared" si="4"/>
        <v>8.1818181818181817</v>
      </c>
      <c r="Q29" s="2">
        <f t="shared" si="5"/>
        <v>-8.1818181818181817</v>
      </c>
    </row>
    <row r="30" spans="1:17" x14ac:dyDescent="0.25">
      <c r="A30" s="3" t="s">
        <v>26</v>
      </c>
      <c r="B30" s="2">
        <v>0</v>
      </c>
      <c r="C30" s="2">
        <v>0</v>
      </c>
      <c r="D30" s="2">
        <v>0</v>
      </c>
      <c r="E30" s="16">
        <v>0</v>
      </c>
      <c r="F30" s="16">
        <f>F142+F147</f>
        <v>0</v>
      </c>
      <c r="G30" s="16">
        <v>0</v>
      </c>
      <c r="H30" s="2">
        <f t="shared" si="19"/>
        <v>0</v>
      </c>
      <c r="I30" s="2">
        <f t="shared" si="19"/>
        <v>0</v>
      </c>
      <c r="J30" s="2">
        <f t="shared" si="19"/>
        <v>0</v>
      </c>
      <c r="K30" s="2">
        <f t="shared" si="19"/>
        <v>0</v>
      </c>
      <c r="L30" s="2">
        <f t="shared" si="19"/>
        <v>0</v>
      </c>
      <c r="M30" s="2">
        <f t="shared" si="19"/>
        <v>0</v>
      </c>
      <c r="N30" s="2">
        <f>SUM(B30:M30)</f>
        <v>0</v>
      </c>
      <c r="P30" s="2">
        <f t="shared" si="4"/>
        <v>0</v>
      </c>
      <c r="Q30" s="2">
        <f t="shared" si="5"/>
        <v>0</v>
      </c>
    </row>
    <row r="31" spans="1:17" x14ac:dyDescent="0.25">
      <c r="C31" s="2"/>
      <c r="D31" s="2"/>
      <c r="E31" s="12"/>
      <c r="F31" s="12"/>
      <c r="G31" s="12"/>
      <c r="H31" s="2"/>
      <c r="I31" s="2"/>
      <c r="J31" s="2"/>
      <c r="K31" s="2"/>
      <c r="L31" s="2"/>
      <c r="M31" s="2"/>
      <c r="N31" s="13"/>
      <c r="P31" s="13">
        <f t="shared" si="4"/>
        <v>0</v>
      </c>
      <c r="Q31" s="13">
        <f t="shared" si="5"/>
        <v>0</v>
      </c>
    </row>
    <row r="32" spans="1:17" x14ac:dyDescent="0.25">
      <c r="A32" s="3" t="s">
        <v>27</v>
      </c>
      <c r="B32" s="2">
        <f>+B168</f>
        <v>2910296.13</v>
      </c>
      <c r="C32" s="2">
        <f>+C168</f>
        <v>1651163.39</v>
      </c>
      <c r="D32" s="2">
        <f t="shared" ref="D32:M32" si="20">+D168</f>
        <v>-414097.59</v>
      </c>
      <c r="E32" s="16">
        <f t="shared" si="20"/>
        <v>959937.83</v>
      </c>
      <c r="F32" s="16">
        <f>+F168</f>
        <v>-3014399.59</v>
      </c>
      <c r="G32" s="16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>+K168</f>
        <v>0</v>
      </c>
      <c r="L32" s="2">
        <f t="shared" si="20"/>
        <v>0</v>
      </c>
      <c r="M32" s="2">
        <f t="shared" si="20"/>
        <v>0</v>
      </c>
      <c r="N32" s="2">
        <f>SUM(B32:M32)</f>
        <v>2092900.17</v>
      </c>
      <c r="P32" s="2">
        <f t="shared" si="4"/>
        <v>190263.65181818182</v>
      </c>
      <c r="Q32" s="2">
        <f t="shared" si="5"/>
        <v>-190263.65181818182</v>
      </c>
    </row>
    <row r="33" spans="1:17" x14ac:dyDescent="0.25">
      <c r="A33" s="3" t="s">
        <v>28</v>
      </c>
      <c r="B33" s="7">
        <f>B164</f>
        <v>2682.05</v>
      </c>
      <c r="C33" s="7">
        <f>C164</f>
        <v>-1617.38</v>
      </c>
      <c r="D33" s="7">
        <f>D164</f>
        <v>5756.07</v>
      </c>
      <c r="E33" s="7">
        <f t="shared" ref="E33:K33" si="21">E164</f>
        <v>9048.32</v>
      </c>
      <c r="F33" s="7">
        <f>F164</f>
        <v>11168.19</v>
      </c>
      <c r="G33" s="7">
        <f t="shared" si="21"/>
        <v>0</v>
      </c>
      <c r="H33" s="2">
        <f t="shared" si="21"/>
        <v>0</v>
      </c>
      <c r="I33" s="2">
        <f t="shared" si="21"/>
        <v>0</v>
      </c>
      <c r="J33" s="2">
        <f t="shared" si="21"/>
        <v>0</v>
      </c>
      <c r="K33" s="2">
        <f t="shared" si="21"/>
        <v>0</v>
      </c>
      <c r="L33" s="2">
        <f>L164</f>
        <v>0</v>
      </c>
      <c r="M33" s="2">
        <f>M164</f>
        <v>0</v>
      </c>
      <c r="N33" s="2">
        <f>SUM(B33:M33)</f>
        <v>27037.25</v>
      </c>
      <c r="P33" s="2">
        <f t="shared" si="4"/>
        <v>2457.931818181818</v>
      </c>
      <c r="Q33" s="2">
        <f t="shared" si="5"/>
        <v>-2457.931818181818</v>
      </c>
    </row>
    <row r="34" spans="1:17" x14ac:dyDescent="0.25">
      <c r="A34" s="3" t="s">
        <v>29</v>
      </c>
      <c r="B34" s="10">
        <f t="shared" ref="B34:N34" si="22">SUM(B14:B33)</f>
        <v>584428259.50999987</v>
      </c>
      <c r="C34" s="10">
        <f t="shared" si="22"/>
        <v>1325767059.3100004</v>
      </c>
      <c r="D34" s="10">
        <f t="shared" si="22"/>
        <v>407667417.19000006</v>
      </c>
      <c r="E34" s="10">
        <f t="shared" si="22"/>
        <v>144338649.61000001</v>
      </c>
      <c r="F34" s="10">
        <f t="shared" si="22"/>
        <v>211932002.40000001</v>
      </c>
      <c r="G34" s="10">
        <f t="shared" si="22"/>
        <v>0</v>
      </c>
      <c r="H34" s="10">
        <f t="shared" si="22"/>
        <v>0</v>
      </c>
      <c r="I34" s="10">
        <f t="shared" si="22"/>
        <v>0</v>
      </c>
      <c r="J34" s="10">
        <f t="shared" si="22"/>
        <v>0</v>
      </c>
      <c r="K34" s="10">
        <f t="shared" si="22"/>
        <v>0</v>
      </c>
      <c r="L34" s="10">
        <f t="shared" si="22"/>
        <v>0</v>
      </c>
      <c r="M34" s="10">
        <f t="shared" si="22"/>
        <v>0</v>
      </c>
      <c r="N34" s="10">
        <f t="shared" si="22"/>
        <v>2674133388.02</v>
      </c>
      <c r="P34" s="10">
        <f t="shared" si="4"/>
        <v>243103035.27454546</v>
      </c>
      <c r="Q34" s="10">
        <f t="shared" si="5"/>
        <v>-243103035.27454546</v>
      </c>
    </row>
    <row r="35" spans="1:17" ht="24" customHeight="1" thickBot="1" x14ac:dyDescent="0.3">
      <c r="A35" s="17" t="s">
        <v>30</v>
      </c>
      <c r="B35" s="18">
        <f t="shared" ref="B35:N35" si="23">+B11-B34</f>
        <v>873800.75000011921</v>
      </c>
      <c r="C35" s="18">
        <f t="shared" si="23"/>
        <v>807135.46999979019</v>
      </c>
      <c r="D35" s="18">
        <f t="shared" si="23"/>
        <v>873124.75999993086</v>
      </c>
      <c r="E35" s="18">
        <f t="shared" si="23"/>
        <v>583926.69999995828</v>
      </c>
      <c r="F35" s="18">
        <f t="shared" si="23"/>
        <v>474371.84000000358</v>
      </c>
      <c r="G35" s="18">
        <f t="shared" si="23"/>
        <v>0</v>
      </c>
      <c r="H35" s="18">
        <f t="shared" si="23"/>
        <v>0</v>
      </c>
      <c r="I35" s="18">
        <f t="shared" si="23"/>
        <v>0</v>
      </c>
      <c r="J35" s="18">
        <f t="shared" si="23"/>
        <v>0</v>
      </c>
      <c r="K35" s="18">
        <f t="shared" si="23"/>
        <v>0</v>
      </c>
      <c r="L35" s="18">
        <f t="shared" si="23"/>
        <v>0</v>
      </c>
      <c r="M35" s="18">
        <f t="shared" si="23"/>
        <v>0</v>
      </c>
      <c r="N35" s="18">
        <f t="shared" si="23"/>
        <v>3612359.5199999809</v>
      </c>
      <c r="P35" s="18">
        <f t="shared" si="4"/>
        <v>328396.31999999826</v>
      </c>
      <c r="Q35" s="18">
        <f t="shared" si="5"/>
        <v>-328396.31999999826</v>
      </c>
    </row>
    <row r="36" spans="1:17" ht="24" customHeight="1" thickTop="1" x14ac:dyDescent="0.25">
      <c r="B36" s="19">
        <f>+B35/B11</f>
        <v>1.4929056453550902E-3</v>
      </c>
      <c r="C36" s="19">
        <f t="shared" ref="C36:N36" si="24">+C35/C11</f>
        <v>6.0843597981615036E-4</v>
      </c>
      <c r="D36" s="19">
        <f t="shared" si="24"/>
        <v>2.137180206969006E-3</v>
      </c>
      <c r="E36" s="19">
        <f t="shared" si="24"/>
        <v>4.029232124268178E-3</v>
      </c>
      <c r="F36" s="19">
        <f t="shared" si="24"/>
        <v>2.233322053998277E-3</v>
      </c>
      <c r="G36" s="19" t="e">
        <f t="shared" si="24"/>
        <v>#DIV/0!</v>
      </c>
      <c r="H36" s="19" t="e">
        <f t="shared" si="24"/>
        <v>#DIV/0!</v>
      </c>
      <c r="I36" s="19" t="e">
        <f t="shared" si="24"/>
        <v>#DIV/0!</v>
      </c>
      <c r="J36" s="19" t="e">
        <f t="shared" si="24"/>
        <v>#DIV/0!</v>
      </c>
      <c r="K36" s="19" t="e">
        <f t="shared" si="24"/>
        <v>#DIV/0!</v>
      </c>
      <c r="L36" s="19" t="e">
        <f t="shared" si="24"/>
        <v>#DIV/0!</v>
      </c>
      <c r="M36" s="19" t="e">
        <f>+M35/M11</f>
        <v>#DIV/0!</v>
      </c>
      <c r="N36" s="19">
        <f t="shared" si="24"/>
        <v>1.3490300650532616E-3</v>
      </c>
      <c r="P36" s="19" t="e">
        <f t="shared" si="4"/>
        <v>#DIV/0!</v>
      </c>
      <c r="Q36" s="19" t="e">
        <f t="shared" si="5"/>
        <v>#DIV/0!</v>
      </c>
    </row>
    <row r="37" spans="1:17" ht="24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P37" s="8">
        <f t="shared" si="4"/>
        <v>0</v>
      </c>
      <c r="Q37" s="8">
        <f t="shared" si="5"/>
        <v>0</v>
      </c>
    </row>
    <row r="38" spans="1:17" s="20" customFormat="1" x14ac:dyDescent="0.25">
      <c r="A38" s="20" t="s">
        <v>31</v>
      </c>
      <c r="B38" s="8">
        <f>'[3]Comparison 2017-2018'!$G$30</f>
        <v>885928.51408513961</v>
      </c>
      <c r="C38" s="8">
        <f>'[3]Comparison 2017-2018'!$G$54</f>
        <v>681928.29401690571</v>
      </c>
      <c r="D38" s="8">
        <f>'[3]Comparison 2017-2018'!$G$80</f>
        <v>674363.71418699983</v>
      </c>
      <c r="E38" s="8">
        <f>'[3]Comparison 2017-2018'!$G$105</f>
        <v>655611.34502510389</v>
      </c>
      <c r="F38" s="8">
        <v>538671.68000000005</v>
      </c>
      <c r="G38" s="8"/>
      <c r="H38" s="8"/>
      <c r="I38" s="8"/>
      <c r="J38" s="8"/>
      <c r="K38" s="8"/>
      <c r="L38" s="8"/>
      <c r="M38" s="8"/>
      <c r="N38" s="2">
        <f t="shared" ref="N38:N44" si="25">SUM(B38:M38)</f>
        <v>3436503.5473141493</v>
      </c>
      <c r="P38" s="2">
        <f t="shared" si="4"/>
        <v>312409.41339219542</v>
      </c>
      <c r="Q38" s="2">
        <f t="shared" si="5"/>
        <v>-312409.41339219542</v>
      </c>
    </row>
    <row r="39" spans="1:17" s="20" customFormat="1" x14ac:dyDescent="0.25">
      <c r="A39" s="20" t="s">
        <v>32</v>
      </c>
      <c r="B39" s="8">
        <f>11347.91+1307.73</f>
        <v>12655.64</v>
      </c>
      <c r="C39" s="8">
        <f>2264.54+222.6</f>
        <v>2487.14</v>
      </c>
      <c r="D39" s="8">
        <f>3529.42+2652.3</f>
        <v>6181.72</v>
      </c>
      <c r="E39" s="8">
        <f>1899.66+1105.7</f>
        <v>3005.36</v>
      </c>
      <c r="F39" s="8">
        <v>3451.23</v>
      </c>
      <c r="G39" s="8"/>
      <c r="H39" s="8"/>
      <c r="I39" s="8"/>
      <c r="J39" s="8"/>
      <c r="K39" s="8"/>
      <c r="L39" s="8"/>
      <c r="M39" s="8"/>
      <c r="N39" s="2">
        <f t="shared" si="25"/>
        <v>27781.09</v>
      </c>
      <c r="P39" s="2">
        <f t="shared" si="4"/>
        <v>2525.5536363636365</v>
      </c>
      <c r="Q39" s="2">
        <f t="shared" si="5"/>
        <v>-2525.5536363636365</v>
      </c>
    </row>
    <row r="40" spans="1:17" s="20" customFormat="1" x14ac:dyDescent="0.25">
      <c r="A40" s="20" t="s">
        <v>33</v>
      </c>
      <c r="B40" s="8">
        <f>'[4]Monthly Summary'!$B$6</f>
        <v>51934.229999999996</v>
      </c>
      <c r="C40" s="8">
        <f>[8]Feb!$B$35</f>
        <v>36189.82</v>
      </c>
      <c r="D40" s="8">
        <f>[4]Mar!$B$35</f>
        <v>90332.26999999999</v>
      </c>
      <c r="E40" s="15">
        <f>[4]Apr!$B$35</f>
        <v>42087.81</v>
      </c>
      <c r="F40" s="15">
        <v>36064.49</v>
      </c>
      <c r="G40" s="15"/>
      <c r="H40" s="15"/>
      <c r="I40" s="8"/>
      <c r="J40" s="21"/>
      <c r="K40" s="21"/>
      <c r="L40" s="21"/>
      <c r="M40" s="22"/>
      <c r="N40" s="2">
        <f t="shared" si="25"/>
        <v>256608.61999999997</v>
      </c>
      <c r="P40" s="2">
        <f t="shared" si="4"/>
        <v>23328.056363636362</v>
      </c>
      <c r="Q40" s="2">
        <f t="shared" si="5"/>
        <v>-23328.056363636362</v>
      </c>
    </row>
    <row r="41" spans="1:17" s="20" customFormat="1" x14ac:dyDescent="0.25">
      <c r="A41" s="20" t="s">
        <v>34</v>
      </c>
      <c r="B41" s="2">
        <f>-11152-36907.01</f>
        <v>-48059.01</v>
      </c>
      <c r="C41" s="8">
        <f>-4530.13-104404.39</f>
        <v>-108934.52</v>
      </c>
      <c r="D41" s="8">
        <v>-27223.4</v>
      </c>
      <c r="E41" s="14">
        <v>-45776.83</v>
      </c>
      <c r="F41" s="14">
        <v>-39077.56</v>
      </c>
      <c r="G41" s="14"/>
      <c r="H41" s="14"/>
      <c r="I41" s="8"/>
      <c r="J41" s="8"/>
      <c r="K41" s="21"/>
      <c r="L41" s="21"/>
      <c r="M41" s="21"/>
      <c r="N41" s="2">
        <f t="shared" si="25"/>
        <v>-269071.32</v>
      </c>
      <c r="O41" s="23"/>
      <c r="P41" s="2">
        <f t="shared" si="4"/>
        <v>-24461.029090909091</v>
      </c>
      <c r="Q41" s="2">
        <f t="shared" si="5"/>
        <v>24461.029090909091</v>
      </c>
    </row>
    <row r="42" spans="1:17" s="20" customFormat="1" x14ac:dyDescent="0.25">
      <c r="A42" s="20" t="s">
        <v>35</v>
      </c>
      <c r="B42" s="2">
        <f>-51657.33-70861</f>
        <v>-122518.33</v>
      </c>
      <c r="C42" s="8">
        <f>8840+42577</f>
        <v>51417</v>
      </c>
      <c r="D42" s="8">
        <f>-5460+61057-530</f>
        <v>55067</v>
      </c>
      <c r="E42" s="14">
        <f>9250+15494+530</f>
        <v>25274</v>
      </c>
      <c r="F42" s="14">
        <v>-57663</v>
      </c>
      <c r="G42" s="14"/>
      <c r="H42" s="14"/>
      <c r="I42" s="8"/>
      <c r="J42" s="8"/>
      <c r="K42" s="21"/>
      <c r="L42" s="21"/>
      <c r="M42" s="24"/>
      <c r="N42" s="2">
        <f t="shared" si="25"/>
        <v>-48423.33</v>
      </c>
      <c r="O42" s="23"/>
      <c r="P42" s="2">
        <f t="shared" si="4"/>
        <v>-4402.1209090909097</v>
      </c>
      <c r="Q42" s="2">
        <f t="shared" si="5"/>
        <v>4402.1209090909097</v>
      </c>
    </row>
    <row r="43" spans="1:17" s="20" customFormat="1" x14ac:dyDescent="0.25">
      <c r="A43" s="3" t="s">
        <v>36</v>
      </c>
      <c r="B43" s="2">
        <v>0</v>
      </c>
      <c r="C43" s="8">
        <v>0</v>
      </c>
      <c r="D43" s="8">
        <v>0</v>
      </c>
      <c r="E43" s="8"/>
      <c r="F43" s="8"/>
      <c r="G43" s="8"/>
      <c r="H43" s="8"/>
      <c r="I43" s="8"/>
      <c r="J43" s="8"/>
      <c r="K43" s="21"/>
      <c r="L43" s="21"/>
      <c r="M43" s="21"/>
      <c r="N43" s="2">
        <f t="shared" si="25"/>
        <v>0</v>
      </c>
      <c r="P43" s="2">
        <f t="shared" si="4"/>
        <v>0</v>
      </c>
      <c r="Q43" s="2">
        <f t="shared" si="5"/>
        <v>0</v>
      </c>
    </row>
    <row r="44" spans="1:17" s="20" customFormat="1" x14ac:dyDescent="0.25">
      <c r="A44" s="3" t="s">
        <v>37</v>
      </c>
      <c r="B44" s="2">
        <v>-35000</v>
      </c>
      <c r="C44" s="2">
        <f>-18000-17000</f>
        <v>-35000</v>
      </c>
      <c r="D44" s="2">
        <v>-35000</v>
      </c>
      <c r="E44" s="2">
        <v>-35000</v>
      </c>
      <c r="F44" s="2">
        <v>-35000</v>
      </c>
      <c r="G44" s="2"/>
      <c r="H44" s="2"/>
      <c r="I44" s="2"/>
      <c r="J44" s="2"/>
      <c r="K44" s="2"/>
      <c r="L44" s="2"/>
      <c r="M44" s="2"/>
      <c r="N44" s="2">
        <f t="shared" si="25"/>
        <v>-175000</v>
      </c>
      <c r="P44" s="2">
        <f t="shared" si="4"/>
        <v>-15909.09090909091</v>
      </c>
      <c r="Q44" s="2">
        <f t="shared" si="5"/>
        <v>15909.09090909091</v>
      </c>
    </row>
    <row r="45" spans="1:17" s="20" customFormat="1" x14ac:dyDescent="0.25">
      <c r="B45" s="10">
        <f>SUM(B38:B44)</f>
        <v>744941.04408513964</v>
      </c>
      <c r="C45" s="10">
        <f t="shared" ref="C45:M45" si="26">SUM(C38:C44)</f>
        <v>628087.73401690566</v>
      </c>
      <c r="D45" s="10">
        <f t="shared" si="26"/>
        <v>763721.3041869998</v>
      </c>
      <c r="E45" s="10">
        <f t="shared" si="26"/>
        <v>645201.68502510397</v>
      </c>
      <c r="F45" s="10">
        <f t="shared" si="26"/>
        <v>446446.84000000008</v>
      </c>
      <c r="G45" s="10">
        <f t="shared" si="26"/>
        <v>0</v>
      </c>
      <c r="H45" s="10">
        <f t="shared" si="26"/>
        <v>0</v>
      </c>
      <c r="I45" s="10">
        <f t="shared" si="26"/>
        <v>0</v>
      </c>
      <c r="J45" s="10">
        <f t="shared" si="26"/>
        <v>0</v>
      </c>
      <c r="K45" s="10">
        <f t="shared" si="26"/>
        <v>0</v>
      </c>
      <c r="L45" s="10">
        <f>SUM(L38:L44)</f>
        <v>0</v>
      </c>
      <c r="M45" s="10">
        <f t="shared" si="26"/>
        <v>0</v>
      </c>
      <c r="N45" s="10">
        <f>SUM(N38:N44)</f>
        <v>3228398.6073141494</v>
      </c>
      <c r="P45" s="10">
        <f t="shared" si="4"/>
        <v>293490.7824831045</v>
      </c>
      <c r="Q45" s="10">
        <f t="shared" si="5"/>
        <v>-293490.7824831045</v>
      </c>
    </row>
    <row r="46" spans="1:17" ht="25.5" customHeight="1" thickBot="1" x14ac:dyDescent="0.3">
      <c r="A46" s="17" t="s">
        <v>38</v>
      </c>
      <c r="B46" s="25">
        <f>+B35-B45</f>
        <v>128859.70591497957</v>
      </c>
      <c r="C46" s="25">
        <f t="shared" ref="C46:M46" si="27">+C35-C45</f>
        <v>179047.73598288454</v>
      </c>
      <c r="D46" s="25">
        <f>+D35-D45</f>
        <v>109403.45581293106</v>
      </c>
      <c r="E46" s="25">
        <f t="shared" si="27"/>
        <v>-61274.985025145696</v>
      </c>
      <c r="F46" s="25">
        <f t="shared" si="27"/>
        <v>27925.000000003492</v>
      </c>
      <c r="G46" s="25">
        <f t="shared" si="27"/>
        <v>0</v>
      </c>
      <c r="H46" s="25">
        <f t="shared" si="27"/>
        <v>0</v>
      </c>
      <c r="I46" s="25">
        <f t="shared" si="27"/>
        <v>0</v>
      </c>
      <c r="J46" s="25">
        <f t="shared" si="27"/>
        <v>0</v>
      </c>
      <c r="K46" s="25">
        <f>+K35-K45</f>
        <v>0</v>
      </c>
      <c r="L46" s="25">
        <f>+L35-L45</f>
        <v>0</v>
      </c>
      <c r="M46" s="25">
        <f t="shared" si="27"/>
        <v>0</v>
      </c>
      <c r="N46" s="25">
        <f>+N35-N45</f>
        <v>383960.91268583154</v>
      </c>
      <c r="P46" s="25">
        <f t="shared" si="4"/>
        <v>34905.537516893775</v>
      </c>
      <c r="Q46" s="25">
        <f t="shared" si="5"/>
        <v>-34905.537516893775</v>
      </c>
    </row>
    <row r="47" spans="1:17" ht="15.75" thickTop="1" x14ac:dyDescent="0.25">
      <c r="C47" s="2"/>
      <c r="D47" s="2"/>
      <c r="E47" s="2"/>
      <c r="F47" s="2"/>
      <c r="G47" s="2"/>
      <c r="H47" s="26"/>
      <c r="I47" s="26"/>
      <c r="J47" s="26"/>
      <c r="K47" s="26"/>
      <c r="L47" s="2"/>
      <c r="M47" s="2"/>
      <c r="P47" s="3">
        <f t="shared" si="4"/>
        <v>0</v>
      </c>
      <c r="Q47" s="3">
        <f t="shared" si="5"/>
        <v>0</v>
      </c>
    </row>
    <row r="48" spans="1:17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P48" s="3">
        <f t="shared" si="4"/>
        <v>0</v>
      </c>
      <c r="Q48" s="3">
        <f t="shared" si="5"/>
        <v>0</v>
      </c>
    </row>
    <row r="49" spans="1:17" ht="30" x14ac:dyDescent="0.25">
      <c r="A49" s="27" t="s">
        <v>39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P49" s="3">
        <f t="shared" si="4"/>
        <v>0</v>
      </c>
      <c r="Q49" s="3">
        <f t="shared" si="5"/>
        <v>0</v>
      </c>
    </row>
    <row r="50" spans="1:17" x14ac:dyDescent="0.25">
      <c r="A50" s="3" t="s">
        <v>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P50" s="3">
        <f t="shared" si="4"/>
        <v>0</v>
      </c>
      <c r="Q50" s="3">
        <f t="shared" si="5"/>
        <v>0</v>
      </c>
    </row>
    <row r="51" spans="1:17" x14ac:dyDescent="0.25">
      <c r="A51" s="3" t="s">
        <v>40</v>
      </c>
      <c r="B51" s="7">
        <f>B102</f>
        <v>0</v>
      </c>
      <c r="C51" s="7">
        <f>C102</f>
        <v>0</v>
      </c>
      <c r="D51" s="7">
        <f>D102</f>
        <v>0</v>
      </c>
      <c r="E51" s="2">
        <f t="shared" ref="E51:J51" si="28">E102</f>
        <v>0</v>
      </c>
      <c r="F51" s="2">
        <f t="shared" si="28"/>
        <v>0</v>
      </c>
      <c r="G51" s="2">
        <f t="shared" si="28"/>
        <v>0</v>
      </c>
      <c r="H51" s="2">
        <f t="shared" si="28"/>
        <v>0</v>
      </c>
      <c r="I51" s="2">
        <f t="shared" si="28"/>
        <v>0</v>
      </c>
      <c r="J51" s="2">
        <f t="shared" si="28"/>
        <v>0</v>
      </c>
      <c r="K51" s="2">
        <f>K102</f>
        <v>0</v>
      </c>
      <c r="L51" s="2">
        <f>L102</f>
        <v>0</v>
      </c>
      <c r="M51" s="2">
        <f>M102</f>
        <v>0</v>
      </c>
      <c r="N51" s="2">
        <f>SUM(B51:M51)</f>
        <v>0</v>
      </c>
      <c r="P51" s="2">
        <f t="shared" si="4"/>
        <v>0</v>
      </c>
      <c r="Q51" s="2">
        <f t="shared" si="5"/>
        <v>0</v>
      </c>
    </row>
    <row r="52" spans="1:17" x14ac:dyDescent="0.25">
      <c r="A52" s="3" t="s">
        <v>41</v>
      </c>
      <c r="B52" s="7">
        <f>B108+B119</f>
        <v>44174.48</v>
      </c>
      <c r="C52" s="7">
        <f>C108+C119</f>
        <v>37026.959999999999</v>
      </c>
      <c r="D52" s="7">
        <f>D108+D119</f>
        <v>50952.97</v>
      </c>
      <c r="E52" s="7">
        <f>E108+E119</f>
        <v>17383</v>
      </c>
      <c r="F52" s="7">
        <f t="shared" ref="F52:M52" si="29">F108+F119</f>
        <v>6537.5</v>
      </c>
      <c r="G52" s="7">
        <f t="shared" si="29"/>
        <v>0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2">
        <f>SUM(B52:M52)</f>
        <v>156074.91</v>
      </c>
      <c r="P52" s="2">
        <f t="shared" si="4"/>
        <v>14188.628181818181</v>
      </c>
      <c r="Q52" s="2">
        <f t="shared" si="5"/>
        <v>-14188.628181818181</v>
      </c>
    </row>
    <row r="53" spans="1:17" x14ac:dyDescent="0.25">
      <c r="A53" s="3" t="s">
        <v>42</v>
      </c>
      <c r="B53" s="2">
        <f>B107+B118</f>
        <v>0</v>
      </c>
      <c r="C53" s="2">
        <f>C107+C118</f>
        <v>0</v>
      </c>
      <c r="D53" s="2">
        <f>D107+D118</f>
        <v>0</v>
      </c>
      <c r="E53" s="2">
        <f>E107+E118</f>
        <v>0</v>
      </c>
      <c r="F53" s="2">
        <f t="shared" ref="F53:M53" si="30">F107+F118</f>
        <v>100</v>
      </c>
      <c r="G53" s="2">
        <f t="shared" si="30"/>
        <v>0</v>
      </c>
      <c r="H53" s="2">
        <f t="shared" si="30"/>
        <v>0</v>
      </c>
      <c r="I53" s="2">
        <f t="shared" si="30"/>
        <v>0</v>
      </c>
      <c r="J53" s="2">
        <f t="shared" si="30"/>
        <v>0</v>
      </c>
      <c r="K53" s="2">
        <f t="shared" si="30"/>
        <v>0</v>
      </c>
      <c r="L53" s="2">
        <f t="shared" si="30"/>
        <v>0</v>
      </c>
      <c r="M53" s="2">
        <f t="shared" si="30"/>
        <v>0</v>
      </c>
      <c r="N53" s="2">
        <f>SUM(B53:M53)</f>
        <v>100</v>
      </c>
      <c r="P53" s="2">
        <f t="shared" si="4"/>
        <v>9.0909090909090917</v>
      </c>
      <c r="Q53" s="2">
        <f t="shared" si="5"/>
        <v>-9.0909090909090917</v>
      </c>
    </row>
    <row r="54" spans="1:17" x14ac:dyDescent="0.25">
      <c r="A54" s="3" t="s">
        <v>43</v>
      </c>
      <c r="B54" s="7">
        <f>B109+B111+B112+B113</f>
        <v>44096.53</v>
      </c>
      <c r="C54" s="7">
        <f>C109+C111+C112+C113</f>
        <v>78044.399999999994</v>
      </c>
      <c r="D54" s="7">
        <f>D109+D111+D112+D113</f>
        <v>64584.18</v>
      </c>
      <c r="E54" s="7">
        <f>E109+E111+E112+E113</f>
        <v>30224.629999999997</v>
      </c>
      <c r="F54" s="7">
        <f t="shared" ref="F54:M54" si="31">F109+F111+F112+F113</f>
        <v>73319.850000000006</v>
      </c>
      <c r="G54" s="7">
        <f t="shared" si="31"/>
        <v>0</v>
      </c>
      <c r="H54" s="7">
        <f t="shared" si="31"/>
        <v>0</v>
      </c>
      <c r="I54" s="7">
        <f t="shared" si="31"/>
        <v>0</v>
      </c>
      <c r="J54" s="7">
        <f t="shared" si="31"/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2">
        <f>SUM(B54:M54)</f>
        <v>290269.58999999997</v>
      </c>
      <c r="P54" s="2">
        <f t="shared" si="4"/>
        <v>26388.144545454543</v>
      </c>
      <c r="Q54" s="2">
        <f t="shared" si="5"/>
        <v>-26388.144545454543</v>
      </c>
    </row>
    <row r="55" spans="1:17" x14ac:dyDescent="0.25">
      <c r="A55" s="3" t="s">
        <v>44</v>
      </c>
      <c r="B55" s="28">
        <f>SUM(B51:B54)</f>
        <v>88271.010000000009</v>
      </c>
      <c r="C55" s="28">
        <f t="shared" ref="C55:N55" si="32">SUM(C51:C54)</f>
        <v>115071.35999999999</v>
      </c>
      <c r="D55" s="28">
        <f t="shared" si="32"/>
        <v>115537.15</v>
      </c>
      <c r="E55" s="28">
        <f t="shared" si="32"/>
        <v>47607.63</v>
      </c>
      <c r="F55" s="28">
        <f t="shared" si="32"/>
        <v>79957.350000000006</v>
      </c>
      <c r="G55" s="28">
        <f t="shared" si="32"/>
        <v>0</v>
      </c>
      <c r="H55" s="28">
        <f t="shared" si="32"/>
        <v>0</v>
      </c>
      <c r="I55" s="28">
        <f t="shared" si="32"/>
        <v>0</v>
      </c>
      <c r="J55" s="28">
        <f t="shared" si="32"/>
        <v>0</v>
      </c>
      <c r="K55" s="28">
        <f t="shared" si="32"/>
        <v>0</v>
      </c>
      <c r="L55" s="28">
        <f t="shared" si="32"/>
        <v>0</v>
      </c>
      <c r="M55" s="28">
        <f t="shared" si="32"/>
        <v>0</v>
      </c>
      <c r="N55" s="28">
        <f t="shared" si="32"/>
        <v>446444.5</v>
      </c>
      <c r="P55" s="28">
        <f t="shared" si="4"/>
        <v>40585.86363636364</v>
      </c>
      <c r="Q55" s="28">
        <f t="shared" si="5"/>
        <v>-40585.86363636364</v>
      </c>
    </row>
    <row r="56" spans="1:17" x14ac:dyDescent="0.25">
      <c r="A56" s="3" t="s">
        <v>45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13"/>
      <c r="P56" s="13">
        <f t="shared" si="4"/>
        <v>0</v>
      </c>
      <c r="Q56" s="13">
        <f t="shared" si="5"/>
        <v>0</v>
      </c>
    </row>
    <row r="57" spans="1:17" x14ac:dyDescent="0.25">
      <c r="A57" s="3" t="s">
        <v>40</v>
      </c>
      <c r="B57" s="7">
        <f>B126</f>
        <v>0</v>
      </c>
      <c r="C57" s="7">
        <f>C126</f>
        <v>0</v>
      </c>
      <c r="D57" s="7">
        <f>D126</f>
        <v>0</v>
      </c>
      <c r="E57" s="7">
        <f t="shared" ref="E57:J57" si="33">E126</f>
        <v>0</v>
      </c>
      <c r="F57" s="7">
        <f>F126</f>
        <v>0</v>
      </c>
      <c r="G57" s="2">
        <f t="shared" si="33"/>
        <v>0</v>
      </c>
      <c r="H57" s="2">
        <f t="shared" si="33"/>
        <v>0</v>
      </c>
      <c r="I57" s="2">
        <f t="shared" si="33"/>
        <v>0</v>
      </c>
      <c r="J57" s="2">
        <f t="shared" si="33"/>
        <v>0</v>
      </c>
      <c r="K57" s="2">
        <f>K126</f>
        <v>0</v>
      </c>
      <c r="L57" s="2">
        <f>L126</f>
        <v>0</v>
      </c>
      <c r="M57" s="2">
        <f>M126</f>
        <v>0</v>
      </c>
      <c r="N57" s="2">
        <f t="shared" ref="N57:N64" si="34">SUM(B57:M57)</f>
        <v>0</v>
      </c>
      <c r="P57" s="2">
        <f t="shared" si="4"/>
        <v>0</v>
      </c>
      <c r="Q57" s="2">
        <f t="shared" si="5"/>
        <v>0</v>
      </c>
    </row>
    <row r="58" spans="1:17" x14ac:dyDescent="0.25">
      <c r="A58" s="3" t="s">
        <v>46</v>
      </c>
      <c r="B58" s="7">
        <f>B132+B137+B138+B175+B163+B166+B174</f>
        <v>57082.080000000009</v>
      </c>
      <c r="C58" s="7">
        <f>C132+C137+C138+C175+C163+C166+C174</f>
        <v>43072.58</v>
      </c>
      <c r="D58" s="7">
        <f>D132+D137+D138+D175+D163+D166+D174</f>
        <v>59675.47</v>
      </c>
      <c r="E58" s="7">
        <f>E132+E137+E138+E175+E163+E166+E174</f>
        <v>4134.2700000000004</v>
      </c>
      <c r="F58" s="7">
        <f>F132+F137+F138+F175+F163+F166+F174</f>
        <v>5289.5499999999993</v>
      </c>
      <c r="G58" s="2">
        <f t="shared" ref="G58:M58" si="35">G132+G163+G137+G138+G131+G174+G175+G166</f>
        <v>0</v>
      </c>
      <c r="H58" s="2">
        <f t="shared" si="35"/>
        <v>0</v>
      </c>
      <c r="I58" s="2">
        <f t="shared" si="35"/>
        <v>0</v>
      </c>
      <c r="J58" s="2">
        <f t="shared" si="35"/>
        <v>0</v>
      </c>
      <c r="K58" s="2">
        <f t="shared" si="35"/>
        <v>0</v>
      </c>
      <c r="L58" s="2">
        <f t="shared" si="35"/>
        <v>0</v>
      </c>
      <c r="M58" s="2">
        <f t="shared" si="35"/>
        <v>0</v>
      </c>
      <c r="N58" s="2">
        <f t="shared" si="34"/>
        <v>169253.94999999998</v>
      </c>
      <c r="P58" s="2">
        <f t="shared" si="4"/>
        <v>15386.722727272725</v>
      </c>
      <c r="Q58" s="2">
        <f t="shared" si="5"/>
        <v>-15386.722727272725</v>
      </c>
    </row>
    <row r="59" spans="1:17" x14ac:dyDescent="0.25">
      <c r="A59" s="3" t="s">
        <v>47</v>
      </c>
      <c r="B59" s="7">
        <f>B134+B136</f>
        <v>162526.82</v>
      </c>
      <c r="C59" s="7">
        <f>C134+C136</f>
        <v>186551.2</v>
      </c>
      <c r="D59" s="7">
        <f>D134+D136+D135</f>
        <v>121471.26</v>
      </c>
      <c r="E59" s="7">
        <f t="shared" ref="E59:J59" si="36">E134+E136</f>
        <v>104538.95</v>
      </c>
      <c r="F59" s="7">
        <f>F134+F136+F135</f>
        <v>112337.33</v>
      </c>
      <c r="G59" s="2">
        <f t="shared" si="36"/>
        <v>0</v>
      </c>
      <c r="H59" s="2">
        <f t="shared" si="36"/>
        <v>0</v>
      </c>
      <c r="I59" s="2">
        <f t="shared" si="36"/>
        <v>0</v>
      </c>
      <c r="J59" s="2">
        <f t="shared" si="36"/>
        <v>0</v>
      </c>
      <c r="K59" s="2">
        <f>K134+K136</f>
        <v>0</v>
      </c>
      <c r="L59" s="2">
        <f>L134+L136</f>
        <v>0</v>
      </c>
      <c r="M59" s="2">
        <f>M134+M136+M135</f>
        <v>0</v>
      </c>
      <c r="N59" s="2">
        <f t="shared" si="34"/>
        <v>687425.55999999994</v>
      </c>
      <c r="P59" s="2">
        <f t="shared" si="4"/>
        <v>62493.23272727272</v>
      </c>
      <c r="Q59" s="2">
        <f t="shared" si="5"/>
        <v>-62493.23272727272</v>
      </c>
    </row>
    <row r="60" spans="1:17" x14ac:dyDescent="0.25">
      <c r="A60" s="3" t="s">
        <v>48</v>
      </c>
      <c r="B60" s="7">
        <f>B165</f>
        <v>5000</v>
      </c>
      <c r="C60" s="7">
        <f>C165</f>
        <v>16772.5</v>
      </c>
      <c r="D60" s="7">
        <f>D165</f>
        <v>-6772.5</v>
      </c>
      <c r="E60" s="7">
        <f>E165</f>
        <v>5000</v>
      </c>
      <c r="F60" s="7">
        <f>F165</f>
        <v>5000</v>
      </c>
      <c r="G60" s="2">
        <f t="shared" ref="G60:J60" si="37">G165</f>
        <v>0</v>
      </c>
      <c r="H60" s="2">
        <f t="shared" si="37"/>
        <v>0</v>
      </c>
      <c r="I60" s="2">
        <f t="shared" si="37"/>
        <v>0</v>
      </c>
      <c r="J60" s="2">
        <f t="shared" si="37"/>
        <v>0</v>
      </c>
      <c r="K60" s="2">
        <f>K165</f>
        <v>0</v>
      </c>
      <c r="L60" s="2">
        <f>L165</f>
        <v>0</v>
      </c>
      <c r="M60" s="2">
        <f>M165</f>
        <v>0</v>
      </c>
      <c r="N60" s="2">
        <f t="shared" si="34"/>
        <v>25000</v>
      </c>
      <c r="P60" s="2">
        <f t="shared" si="4"/>
        <v>2272.7272727272725</v>
      </c>
      <c r="Q60" s="2">
        <f t="shared" si="5"/>
        <v>-2272.7272727272725</v>
      </c>
    </row>
    <row r="61" spans="1:17" x14ac:dyDescent="0.25">
      <c r="A61" s="3" t="s">
        <v>49</v>
      </c>
      <c r="B61" s="7">
        <f>B172+B176+B177+B171+B173</f>
        <v>15314.77</v>
      </c>
      <c r="C61" s="7">
        <f>C172+C176+C177+C171+C173</f>
        <v>24623.15</v>
      </c>
      <c r="D61" s="7">
        <f t="shared" ref="D61:M61" si="38">D172+D176+D177+D171+D173</f>
        <v>20393.25</v>
      </c>
      <c r="E61" s="7">
        <f t="shared" si="38"/>
        <v>17847.68</v>
      </c>
      <c r="F61" s="7">
        <f t="shared" si="38"/>
        <v>17603.449999999997</v>
      </c>
      <c r="G61" s="7">
        <f t="shared" si="38"/>
        <v>0</v>
      </c>
      <c r="H61" s="7">
        <f t="shared" si="38"/>
        <v>0</v>
      </c>
      <c r="I61" s="7">
        <f t="shared" si="38"/>
        <v>0</v>
      </c>
      <c r="J61" s="7">
        <f t="shared" si="38"/>
        <v>0</v>
      </c>
      <c r="K61" s="7">
        <f t="shared" si="38"/>
        <v>0</v>
      </c>
      <c r="L61" s="7">
        <f t="shared" si="38"/>
        <v>0</v>
      </c>
      <c r="M61" s="7">
        <f t="shared" si="38"/>
        <v>0</v>
      </c>
      <c r="N61" s="2">
        <f t="shared" si="34"/>
        <v>95782.3</v>
      </c>
      <c r="P61" s="2">
        <f t="shared" si="4"/>
        <v>8707.4818181818191</v>
      </c>
      <c r="Q61" s="2">
        <f t="shared" si="5"/>
        <v>-8707.4818181818191</v>
      </c>
    </row>
    <row r="62" spans="1:17" x14ac:dyDescent="0.25">
      <c r="A62" s="3" t="s">
        <v>50</v>
      </c>
      <c r="B62" s="7">
        <f>B169</f>
        <v>28233.33</v>
      </c>
      <c r="C62" s="7">
        <f>C169</f>
        <v>28233.33</v>
      </c>
      <c r="D62" s="7">
        <f>D169</f>
        <v>28595.83</v>
      </c>
      <c r="E62" s="7">
        <f t="shared" ref="E62:J62" si="39">E169</f>
        <v>28233.33</v>
      </c>
      <c r="F62" s="7">
        <f>F169</f>
        <v>28233.33</v>
      </c>
      <c r="G62" s="2">
        <f t="shared" si="39"/>
        <v>0</v>
      </c>
      <c r="H62" s="2">
        <f t="shared" si="39"/>
        <v>0</v>
      </c>
      <c r="I62" s="2">
        <f t="shared" si="39"/>
        <v>0</v>
      </c>
      <c r="J62" s="2">
        <f t="shared" si="39"/>
        <v>0</v>
      </c>
      <c r="K62" s="2">
        <f>K169</f>
        <v>0</v>
      </c>
      <c r="L62" s="2">
        <f>L169</f>
        <v>0</v>
      </c>
      <c r="M62" s="2">
        <f>M169</f>
        <v>0</v>
      </c>
      <c r="N62" s="2">
        <f t="shared" si="34"/>
        <v>141529.15000000002</v>
      </c>
      <c r="P62" s="2">
        <f t="shared" si="4"/>
        <v>12866.286363636365</v>
      </c>
      <c r="Q62" s="2">
        <f t="shared" si="5"/>
        <v>-12866.286363636365</v>
      </c>
    </row>
    <row r="63" spans="1:17" x14ac:dyDescent="0.25">
      <c r="A63" s="3" t="s">
        <v>51</v>
      </c>
      <c r="B63" s="2">
        <v>0</v>
      </c>
      <c r="C63" s="2">
        <v>0</v>
      </c>
      <c r="D63" s="2"/>
      <c r="E63" s="7"/>
      <c r="F63" s="7">
        <v>0</v>
      </c>
      <c r="G63" s="2">
        <v>0</v>
      </c>
      <c r="H63" s="2"/>
      <c r="I63" s="2"/>
      <c r="J63" s="2"/>
      <c r="K63" s="2"/>
      <c r="L63" s="2"/>
      <c r="M63" s="2"/>
      <c r="N63" s="2">
        <f t="shared" si="34"/>
        <v>0</v>
      </c>
      <c r="P63" s="2">
        <f t="shared" si="4"/>
        <v>0</v>
      </c>
      <c r="Q63" s="2">
        <f t="shared" si="5"/>
        <v>0</v>
      </c>
    </row>
    <row r="64" spans="1:17" x14ac:dyDescent="0.25">
      <c r="A64" s="3" t="s">
        <v>52</v>
      </c>
      <c r="B64" s="15">
        <f>B170</f>
        <v>0</v>
      </c>
      <c r="C64" s="15">
        <f>C170</f>
        <v>878</v>
      </c>
      <c r="D64" s="29">
        <f>D170</f>
        <v>0</v>
      </c>
      <c r="E64" s="2">
        <f t="shared" ref="E64:K64" si="40">E170</f>
        <v>0</v>
      </c>
      <c r="F64" s="2">
        <f>F170</f>
        <v>620</v>
      </c>
      <c r="G64" s="2">
        <f t="shared" si="40"/>
        <v>0</v>
      </c>
      <c r="H64" s="2">
        <f t="shared" si="40"/>
        <v>0</v>
      </c>
      <c r="I64" s="2">
        <f t="shared" si="40"/>
        <v>0</v>
      </c>
      <c r="J64" s="2">
        <f t="shared" si="40"/>
        <v>0</v>
      </c>
      <c r="K64" s="2">
        <f t="shared" si="40"/>
        <v>0</v>
      </c>
      <c r="L64" s="2">
        <f>L170</f>
        <v>0</v>
      </c>
      <c r="M64" s="2">
        <f>M170</f>
        <v>0</v>
      </c>
      <c r="N64" s="2">
        <f t="shared" si="34"/>
        <v>1498</v>
      </c>
      <c r="P64" s="2">
        <f t="shared" si="4"/>
        <v>136.18181818181819</v>
      </c>
      <c r="Q64" s="2">
        <f t="shared" si="5"/>
        <v>-136.18181818181819</v>
      </c>
    </row>
    <row r="65" spans="1:17" x14ac:dyDescent="0.25">
      <c r="A65" s="3" t="s">
        <v>53</v>
      </c>
      <c r="B65" s="30">
        <f>SUM(B57:B64)</f>
        <v>268157</v>
      </c>
      <c r="C65" s="30">
        <f t="shared" ref="C65:N65" si="41">SUM(C57:C64)</f>
        <v>300130.76000000007</v>
      </c>
      <c r="D65" s="15">
        <f t="shared" si="41"/>
        <v>223363.31</v>
      </c>
      <c r="E65" s="30">
        <f t="shared" si="41"/>
        <v>159754.22999999998</v>
      </c>
      <c r="F65" s="30">
        <f t="shared" si="41"/>
        <v>169083.66000000003</v>
      </c>
      <c r="G65" s="30">
        <f t="shared" si="41"/>
        <v>0</v>
      </c>
      <c r="H65" s="30">
        <f t="shared" si="41"/>
        <v>0</v>
      </c>
      <c r="I65" s="30">
        <f t="shared" si="41"/>
        <v>0</v>
      </c>
      <c r="J65" s="30">
        <f t="shared" si="41"/>
        <v>0</v>
      </c>
      <c r="K65" s="30">
        <f t="shared" si="41"/>
        <v>0</v>
      </c>
      <c r="L65" s="30">
        <f t="shared" si="41"/>
        <v>0</v>
      </c>
      <c r="M65" s="30">
        <f t="shared" si="41"/>
        <v>0</v>
      </c>
      <c r="N65" s="30">
        <f t="shared" si="41"/>
        <v>1120488.96</v>
      </c>
      <c r="P65" s="30">
        <f t="shared" si="4"/>
        <v>101862.63272727272</v>
      </c>
      <c r="Q65" s="30">
        <f t="shared" si="5"/>
        <v>-101862.63272727272</v>
      </c>
    </row>
    <row r="66" spans="1:17" x14ac:dyDescent="0.25">
      <c r="A66" s="3" t="s">
        <v>54</v>
      </c>
      <c r="B66" s="31">
        <f>+B55-B65</f>
        <v>-179885.99</v>
      </c>
      <c r="C66" s="31">
        <f t="shared" ref="C66:N66" si="42">+C55-C65</f>
        <v>-185059.40000000008</v>
      </c>
      <c r="D66" s="31">
        <f t="shared" si="42"/>
        <v>-107826.16</v>
      </c>
      <c r="E66" s="31">
        <f t="shared" si="42"/>
        <v>-112146.59999999998</v>
      </c>
      <c r="F66" s="31">
        <f t="shared" si="42"/>
        <v>-89126.310000000027</v>
      </c>
      <c r="G66" s="31">
        <f t="shared" si="42"/>
        <v>0</v>
      </c>
      <c r="H66" s="31">
        <f t="shared" si="42"/>
        <v>0</v>
      </c>
      <c r="I66" s="31">
        <f t="shared" si="42"/>
        <v>0</v>
      </c>
      <c r="J66" s="31">
        <f t="shared" si="42"/>
        <v>0</v>
      </c>
      <c r="K66" s="31">
        <f t="shared" si="42"/>
        <v>0</v>
      </c>
      <c r="L66" s="31">
        <f t="shared" si="42"/>
        <v>0</v>
      </c>
      <c r="M66" s="31">
        <f t="shared" si="42"/>
        <v>0</v>
      </c>
      <c r="N66" s="31">
        <f t="shared" si="42"/>
        <v>-674044.46</v>
      </c>
      <c r="P66" s="31">
        <f t="shared" si="4"/>
        <v>-61276.769090909089</v>
      </c>
      <c r="Q66" s="31">
        <f t="shared" si="5"/>
        <v>61276.769090909089</v>
      </c>
    </row>
    <row r="67" spans="1:17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13"/>
      <c r="P67" s="13">
        <f t="shared" si="4"/>
        <v>0</v>
      </c>
      <c r="Q67" s="13">
        <f t="shared" si="5"/>
        <v>0</v>
      </c>
    </row>
    <row r="68" spans="1:17" x14ac:dyDescent="0.25">
      <c r="A68" s="3" t="s">
        <v>55</v>
      </c>
      <c r="B68" s="7">
        <f>B194</f>
        <v>405193.11</v>
      </c>
      <c r="C68" s="7">
        <f>C194</f>
        <v>341937.99000000005</v>
      </c>
      <c r="D68" s="7">
        <f>D194</f>
        <v>343625.55</v>
      </c>
      <c r="E68" s="7">
        <f t="shared" ref="E68:J68" si="43">E194</f>
        <v>353871.56</v>
      </c>
      <c r="F68" s="7">
        <f>F194</f>
        <v>420339.36000000004</v>
      </c>
      <c r="G68" s="2">
        <f t="shared" si="43"/>
        <v>0</v>
      </c>
      <c r="H68" s="2">
        <f t="shared" si="43"/>
        <v>0</v>
      </c>
      <c r="I68" s="2">
        <f t="shared" si="43"/>
        <v>0</v>
      </c>
      <c r="J68" s="2">
        <f t="shared" si="43"/>
        <v>0</v>
      </c>
      <c r="K68" s="2">
        <f>K194</f>
        <v>0</v>
      </c>
      <c r="L68" s="2">
        <f>L194</f>
        <v>0</v>
      </c>
      <c r="M68" s="2">
        <f>M194</f>
        <v>0</v>
      </c>
      <c r="N68" s="2">
        <f>SUM(B68:M68)</f>
        <v>1864967.5700000003</v>
      </c>
      <c r="P68" s="2">
        <f t="shared" si="4"/>
        <v>169542.50636363638</v>
      </c>
      <c r="Q68" s="2">
        <f t="shared" si="5"/>
        <v>-169542.50636363638</v>
      </c>
    </row>
    <row r="69" spans="1:17" x14ac:dyDescent="0.25">
      <c r="A69" s="3" t="s">
        <v>56</v>
      </c>
      <c r="B69" s="7">
        <f>B213</f>
        <v>196640.18</v>
      </c>
      <c r="C69" s="7">
        <f>C213</f>
        <v>189381.89</v>
      </c>
      <c r="D69" s="7">
        <f>D213</f>
        <v>195764.02000000002</v>
      </c>
      <c r="E69" s="7">
        <f t="shared" ref="E69:J69" si="44">E213</f>
        <v>187712.74</v>
      </c>
      <c r="F69" s="7">
        <f>F213</f>
        <v>186399.78</v>
      </c>
      <c r="G69" s="2">
        <f t="shared" si="44"/>
        <v>0</v>
      </c>
      <c r="H69" s="2">
        <f t="shared" si="44"/>
        <v>0</v>
      </c>
      <c r="I69" s="2">
        <f t="shared" si="44"/>
        <v>0</v>
      </c>
      <c r="J69" s="2">
        <f t="shared" si="44"/>
        <v>0</v>
      </c>
      <c r="K69" s="2">
        <f>K213</f>
        <v>0</v>
      </c>
      <c r="L69" s="2">
        <f>L213</f>
        <v>0</v>
      </c>
      <c r="M69" s="2">
        <f>M213</f>
        <v>0</v>
      </c>
      <c r="N69" s="2">
        <f>SUM(B69:M69)</f>
        <v>955898.6100000001</v>
      </c>
      <c r="P69" s="2">
        <f t="shared" si="4"/>
        <v>86899.873636363642</v>
      </c>
      <c r="Q69" s="2">
        <f t="shared" si="5"/>
        <v>-86899.873636363642</v>
      </c>
    </row>
    <row r="70" spans="1:17" x14ac:dyDescent="0.25">
      <c r="A70" s="3" t="s">
        <v>57</v>
      </c>
      <c r="B70" s="7">
        <f>B242</f>
        <v>111240.83</v>
      </c>
      <c r="C70" s="7">
        <f>C242</f>
        <v>91232.06</v>
      </c>
      <c r="D70" s="7">
        <f>D242</f>
        <v>94277.48000000001</v>
      </c>
      <c r="E70" s="7">
        <f t="shared" ref="E70:J70" si="45">E242</f>
        <v>88611.98000000001</v>
      </c>
      <c r="F70" s="7">
        <f>F242</f>
        <v>89444.540000000008</v>
      </c>
      <c r="G70" s="2">
        <f t="shared" si="45"/>
        <v>0</v>
      </c>
      <c r="H70" s="2">
        <f t="shared" si="45"/>
        <v>0</v>
      </c>
      <c r="I70" s="2">
        <f t="shared" si="45"/>
        <v>0</v>
      </c>
      <c r="J70" s="2">
        <f t="shared" si="45"/>
        <v>0</v>
      </c>
      <c r="K70" s="2">
        <f>K242</f>
        <v>0</v>
      </c>
      <c r="L70" s="2">
        <f>L242</f>
        <v>0</v>
      </c>
      <c r="M70" s="2">
        <f>M242</f>
        <v>0</v>
      </c>
      <c r="N70" s="2">
        <f>SUM(B70:M70)</f>
        <v>474806.89</v>
      </c>
      <c r="P70" s="2">
        <f t="shared" ref="P70:P133" si="46">(N70-M70)/11</f>
        <v>43164.262727272726</v>
      </c>
      <c r="Q70" s="2">
        <f t="shared" ref="Q70:Q133" si="47">M70-P70</f>
        <v>-43164.262727272726</v>
      </c>
    </row>
    <row r="71" spans="1:17" x14ac:dyDescent="0.25">
      <c r="A71" s="3" t="s">
        <v>58</v>
      </c>
      <c r="B71" s="15">
        <f>-B256</f>
        <v>-81297.39</v>
      </c>
      <c r="C71" s="15">
        <f>-C256</f>
        <v>-60573.55</v>
      </c>
      <c r="D71" s="15">
        <f>-D256</f>
        <v>-54599.840000000004</v>
      </c>
      <c r="E71" s="14">
        <f t="shared" ref="E71:J71" si="48">-E256</f>
        <v>-82044.150000000009</v>
      </c>
      <c r="F71" s="14">
        <f>-F256</f>
        <v>-105834.51000000001</v>
      </c>
      <c r="G71" s="14">
        <f t="shared" si="48"/>
        <v>0</v>
      </c>
      <c r="H71" s="2">
        <f t="shared" si="48"/>
        <v>0</v>
      </c>
      <c r="I71" s="2">
        <f t="shared" si="48"/>
        <v>0</v>
      </c>
      <c r="J71" s="2">
        <f t="shared" si="48"/>
        <v>0</v>
      </c>
      <c r="K71" s="2">
        <f>-K256</f>
        <v>0</v>
      </c>
      <c r="L71" s="2">
        <f>-L256</f>
        <v>0</v>
      </c>
      <c r="M71" s="2">
        <f>-M256</f>
        <v>0</v>
      </c>
      <c r="N71" s="2">
        <f>SUM(B71:M71)</f>
        <v>-384349.44</v>
      </c>
      <c r="P71" s="2">
        <f t="shared" si="46"/>
        <v>-34940.858181818185</v>
      </c>
      <c r="Q71" s="2">
        <f t="shared" si="47"/>
        <v>34940.858181818185</v>
      </c>
    </row>
    <row r="72" spans="1:17" x14ac:dyDescent="0.25">
      <c r="A72" s="3" t="s">
        <v>59</v>
      </c>
      <c r="B72" s="15">
        <f>B125</f>
        <v>-3595.4</v>
      </c>
      <c r="C72" s="15">
        <f>C125</f>
        <v>-2471.31</v>
      </c>
      <c r="D72" s="15">
        <f>D125</f>
        <v>-4621.22</v>
      </c>
      <c r="E72" s="14">
        <f t="shared" ref="E72:J72" si="49">E125</f>
        <v>-5799.91</v>
      </c>
      <c r="F72" s="14">
        <f>F125</f>
        <v>-1360.64</v>
      </c>
      <c r="G72" s="14">
        <f t="shared" si="49"/>
        <v>0</v>
      </c>
      <c r="H72" s="2">
        <f t="shared" si="49"/>
        <v>0</v>
      </c>
      <c r="I72" s="2">
        <f t="shared" si="49"/>
        <v>0</v>
      </c>
      <c r="J72" s="2">
        <f t="shared" si="49"/>
        <v>0</v>
      </c>
      <c r="K72" s="2">
        <f>K125</f>
        <v>0</v>
      </c>
      <c r="L72" s="2">
        <f>L125</f>
        <v>0</v>
      </c>
      <c r="M72" s="2">
        <f>M125</f>
        <v>0</v>
      </c>
      <c r="N72" s="2">
        <f>SUM(B72:M72)</f>
        <v>-17848.48</v>
      </c>
      <c r="P72" s="2">
        <f t="shared" si="46"/>
        <v>-1622.5890909090908</v>
      </c>
      <c r="Q72" s="2">
        <f t="shared" si="47"/>
        <v>1622.5890909090908</v>
      </c>
    </row>
    <row r="73" spans="1:17" x14ac:dyDescent="0.25">
      <c r="A73" s="3" t="s">
        <v>60</v>
      </c>
      <c r="B73" s="10">
        <f>SUM(B68:B72)</f>
        <v>628181.32999999996</v>
      </c>
      <c r="C73" s="10">
        <f>SUM(C68:C72)</f>
        <v>559507.08000000007</v>
      </c>
      <c r="D73" s="10">
        <f t="shared" ref="D73:N73" si="50">SUM(D68:D72)</f>
        <v>574445.99000000011</v>
      </c>
      <c r="E73" s="10">
        <f t="shared" si="50"/>
        <v>542352.22</v>
      </c>
      <c r="F73" s="10">
        <f t="shared" si="50"/>
        <v>588988.53</v>
      </c>
      <c r="G73" s="10">
        <f t="shared" si="50"/>
        <v>0</v>
      </c>
      <c r="H73" s="10">
        <f>SUM(H68:H72)</f>
        <v>0</v>
      </c>
      <c r="I73" s="10">
        <f t="shared" si="50"/>
        <v>0</v>
      </c>
      <c r="J73" s="10">
        <f t="shared" si="50"/>
        <v>0</v>
      </c>
      <c r="K73" s="10">
        <f t="shared" si="50"/>
        <v>0</v>
      </c>
      <c r="L73" s="10">
        <f t="shared" si="50"/>
        <v>0</v>
      </c>
      <c r="M73" s="10">
        <f>SUM(M68:M72)</f>
        <v>0</v>
      </c>
      <c r="N73" s="10">
        <f t="shared" si="50"/>
        <v>2893475.1500000008</v>
      </c>
      <c r="P73" s="10">
        <f t="shared" si="46"/>
        <v>263043.19545454555</v>
      </c>
      <c r="Q73" s="10">
        <f t="shared" si="47"/>
        <v>-263043.19545454555</v>
      </c>
    </row>
    <row r="74" spans="1:17" ht="27" customHeight="1" thickBot="1" x14ac:dyDescent="0.3">
      <c r="A74" s="17" t="s">
        <v>61</v>
      </c>
      <c r="B74" s="18">
        <f t="shared" ref="B74:N74" si="51">+B35+B66-B73</f>
        <v>65733.430000119261</v>
      </c>
      <c r="C74" s="18">
        <f t="shared" si="51"/>
        <v>62568.989999789977</v>
      </c>
      <c r="D74" s="18">
        <f t="shared" si="51"/>
        <v>190852.60999993072</v>
      </c>
      <c r="E74" s="18">
        <f t="shared" si="51"/>
        <v>-70572.120000041672</v>
      </c>
      <c r="F74" s="18">
        <f>+F35+F66-F73</f>
        <v>-203742.99999999651</v>
      </c>
      <c r="G74" s="18">
        <f t="shared" si="51"/>
        <v>0</v>
      </c>
      <c r="H74" s="18">
        <f t="shared" si="51"/>
        <v>0</v>
      </c>
      <c r="I74" s="18">
        <f t="shared" si="51"/>
        <v>0</v>
      </c>
      <c r="J74" s="18">
        <f t="shared" si="51"/>
        <v>0</v>
      </c>
      <c r="K74" s="18">
        <f t="shared" si="51"/>
        <v>0</v>
      </c>
      <c r="L74" s="18">
        <f t="shared" si="51"/>
        <v>0</v>
      </c>
      <c r="M74" s="18">
        <f t="shared" si="51"/>
        <v>0</v>
      </c>
      <c r="N74" s="18">
        <f t="shared" si="51"/>
        <v>44839.909999980126</v>
      </c>
      <c r="P74" s="18">
        <f t="shared" si="46"/>
        <v>4076.3554545436477</v>
      </c>
      <c r="Q74" s="18">
        <f t="shared" si="47"/>
        <v>-4076.3554545436477</v>
      </c>
    </row>
    <row r="75" spans="1:17" ht="15.75" thickTop="1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P75" s="3">
        <f t="shared" si="46"/>
        <v>0</v>
      </c>
      <c r="Q75" s="3">
        <f t="shared" si="47"/>
        <v>0</v>
      </c>
    </row>
    <row r="76" spans="1:17" x14ac:dyDescent="0.25">
      <c r="A76" s="3" t="s">
        <v>62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>
        <v>48009.17</v>
      </c>
      <c r="P76" s="3">
        <f t="shared" si="46"/>
        <v>4364.47</v>
      </c>
      <c r="Q76" s="3">
        <f t="shared" si="47"/>
        <v>-4364.47</v>
      </c>
    </row>
    <row r="77" spans="1:17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f>N74-N76</f>
        <v>-3169.2600000198727</v>
      </c>
      <c r="P77" s="2">
        <f t="shared" si="46"/>
        <v>-288.11454545635206</v>
      </c>
      <c r="Q77" s="2">
        <f t="shared" si="47"/>
        <v>288.11454545635206</v>
      </c>
    </row>
    <row r="78" spans="1:17" hidden="1" x14ac:dyDescent="0.25">
      <c r="B78" s="2">
        <f t="shared" ref="B78:K78" si="52">+B74-B77</f>
        <v>65733.430000119261</v>
      </c>
      <c r="C78" s="2">
        <f t="shared" si="52"/>
        <v>62568.989999789977</v>
      </c>
      <c r="D78" s="2">
        <f t="shared" si="52"/>
        <v>190852.60999993072</v>
      </c>
      <c r="E78" s="2">
        <f t="shared" si="52"/>
        <v>-70572.120000041672</v>
      </c>
      <c r="F78" s="2">
        <f t="shared" si="52"/>
        <v>-203742.99999999651</v>
      </c>
      <c r="G78" s="2">
        <f t="shared" si="52"/>
        <v>0</v>
      </c>
      <c r="H78" s="2">
        <f t="shared" si="52"/>
        <v>0</v>
      </c>
      <c r="I78" s="2">
        <f t="shared" si="52"/>
        <v>0</v>
      </c>
      <c r="J78" s="2">
        <f t="shared" si="52"/>
        <v>0</v>
      </c>
      <c r="K78" s="2">
        <f t="shared" si="52"/>
        <v>0</v>
      </c>
      <c r="L78" s="2">
        <v>0</v>
      </c>
      <c r="M78" s="2"/>
      <c r="N78" s="2">
        <v>0</v>
      </c>
      <c r="P78" s="2">
        <f t="shared" si="46"/>
        <v>0</v>
      </c>
      <c r="Q78" s="2">
        <f t="shared" si="47"/>
        <v>0</v>
      </c>
    </row>
    <row r="79" spans="1:17" ht="15.75" thickBot="1" x14ac:dyDescent="0.3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P79" s="3">
        <f t="shared" si="46"/>
        <v>0</v>
      </c>
      <c r="Q79" s="3">
        <f t="shared" si="47"/>
        <v>0</v>
      </c>
    </row>
    <row r="80" spans="1:17" x14ac:dyDescent="0.25">
      <c r="A80" s="32" t="s">
        <v>63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4"/>
      <c r="P80" s="34">
        <f t="shared" si="46"/>
        <v>0</v>
      </c>
      <c r="Q80" s="34">
        <f t="shared" si="47"/>
        <v>0</v>
      </c>
    </row>
    <row r="81" spans="1:17" x14ac:dyDescent="0.25">
      <c r="A81" s="35" t="s">
        <v>40</v>
      </c>
      <c r="B81" s="8">
        <f t="shared" ref="B81:E82" si="53">+B51</f>
        <v>0</v>
      </c>
      <c r="C81" s="8">
        <f t="shared" si="53"/>
        <v>0</v>
      </c>
      <c r="D81" s="8">
        <f t="shared" si="53"/>
        <v>0</v>
      </c>
      <c r="E81" s="8">
        <f t="shared" si="53"/>
        <v>0</v>
      </c>
      <c r="F81" s="8">
        <f>F102</f>
        <v>0</v>
      </c>
      <c r="G81" s="8">
        <f t="shared" ref="G81:M82" si="54">+G51</f>
        <v>0</v>
      </c>
      <c r="H81" s="8">
        <f t="shared" si="54"/>
        <v>0</v>
      </c>
      <c r="I81" s="8">
        <f t="shared" si="54"/>
        <v>0</v>
      </c>
      <c r="J81" s="8">
        <f t="shared" si="54"/>
        <v>0</v>
      </c>
      <c r="K81" s="8">
        <f t="shared" si="54"/>
        <v>0</v>
      </c>
      <c r="L81" s="8">
        <f t="shared" si="54"/>
        <v>0</v>
      </c>
      <c r="M81" s="8">
        <f t="shared" si="54"/>
        <v>0</v>
      </c>
      <c r="N81" s="36">
        <f>SUM(B81:M81)</f>
        <v>0</v>
      </c>
      <c r="P81" s="36">
        <f t="shared" si="46"/>
        <v>0</v>
      </c>
      <c r="Q81" s="36">
        <f t="shared" si="47"/>
        <v>0</v>
      </c>
    </row>
    <row r="82" spans="1:17" x14ac:dyDescent="0.25">
      <c r="A82" s="35" t="s">
        <v>64</v>
      </c>
      <c r="B82" s="8">
        <f t="shared" si="53"/>
        <v>44174.48</v>
      </c>
      <c r="C82" s="8">
        <f t="shared" si="53"/>
        <v>37026.959999999999</v>
      </c>
      <c r="D82" s="8">
        <f t="shared" si="53"/>
        <v>50952.97</v>
      </c>
      <c r="E82" s="8">
        <f t="shared" si="53"/>
        <v>17383</v>
      </c>
      <c r="F82" s="8">
        <f>F108+F119</f>
        <v>6537.5</v>
      </c>
      <c r="G82" s="8">
        <f t="shared" si="54"/>
        <v>0</v>
      </c>
      <c r="H82" s="8">
        <f t="shared" si="54"/>
        <v>0</v>
      </c>
      <c r="I82" s="8">
        <f t="shared" si="54"/>
        <v>0</v>
      </c>
      <c r="J82" s="8">
        <f t="shared" si="54"/>
        <v>0</v>
      </c>
      <c r="K82" s="8">
        <f t="shared" si="54"/>
        <v>0</v>
      </c>
      <c r="L82" s="8">
        <f t="shared" si="54"/>
        <v>0</v>
      </c>
      <c r="M82" s="8">
        <f t="shared" si="54"/>
        <v>0</v>
      </c>
      <c r="N82" s="36">
        <f>SUM(B82:M82)</f>
        <v>156074.91</v>
      </c>
      <c r="P82" s="36">
        <f t="shared" si="46"/>
        <v>14188.628181818181</v>
      </c>
      <c r="Q82" s="36">
        <f t="shared" si="47"/>
        <v>-14188.628181818181</v>
      </c>
    </row>
    <row r="83" spans="1:17" x14ac:dyDescent="0.25">
      <c r="A83" s="35" t="s">
        <v>65</v>
      </c>
      <c r="B83" s="10">
        <f>SUM(B81:B82)</f>
        <v>44174.48</v>
      </c>
      <c r="C83" s="10">
        <f t="shared" ref="C83:J83" si="55">SUM(C81:C82)</f>
        <v>37026.959999999999</v>
      </c>
      <c r="D83" s="10">
        <f t="shared" si="55"/>
        <v>50952.97</v>
      </c>
      <c r="E83" s="10">
        <f t="shared" si="55"/>
        <v>17383</v>
      </c>
      <c r="F83" s="10">
        <f t="shared" si="55"/>
        <v>6537.5</v>
      </c>
      <c r="G83" s="10">
        <f t="shared" si="55"/>
        <v>0</v>
      </c>
      <c r="H83" s="10">
        <f t="shared" si="55"/>
        <v>0</v>
      </c>
      <c r="I83" s="10">
        <f t="shared" si="55"/>
        <v>0</v>
      </c>
      <c r="J83" s="10">
        <f t="shared" si="55"/>
        <v>0</v>
      </c>
      <c r="K83" s="10">
        <f>SUM(K81:K82)</f>
        <v>0</v>
      </c>
      <c r="L83" s="10">
        <f>SUM(L81:L82)</f>
        <v>0</v>
      </c>
      <c r="M83" s="10">
        <f>SUM(M81:M82)</f>
        <v>0</v>
      </c>
      <c r="N83" s="37">
        <f>SUM(N81:N82)</f>
        <v>156074.91</v>
      </c>
      <c r="P83" s="37">
        <f t="shared" si="46"/>
        <v>14188.628181818181</v>
      </c>
      <c r="Q83" s="37">
        <f t="shared" si="47"/>
        <v>-14188.628181818181</v>
      </c>
    </row>
    <row r="84" spans="1:17" x14ac:dyDescent="0.25">
      <c r="A84" s="3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38"/>
      <c r="P84" s="38">
        <f t="shared" si="46"/>
        <v>0</v>
      </c>
      <c r="Q84" s="38">
        <f t="shared" si="47"/>
        <v>0</v>
      </c>
    </row>
    <row r="85" spans="1:17" x14ac:dyDescent="0.25">
      <c r="A85" s="35" t="s">
        <v>66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38"/>
      <c r="P85" s="38">
        <f t="shared" si="46"/>
        <v>0</v>
      </c>
      <c r="Q85" s="38">
        <f t="shared" si="47"/>
        <v>0</v>
      </c>
    </row>
    <row r="86" spans="1:17" x14ac:dyDescent="0.25">
      <c r="A86" s="35" t="s">
        <v>67</v>
      </c>
      <c r="B86" s="8">
        <f>+B57</f>
        <v>0</v>
      </c>
      <c r="C86" s="8">
        <f>+C57</f>
        <v>0</v>
      </c>
      <c r="D86" s="8">
        <f>+D57</f>
        <v>0</v>
      </c>
      <c r="E86" s="8">
        <f>+E57</f>
        <v>0</v>
      </c>
      <c r="F86" s="8">
        <f>F126</f>
        <v>0</v>
      </c>
      <c r="G86" s="8">
        <f t="shared" ref="G86:M86" si="56">+G57</f>
        <v>0</v>
      </c>
      <c r="H86" s="8">
        <f t="shared" si="56"/>
        <v>0</v>
      </c>
      <c r="I86" s="8">
        <f t="shared" si="56"/>
        <v>0</v>
      </c>
      <c r="J86" s="8">
        <f t="shared" si="56"/>
        <v>0</v>
      </c>
      <c r="K86" s="8">
        <f t="shared" si="56"/>
        <v>0</v>
      </c>
      <c r="L86" s="8">
        <f t="shared" si="56"/>
        <v>0</v>
      </c>
      <c r="M86" s="8">
        <f t="shared" si="56"/>
        <v>0</v>
      </c>
      <c r="N86" s="36">
        <f>SUM(B86:M86)</f>
        <v>0</v>
      </c>
      <c r="P86" s="36">
        <f t="shared" si="46"/>
        <v>0</v>
      </c>
      <c r="Q86" s="36">
        <f t="shared" si="47"/>
        <v>0</v>
      </c>
    </row>
    <row r="87" spans="1:17" x14ac:dyDescent="0.25">
      <c r="A87" s="35" t="s">
        <v>68</v>
      </c>
      <c r="B87" s="8">
        <f t="shared" ref="B87:G87" si="57">B132</f>
        <v>47744.73</v>
      </c>
      <c r="C87" s="8">
        <f t="shared" si="57"/>
        <v>40318.61</v>
      </c>
      <c r="D87" s="8">
        <f t="shared" si="57"/>
        <v>53566.29</v>
      </c>
      <c r="E87" s="8">
        <f t="shared" si="57"/>
        <v>-3427.84</v>
      </c>
      <c r="F87" s="8">
        <f t="shared" si="57"/>
        <v>5808.03</v>
      </c>
      <c r="G87" s="8">
        <f t="shared" si="57"/>
        <v>0</v>
      </c>
      <c r="H87" s="8">
        <f>+H58</f>
        <v>0</v>
      </c>
      <c r="I87" s="8">
        <f>+I58</f>
        <v>0</v>
      </c>
      <c r="J87" s="8">
        <f>+J58</f>
        <v>0</v>
      </c>
      <c r="K87" s="8">
        <f>+K58</f>
        <v>0</v>
      </c>
      <c r="L87" s="8">
        <f>+L58</f>
        <v>0</v>
      </c>
      <c r="M87" s="8"/>
      <c r="N87" s="36">
        <f>SUM(B87:M87)</f>
        <v>144009.82</v>
      </c>
      <c r="P87" s="36">
        <f t="shared" si="46"/>
        <v>13091.801818181819</v>
      </c>
      <c r="Q87" s="36">
        <f t="shared" si="47"/>
        <v>-13091.801818181819</v>
      </c>
    </row>
    <row r="88" spans="1:17" x14ac:dyDescent="0.25">
      <c r="A88" s="35" t="s">
        <v>69</v>
      </c>
      <c r="B88" s="8">
        <f t="shared" ref="B88:L88" si="58">B163</f>
        <v>0</v>
      </c>
      <c r="C88" s="8">
        <f t="shared" si="58"/>
        <v>800</v>
      </c>
      <c r="D88" s="8">
        <f t="shared" si="58"/>
        <v>0</v>
      </c>
      <c r="E88" s="8">
        <f t="shared" si="58"/>
        <v>0</v>
      </c>
      <c r="F88" s="8">
        <f t="shared" si="58"/>
        <v>0</v>
      </c>
      <c r="G88" s="8">
        <f t="shared" si="58"/>
        <v>0</v>
      </c>
      <c r="H88" s="8">
        <f t="shared" si="58"/>
        <v>0</v>
      </c>
      <c r="I88" s="8">
        <f t="shared" si="58"/>
        <v>0</v>
      </c>
      <c r="J88" s="8">
        <f t="shared" si="58"/>
        <v>0</v>
      </c>
      <c r="K88" s="8">
        <f t="shared" si="58"/>
        <v>0</v>
      </c>
      <c r="L88" s="8">
        <f t="shared" si="58"/>
        <v>0</v>
      </c>
      <c r="M88" s="8"/>
      <c r="N88" s="36">
        <f>SUM(B88:M88)</f>
        <v>800</v>
      </c>
      <c r="P88" s="36">
        <f t="shared" si="46"/>
        <v>72.727272727272734</v>
      </c>
      <c r="Q88" s="36">
        <f t="shared" si="47"/>
        <v>-72.727272727272734</v>
      </c>
    </row>
    <row r="89" spans="1:17" x14ac:dyDescent="0.25">
      <c r="A89" s="35" t="s">
        <v>70</v>
      </c>
      <c r="B89" s="8">
        <f>B175</f>
        <v>1.87</v>
      </c>
      <c r="C89" s="8">
        <f t="shared" ref="C89:M89" si="59">C175</f>
        <v>0</v>
      </c>
      <c r="D89" s="8">
        <f t="shared" si="59"/>
        <v>-115.12</v>
      </c>
      <c r="E89" s="8">
        <f t="shared" si="59"/>
        <v>3216.06</v>
      </c>
      <c r="F89" s="8">
        <f t="shared" si="59"/>
        <v>-2308</v>
      </c>
      <c r="G89" s="8">
        <f t="shared" si="59"/>
        <v>0</v>
      </c>
      <c r="H89" s="8">
        <f t="shared" si="59"/>
        <v>0</v>
      </c>
      <c r="I89" s="8">
        <f t="shared" si="59"/>
        <v>0</v>
      </c>
      <c r="J89" s="8">
        <f t="shared" si="59"/>
        <v>0</v>
      </c>
      <c r="K89" s="8">
        <f t="shared" si="59"/>
        <v>0</v>
      </c>
      <c r="L89" s="8">
        <f t="shared" si="59"/>
        <v>0</v>
      </c>
      <c r="M89" s="8">
        <f t="shared" si="59"/>
        <v>0</v>
      </c>
      <c r="N89" s="36">
        <f>SUM(B89:M89)</f>
        <v>794.81</v>
      </c>
      <c r="P89" s="36">
        <f t="shared" si="46"/>
        <v>72.25545454545454</v>
      </c>
      <c r="Q89" s="36">
        <f t="shared" si="47"/>
        <v>-72.25545454545454</v>
      </c>
    </row>
    <row r="90" spans="1:17" x14ac:dyDescent="0.25">
      <c r="A90" s="35" t="s">
        <v>71</v>
      </c>
      <c r="B90" s="8">
        <f>B64</f>
        <v>0</v>
      </c>
      <c r="C90" s="8">
        <f>C64</f>
        <v>878</v>
      </c>
      <c r="D90" s="8">
        <f>D64</f>
        <v>0</v>
      </c>
      <c r="E90" s="8">
        <f>E64</f>
        <v>0</v>
      </c>
      <c r="F90" s="8">
        <f>F170</f>
        <v>620</v>
      </c>
      <c r="G90" s="8">
        <f t="shared" ref="G90:M90" si="60">G64</f>
        <v>0</v>
      </c>
      <c r="H90" s="8">
        <f t="shared" si="60"/>
        <v>0</v>
      </c>
      <c r="I90" s="8">
        <f t="shared" si="60"/>
        <v>0</v>
      </c>
      <c r="J90" s="8">
        <f t="shared" si="60"/>
        <v>0</v>
      </c>
      <c r="K90" s="8">
        <f t="shared" si="60"/>
        <v>0</v>
      </c>
      <c r="L90" s="8">
        <f t="shared" si="60"/>
        <v>0</v>
      </c>
      <c r="M90" s="8">
        <f t="shared" si="60"/>
        <v>0</v>
      </c>
      <c r="N90" s="36">
        <f>SUM(B90:M90)</f>
        <v>1498</v>
      </c>
      <c r="P90" s="36">
        <f t="shared" si="46"/>
        <v>136.18181818181819</v>
      </c>
      <c r="Q90" s="36">
        <f t="shared" si="47"/>
        <v>-136.18181818181819</v>
      </c>
    </row>
    <row r="91" spans="1:17" x14ac:dyDescent="0.25">
      <c r="A91" s="35"/>
      <c r="B91" s="10">
        <f>SUM(B86:B90)</f>
        <v>47746.600000000006</v>
      </c>
      <c r="C91" s="10">
        <f t="shared" ref="C91:L91" si="61">SUM(C86:C90)</f>
        <v>41996.61</v>
      </c>
      <c r="D91" s="10">
        <f t="shared" si="61"/>
        <v>53451.17</v>
      </c>
      <c r="E91" s="10">
        <f t="shared" si="61"/>
        <v>-211.7800000000002</v>
      </c>
      <c r="F91" s="10">
        <f t="shared" si="61"/>
        <v>4120.03</v>
      </c>
      <c r="G91" s="10">
        <f t="shared" si="61"/>
        <v>0</v>
      </c>
      <c r="H91" s="10">
        <f t="shared" si="61"/>
        <v>0</v>
      </c>
      <c r="I91" s="10">
        <f t="shared" si="61"/>
        <v>0</v>
      </c>
      <c r="J91" s="10">
        <f t="shared" si="61"/>
        <v>0</v>
      </c>
      <c r="K91" s="10">
        <f t="shared" si="61"/>
        <v>0</v>
      </c>
      <c r="L91" s="10">
        <f t="shared" si="61"/>
        <v>0</v>
      </c>
      <c r="M91" s="10">
        <f>SUM(M86:M90)</f>
        <v>0</v>
      </c>
      <c r="N91" s="37">
        <f>SUM(N86:N90)</f>
        <v>147102.63</v>
      </c>
      <c r="P91" s="37">
        <f t="shared" si="46"/>
        <v>13372.966363636364</v>
      </c>
      <c r="Q91" s="37">
        <f t="shared" si="47"/>
        <v>-13372.966363636364</v>
      </c>
    </row>
    <row r="92" spans="1:17" ht="27" customHeight="1" thickBot="1" x14ac:dyDescent="0.3">
      <c r="A92" s="35"/>
      <c r="B92" s="39">
        <f>+B83-B91</f>
        <v>-3572.1200000000026</v>
      </c>
      <c r="C92" s="39">
        <f t="shared" ref="C92:L92" si="62">+C83-C91</f>
        <v>-4969.6500000000015</v>
      </c>
      <c r="D92" s="39">
        <f t="shared" si="62"/>
        <v>-2498.1999999999971</v>
      </c>
      <c r="E92" s="39">
        <f t="shared" si="62"/>
        <v>17594.78</v>
      </c>
      <c r="F92" s="39">
        <f t="shared" si="62"/>
        <v>2417.4700000000003</v>
      </c>
      <c r="G92" s="39">
        <f t="shared" si="62"/>
        <v>0</v>
      </c>
      <c r="H92" s="39">
        <f t="shared" si="62"/>
        <v>0</v>
      </c>
      <c r="I92" s="39">
        <f t="shared" si="62"/>
        <v>0</v>
      </c>
      <c r="J92" s="39">
        <f t="shared" si="62"/>
        <v>0</v>
      </c>
      <c r="K92" s="39">
        <f t="shared" si="62"/>
        <v>0</v>
      </c>
      <c r="L92" s="39">
        <f t="shared" si="62"/>
        <v>0</v>
      </c>
      <c r="M92" s="39">
        <f>+M83-M91</f>
        <v>0</v>
      </c>
      <c r="N92" s="40">
        <f>+N83-N91</f>
        <v>8972.2799999999988</v>
      </c>
      <c r="P92" s="40">
        <f t="shared" si="46"/>
        <v>815.66181818181803</v>
      </c>
      <c r="Q92" s="40">
        <f t="shared" si="47"/>
        <v>-815.66181818181803</v>
      </c>
    </row>
    <row r="93" spans="1:17" ht="16.5" thickTop="1" thickBot="1" x14ac:dyDescent="0.3">
      <c r="A93" s="41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3"/>
      <c r="P93" s="43">
        <f t="shared" si="46"/>
        <v>0</v>
      </c>
      <c r="Q93" s="43">
        <f t="shared" si="47"/>
        <v>0</v>
      </c>
    </row>
    <row r="94" spans="1:17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P94" s="3">
        <f t="shared" si="46"/>
        <v>0</v>
      </c>
      <c r="Q94" s="3">
        <f t="shared" si="47"/>
        <v>0</v>
      </c>
    </row>
    <row r="95" spans="1:17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P95" s="3">
        <f t="shared" si="46"/>
        <v>0</v>
      </c>
      <c r="Q95" s="3">
        <f t="shared" si="47"/>
        <v>0</v>
      </c>
    </row>
    <row r="96" spans="1:17" s="20" customFormat="1" ht="30.75" customHeight="1" x14ac:dyDescent="0.25">
      <c r="A96" s="20" t="s">
        <v>72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13">
        <f>SUM(B96:M96)</f>
        <v>0</v>
      </c>
      <c r="P96" s="13">
        <f t="shared" si="46"/>
        <v>0</v>
      </c>
      <c r="Q96" s="13">
        <f t="shared" si="47"/>
        <v>0</v>
      </c>
    </row>
    <row r="97" spans="1:17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P97" s="3">
        <f t="shared" si="46"/>
        <v>0</v>
      </c>
      <c r="Q97" s="3">
        <f t="shared" si="47"/>
        <v>0</v>
      </c>
    </row>
    <row r="98" spans="1:17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P98" s="3">
        <f t="shared" si="46"/>
        <v>0</v>
      </c>
      <c r="Q98" s="3">
        <f t="shared" si="47"/>
        <v>0</v>
      </c>
    </row>
    <row r="99" spans="1:17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P99" s="3">
        <f t="shared" si="46"/>
        <v>0</v>
      </c>
      <c r="Q99" s="3">
        <f t="shared" si="47"/>
        <v>0</v>
      </c>
    </row>
    <row r="100" spans="1:17" s="44" customFormat="1" ht="15.75" thickBot="1" x14ac:dyDescent="0.3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P100" s="44">
        <f t="shared" si="46"/>
        <v>0</v>
      </c>
      <c r="Q100" s="44">
        <f t="shared" si="47"/>
        <v>0</v>
      </c>
    </row>
    <row r="101" spans="1:17" x14ac:dyDescent="0.25">
      <c r="A101" s="4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P101" s="3">
        <f t="shared" si="46"/>
        <v>0</v>
      </c>
      <c r="Q101" s="3">
        <f t="shared" si="47"/>
        <v>0</v>
      </c>
    </row>
    <row r="102" spans="1:17" x14ac:dyDescent="0.25">
      <c r="A102" s="3" t="s">
        <v>73</v>
      </c>
      <c r="B102" s="2">
        <v>0</v>
      </c>
      <c r="C102" s="2">
        <v>0</v>
      </c>
      <c r="D102" s="2">
        <v>0</v>
      </c>
      <c r="E102" s="2"/>
      <c r="F102" s="2"/>
      <c r="G102" s="2"/>
      <c r="H102" s="2"/>
      <c r="I102" s="2"/>
      <c r="J102" s="2"/>
      <c r="K102" s="2"/>
      <c r="L102" s="2"/>
      <c r="M102" s="2"/>
      <c r="N102" s="2">
        <f t="shared" ref="N102:N122" si="63">SUM(B102:M102)</f>
        <v>0</v>
      </c>
      <c r="P102" s="2">
        <f t="shared" si="46"/>
        <v>0</v>
      </c>
      <c r="Q102" s="2">
        <f t="shared" si="47"/>
        <v>0</v>
      </c>
    </row>
    <row r="103" spans="1:17" x14ac:dyDescent="0.25">
      <c r="A103" s="3" t="s">
        <v>74</v>
      </c>
      <c r="B103" s="2">
        <v>154744703.27000001</v>
      </c>
      <c r="C103" s="2">
        <v>123954975.27</v>
      </c>
      <c r="D103" s="2">
        <v>101935013.19</v>
      </c>
      <c r="E103" s="2">
        <v>92863307.959999993</v>
      </c>
      <c r="F103" s="2">
        <v>94258757.019999996</v>
      </c>
      <c r="G103" s="2"/>
      <c r="H103" s="2"/>
      <c r="I103" s="2"/>
      <c r="J103" s="2"/>
      <c r="K103" s="2"/>
      <c r="L103" s="2"/>
      <c r="M103" s="2"/>
      <c r="N103" s="2">
        <f t="shared" si="63"/>
        <v>567756756.71000004</v>
      </c>
      <c r="P103" s="2">
        <f t="shared" si="46"/>
        <v>51614250.610000007</v>
      </c>
      <c r="Q103" s="2">
        <f t="shared" si="47"/>
        <v>-51614250.610000007</v>
      </c>
    </row>
    <row r="104" spans="1:17" x14ac:dyDescent="0.25">
      <c r="A104" s="3" t="s">
        <v>75</v>
      </c>
      <c r="B104" s="2">
        <v>474420383.94999999</v>
      </c>
      <c r="C104" s="2">
        <v>1272769788.22</v>
      </c>
      <c r="D104" s="2">
        <v>305526926.99000001</v>
      </c>
      <c r="E104" s="2">
        <v>46941731.32</v>
      </c>
      <c r="F104" s="2">
        <v>115118797.62</v>
      </c>
      <c r="G104" s="2"/>
      <c r="H104" s="2"/>
      <c r="I104" s="2"/>
      <c r="J104" s="2"/>
      <c r="K104" s="2"/>
      <c r="L104" s="2"/>
      <c r="M104" s="2"/>
      <c r="N104" s="2">
        <f t="shared" si="63"/>
        <v>2214777628.0999999</v>
      </c>
      <c r="P104" s="2">
        <f t="shared" si="46"/>
        <v>201343420.73636362</v>
      </c>
      <c r="Q104" s="2">
        <f t="shared" si="47"/>
        <v>-201343420.73636362</v>
      </c>
    </row>
    <row r="105" spans="1:17" x14ac:dyDescent="0.25">
      <c r="A105" s="3" t="s">
        <v>76</v>
      </c>
      <c r="B105" s="2">
        <v>2898099.37</v>
      </c>
      <c r="C105" s="2">
        <v>2610105.7200000002</v>
      </c>
      <c r="D105" s="2">
        <v>622399.88</v>
      </c>
      <c r="E105" s="2">
        <v>1945746.84</v>
      </c>
      <c r="F105" s="2">
        <v>1927944.8</v>
      </c>
      <c r="G105" s="2"/>
      <c r="H105" s="2"/>
      <c r="I105" s="2"/>
      <c r="J105" s="2"/>
      <c r="K105" s="2"/>
      <c r="L105" s="2"/>
      <c r="M105" s="2"/>
      <c r="N105" s="2">
        <f t="shared" si="63"/>
        <v>10004296.609999999</v>
      </c>
      <c r="P105" s="2">
        <f t="shared" si="46"/>
        <v>909481.50999999989</v>
      </c>
      <c r="Q105" s="2">
        <f t="shared" si="47"/>
        <v>-909481.50999999989</v>
      </c>
    </row>
    <row r="106" spans="1:17" x14ac:dyDescent="0.25">
      <c r="A106" s="3" t="s">
        <v>77</v>
      </c>
      <c r="B106" s="2">
        <v>3238349</v>
      </c>
      <c r="C106" s="2">
        <v>1478660.42</v>
      </c>
      <c r="D106" s="2">
        <v>1427673</v>
      </c>
      <c r="E106" s="2">
        <v>2167697.4500000002</v>
      </c>
      <c r="F106" s="2">
        <v>847867.6</v>
      </c>
      <c r="G106" s="2"/>
      <c r="H106" s="2"/>
      <c r="I106" s="2"/>
      <c r="J106" s="2"/>
      <c r="K106" s="2"/>
      <c r="L106" s="2"/>
      <c r="M106" s="2"/>
      <c r="N106" s="2">
        <f t="shared" si="63"/>
        <v>9160247.4700000007</v>
      </c>
      <c r="P106" s="2">
        <f t="shared" si="46"/>
        <v>832749.77</v>
      </c>
      <c r="Q106" s="2">
        <f t="shared" si="47"/>
        <v>-832749.77</v>
      </c>
    </row>
    <row r="107" spans="1:17" x14ac:dyDescent="0.25">
      <c r="A107" s="3" t="s">
        <v>78</v>
      </c>
      <c r="B107" s="2">
        <v>0</v>
      </c>
      <c r="C107" s="2">
        <v>0</v>
      </c>
      <c r="D107" s="2">
        <v>0</v>
      </c>
      <c r="E107" s="2">
        <v>0</v>
      </c>
      <c r="F107" s="2">
        <v>100</v>
      </c>
      <c r="G107" s="2"/>
      <c r="H107" s="2"/>
      <c r="I107" s="2"/>
      <c r="J107" s="2"/>
      <c r="K107" s="2"/>
      <c r="L107" s="2"/>
      <c r="M107" s="2"/>
      <c r="N107" s="2">
        <f t="shared" si="63"/>
        <v>100</v>
      </c>
      <c r="P107" s="2">
        <f t="shared" si="46"/>
        <v>9.0909090909090917</v>
      </c>
      <c r="Q107" s="2">
        <f t="shared" si="47"/>
        <v>-9.0909090909090917</v>
      </c>
    </row>
    <row r="108" spans="1:17" x14ac:dyDescent="0.25">
      <c r="A108" s="3" t="s">
        <v>79</v>
      </c>
      <c r="B108" s="2">
        <v>44174.48</v>
      </c>
      <c r="C108" s="2">
        <v>37026.959999999999</v>
      </c>
      <c r="D108" s="2">
        <v>50952.97</v>
      </c>
      <c r="E108" s="2">
        <v>17383</v>
      </c>
      <c r="F108" s="2">
        <v>6537.5</v>
      </c>
      <c r="G108" s="2"/>
      <c r="H108" s="2"/>
      <c r="I108" s="2"/>
      <c r="J108" s="2"/>
      <c r="K108" s="2"/>
      <c r="L108" s="2"/>
      <c r="M108" s="2"/>
      <c r="N108" s="2">
        <f t="shared" si="63"/>
        <v>156074.91</v>
      </c>
      <c r="P108" s="2">
        <f t="shared" si="46"/>
        <v>14188.628181818181</v>
      </c>
      <c r="Q108" s="2">
        <f t="shared" si="47"/>
        <v>-14188.628181818181</v>
      </c>
    </row>
    <row r="109" spans="1:17" x14ac:dyDescent="0.25">
      <c r="A109" s="3" t="s">
        <v>80</v>
      </c>
      <c r="B109" s="2">
        <v>0</v>
      </c>
      <c r="C109" s="2">
        <v>40000</v>
      </c>
      <c r="D109" s="2">
        <v>0</v>
      </c>
      <c r="E109" s="2">
        <v>0</v>
      </c>
      <c r="F109" s="2">
        <v>0</v>
      </c>
      <c r="G109" s="2"/>
      <c r="H109" s="2"/>
      <c r="I109" s="2"/>
      <c r="J109" s="2"/>
      <c r="K109" s="2"/>
      <c r="L109" s="2"/>
      <c r="M109" s="2"/>
      <c r="N109" s="2">
        <f t="shared" si="63"/>
        <v>40000</v>
      </c>
      <c r="P109" s="2">
        <f t="shared" si="46"/>
        <v>3636.3636363636365</v>
      </c>
      <c r="Q109" s="2">
        <f t="shared" si="47"/>
        <v>-3636.3636363636365</v>
      </c>
    </row>
    <row r="110" spans="1:17" x14ac:dyDescent="0.25">
      <c r="A110" s="3" t="s">
        <v>81</v>
      </c>
      <c r="B110" s="2">
        <v>85825</v>
      </c>
      <c r="C110" s="2">
        <v>579872.5</v>
      </c>
      <c r="D110" s="2">
        <v>108078.75</v>
      </c>
      <c r="E110" s="2">
        <v>961999.14</v>
      </c>
      <c r="F110" s="2">
        <v>349854.6</v>
      </c>
      <c r="G110" s="2"/>
      <c r="H110" s="2"/>
      <c r="I110" s="2"/>
      <c r="J110" s="2"/>
      <c r="K110" s="2"/>
      <c r="L110" s="2"/>
      <c r="M110" s="2"/>
      <c r="N110" s="2">
        <f t="shared" si="63"/>
        <v>2085629.9900000002</v>
      </c>
      <c r="P110" s="2">
        <f t="shared" si="46"/>
        <v>189602.72636363638</v>
      </c>
      <c r="Q110" s="2">
        <f t="shared" si="47"/>
        <v>-189602.72636363638</v>
      </c>
    </row>
    <row r="111" spans="1:17" x14ac:dyDescent="0.25">
      <c r="A111" s="3" t="s">
        <v>82</v>
      </c>
      <c r="B111" s="2">
        <v>26781.78</v>
      </c>
      <c r="C111" s="2">
        <v>27848.98</v>
      </c>
      <c r="D111" s="2">
        <v>17975.66</v>
      </c>
      <c r="E111" s="2">
        <v>19219.95</v>
      </c>
      <c r="F111" s="2">
        <v>22546.73</v>
      </c>
      <c r="G111" s="2"/>
      <c r="H111" s="2"/>
      <c r="I111" s="2"/>
      <c r="J111" s="2"/>
      <c r="K111" s="2"/>
      <c r="L111" s="2"/>
      <c r="M111" s="2"/>
      <c r="N111" s="2">
        <f t="shared" si="63"/>
        <v>114373.09999999999</v>
      </c>
      <c r="P111" s="2">
        <f t="shared" si="46"/>
        <v>10397.554545454544</v>
      </c>
      <c r="Q111" s="2">
        <f t="shared" si="47"/>
        <v>-10397.554545454544</v>
      </c>
    </row>
    <row r="112" spans="1:17" x14ac:dyDescent="0.25">
      <c r="A112" s="3" t="s">
        <v>83</v>
      </c>
      <c r="B112" s="2">
        <v>5348.08</v>
      </c>
      <c r="C112" s="2">
        <v>3319.45</v>
      </c>
      <c r="D112" s="2">
        <v>4134.66</v>
      </c>
      <c r="E112" s="2">
        <v>2672.3</v>
      </c>
      <c r="F112" s="2">
        <v>3055.3</v>
      </c>
      <c r="G112" s="2"/>
      <c r="H112" s="2"/>
      <c r="I112" s="2"/>
      <c r="J112" s="2"/>
      <c r="K112" s="2"/>
      <c r="L112" s="2"/>
      <c r="M112" s="2"/>
      <c r="N112" s="2">
        <f t="shared" si="63"/>
        <v>18529.789999999997</v>
      </c>
      <c r="P112" s="2">
        <f t="shared" si="46"/>
        <v>1684.5263636363634</v>
      </c>
      <c r="Q112" s="2">
        <f t="shared" si="47"/>
        <v>-1684.5263636363634</v>
      </c>
    </row>
    <row r="113" spans="1:17" x14ac:dyDescent="0.25">
      <c r="A113" s="3" t="s">
        <v>84</v>
      </c>
      <c r="B113" s="2">
        <v>11966.67</v>
      </c>
      <c r="C113" s="2">
        <v>6875.97</v>
      </c>
      <c r="D113" s="2">
        <v>42473.86</v>
      </c>
      <c r="E113" s="2">
        <v>8332.3799999999992</v>
      </c>
      <c r="F113" s="2">
        <v>47717.82</v>
      </c>
      <c r="G113" s="2"/>
      <c r="H113" s="2"/>
      <c r="I113" s="2"/>
      <c r="J113" s="2"/>
      <c r="K113" s="2"/>
      <c r="L113" s="2"/>
      <c r="M113" s="2"/>
      <c r="N113" s="2">
        <f t="shared" si="63"/>
        <v>117366.70000000001</v>
      </c>
      <c r="P113" s="2">
        <f t="shared" si="46"/>
        <v>10669.7</v>
      </c>
      <c r="Q113" s="2">
        <f t="shared" si="47"/>
        <v>-10669.7</v>
      </c>
    </row>
    <row r="114" spans="1:17" x14ac:dyDescent="0.25">
      <c r="A114" s="3" t="s">
        <v>85</v>
      </c>
      <c r="B114" s="2">
        <v>-181274.6</v>
      </c>
      <c r="C114" s="2">
        <v>-14353247.48</v>
      </c>
      <c r="D114" s="2">
        <v>-865145</v>
      </c>
      <c r="E114" s="2">
        <v>-191768.9</v>
      </c>
      <c r="F114" s="2">
        <v>0</v>
      </c>
      <c r="G114" s="2"/>
      <c r="H114" s="2"/>
      <c r="I114" s="2"/>
      <c r="J114" s="2"/>
      <c r="K114" s="2"/>
      <c r="L114" s="2"/>
      <c r="M114" s="2"/>
      <c r="N114" s="2">
        <f t="shared" si="63"/>
        <v>-15591435.98</v>
      </c>
      <c r="P114" s="2">
        <f t="shared" si="46"/>
        <v>-1417403.270909091</v>
      </c>
      <c r="Q114" s="2">
        <f t="shared" si="47"/>
        <v>1417403.270909091</v>
      </c>
    </row>
    <row r="115" spans="1:17" x14ac:dyDescent="0.25">
      <c r="A115" s="3" t="s">
        <v>86</v>
      </c>
      <c r="B115" s="2">
        <v>-49890630.729999997</v>
      </c>
      <c r="C115" s="2">
        <v>-60452389.869999997</v>
      </c>
      <c r="D115" s="2">
        <v>-214404.86</v>
      </c>
      <c r="E115" s="2"/>
      <c r="F115" s="2">
        <v>-57992.4</v>
      </c>
      <c r="G115" s="2"/>
      <c r="H115" s="2"/>
      <c r="I115" s="2"/>
      <c r="J115" s="2"/>
      <c r="K115" s="2"/>
      <c r="L115" s="2"/>
      <c r="M115" s="2"/>
      <c r="N115" s="2">
        <f t="shared" si="63"/>
        <v>-110615417.86</v>
      </c>
      <c r="P115" s="2">
        <f t="shared" si="46"/>
        <v>-10055947.078181818</v>
      </c>
      <c r="Q115" s="2">
        <f t="shared" si="47"/>
        <v>10055947.078181818</v>
      </c>
    </row>
    <row r="116" spans="1:17" x14ac:dyDescent="0.25">
      <c r="A116" s="3" t="s">
        <v>87</v>
      </c>
      <c r="B116" s="2">
        <v>-13395</v>
      </c>
      <c r="C116" s="2">
        <v>-13570</v>
      </c>
      <c r="D116" s="2">
        <v>0</v>
      </c>
      <c r="E116" s="2"/>
      <c r="F116" s="2">
        <v>0</v>
      </c>
      <c r="G116" s="2"/>
      <c r="H116" s="2"/>
      <c r="I116" s="2"/>
      <c r="J116" s="2"/>
      <c r="K116" s="2"/>
      <c r="L116" s="2"/>
      <c r="M116" s="2"/>
      <c r="N116" s="2">
        <f t="shared" si="63"/>
        <v>-26965</v>
      </c>
      <c r="P116" s="2">
        <f t="shared" si="46"/>
        <v>-2451.3636363636365</v>
      </c>
      <c r="Q116" s="2">
        <f t="shared" si="47"/>
        <v>2451.3636363636365</v>
      </c>
    </row>
    <row r="117" spans="1:17" x14ac:dyDescent="0.25">
      <c r="A117" s="3" t="s">
        <v>88</v>
      </c>
      <c r="B117" s="2">
        <v>0</v>
      </c>
      <c r="C117" s="2">
        <v>0</v>
      </c>
      <c r="D117" s="2">
        <v>0</v>
      </c>
      <c r="E117" s="2"/>
      <c r="F117" s="2">
        <v>0</v>
      </c>
      <c r="G117" s="2"/>
      <c r="H117" s="2"/>
      <c r="I117" s="2"/>
      <c r="J117" s="2"/>
      <c r="K117" s="2"/>
      <c r="L117" s="2"/>
      <c r="M117" s="2"/>
      <c r="N117" s="2">
        <f t="shared" si="63"/>
        <v>0</v>
      </c>
      <c r="P117" s="2">
        <f t="shared" si="46"/>
        <v>0</v>
      </c>
      <c r="Q117" s="2">
        <f t="shared" si="47"/>
        <v>0</v>
      </c>
    </row>
    <row r="118" spans="1:17" x14ac:dyDescent="0.25">
      <c r="A118" s="3" t="s">
        <v>89</v>
      </c>
      <c r="B118" s="2">
        <v>0</v>
      </c>
      <c r="C118" s="2">
        <v>0</v>
      </c>
      <c r="D118" s="2">
        <v>0</v>
      </c>
      <c r="E118" s="2"/>
      <c r="F118" s="2">
        <v>0</v>
      </c>
      <c r="G118" s="2"/>
      <c r="H118" s="2"/>
      <c r="I118" s="2"/>
      <c r="J118" s="2"/>
      <c r="K118" s="2"/>
      <c r="L118" s="2"/>
      <c r="M118" s="2"/>
      <c r="N118" s="2">
        <f t="shared" si="63"/>
        <v>0</v>
      </c>
      <c r="P118" s="2">
        <f t="shared" si="46"/>
        <v>0</v>
      </c>
      <c r="Q118" s="2">
        <f t="shared" si="47"/>
        <v>0</v>
      </c>
    </row>
    <row r="119" spans="1:17" x14ac:dyDescent="0.25">
      <c r="A119" s="3" t="s">
        <v>90</v>
      </c>
      <c r="B119" s="2">
        <v>0</v>
      </c>
      <c r="C119" s="2">
        <v>0</v>
      </c>
      <c r="D119" s="2">
        <v>0</v>
      </c>
      <c r="E119" s="2"/>
      <c r="F119" s="2">
        <v>0</v>
      </c>
      <c r="G119" s="2"/>
      <c r="H119" s="2"/>
      <c r="I119" s="2"/>
      <c r="J119" s="2"/>
      <c r="K119" s="2"/>
      <c r="L119" s="2"/>
      <c r="M119" s="2"/>
      <c r="N119" s="2">
        <f t="shared" si="63"/>
        <v>0</v>
      </c>
      <c r="P119" s="2">
        <f t="shared" si="46"/>
        <v>0</v>
      </c>
      <c r="Q119" s="2">
        <f t="shared" si="47"/>
        <v>0</v>
      </c>
    </row>
    <row r="120" spans="1:17" x14ac:dyDescent="0.25">
      <c r="A120" s="3" t="s">
        <v>91</v>
      </c>
      <c r="B120" s="2">
        <v>0</v>
      </c>
      <c r="C120" s="2">
        <v>0</v>
      </c>
      <c r="D120" s="2">
        <v>0</v>
      </c>
      <c r="E120" s="2">
        <v>-58450</v>
      </c>
      <c r="F120" s="2">
        <v>-38855</v>
      </c>
      <c r="G120" s="2"/>
      <c r="H120" s="2"/>
      <c r="I120" s="2"/>
      <c r="J120" s="2"/>
      <c r="K120" s="2"/>
      <c r="L120" s="2"/>
      <c r="M120" s="2"/>
      <c r="N120" s="2">
        <f t="shared" si="63"/>
        <v>-97305</v>
      </c>
      <c r="P120" s="2">
        <f t="shared" si="46"/>
        <v>-8845.9090909090901</v>
      </c>
      <c r="Q120" s="2">
        <f t="shared" si="47"/>
        <v>8845.9090909090901</v>
      </c>
    </row>
    <row r="121" spans="1:17" x14ac:dyDescent="0.25">
      <c r="A121" s="9" t="s">
        <v>92</v>
      </c>
      <c r="B121" s="2">
        <v>0</v>
      </c>
      <c r="C121" s="2">
        <v>0</v>
      </c>
      <c r="D121" s="2">
        <v>0</v>
      </c>
      <c r="E121" s="2">
        <v>279000</v>
      </c>
      <c r="F121" s="2"/>
      <c r="G121" s="2"/>
      <c r="H121" s="2"/>
      <c r="I121" s="2"/>
      <c r="J121" s="2"/>
      <c r="K121" s="2"/>
      <c r="L121" s="2"/>
      <c r="M121" s="2"/>
      <c r="N121" s="2">
        <f t="shared" si="63"/>
        <v>279000</v>
      </c>
      <c r="P121" s="2"/>
      <c r="Q121" s="2"/>
    </row>
    <row r="122" spans="1:17" x14ac:dyDescent="0.25">
      <c r="A122" s="9" t="s">
        <v>93</v>
      </c>
      <c r="B122" s="2">
        <v>0</v>
      </c>
      <c r="C122" s="2">
        <v>0</v>
      </c>
      <c r="D122" s="2">
        <v>0</v>
      </c>
      <c r="E122" s="2">
        <v>13312.5</v>
      </c>
      <c r="F122" s="2"/>
      <c r="G122" s="2"/>
      <c r="H122" s="2"/>
      <c r="I122" s="2"/>
      <c r="J122" s="2"/>
      <c r="K122" s="2"/>
      <c r="L122" s="2"/>
      <c r="M122" s="2"/>
      <c r="N122" s="2">
        <f t="shared" si="63"/>
        <v>13312.5</v>
      </c>
      <c r="P122" s="2"/>
      <c r="Q122" s="2"/>
    </row>
    <row r="123" spans="1:17" s="46" customFormat="1" ht="15.75" thickBot="1" x14ac:dyDescent="0.3">
      <c r="A123" s="46" t="s">
        <v>94</v>
      </c>
      <c r="B123" s="47">
        <f>SUM(B102:B122)</f>
        <v>585390331.26999998</v>
      </c>
      <c r="C123" s="47">
        <f t="shared" ref="C123:M123" si="64">SUM(C102:C122)</f>
        <v>1326689266.1400003</v>
      </c>
      <c r="D123" s="47">
        <f t="shared" si="64"/>
        <v>408656079.10000008</v>
      </c>
      <c r="E123" s="47">
        <f t="shared" si="64"/>
        <v>144970183.93999997</v>
      </c>
      <c r="F123" s="47">
        <f t="shared" si="64"/>
        <v>212486331.58999997</v>
      </c>
      <c r="G123" s="47">
        <f t="shared" si="64"/>
        <v>0</v>
      </c>
      <c r="H123" s="47">
        <f t="shared" si="64"/>
        <v>0</v>
      </c>
      <c r="I123" s="47">
        <f t="shared" si="64"/>
        <v>0</v>
      </c>
      <c r="J123" s="47">
        <f t="shared" si="64"/>
        <v>0</v>
      </c>
      <c r="K123" s="47">
        <f t="shared" si="64"/>
        <v>0</v>
      </c>
      <c r="L123" s="47">
        <f t="shared" si="64"/>
        <v>0</v>
      </c>
      <c r="M123" s="47">
        <f t="shared" si="64"/>
        <v>0</v>
      </c>
      <c r="N123" s="47">
        <f>SUM(N102:N122)</f>
        <v>2678192192.039999</v>
      </c>
      <c r="P123" s="47">
        <f t="shared" si="46"/>
        <v>243472017.45818174</v>
      </c>
      <c r="Q123" s="47">
        <f t="shared" si="47"/>
        <v>-243472017.45818174</v>
      </c>
    </row>
    <row r="124" spans="1:17" ht="15.75" thickTop="1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P124" s="2">
        <f t="shared" si="46"/>
        <v>0</v>
      </c>
      <c r="Q124" s="2">
        <f t="shared" si="47"/>
        <v>0</v>
      </c>
    </row>
    <row r="125" spans="1:17" x14ac:dyDescent="0.25">
      <c r="A125" s="3" t="s">
        <v>95</v>
      </c>
      <c r="B125" s="2">
        <v>-3595.4</v>
      </c>
      <c r="C125" s="2">
        <v>-2471.31</v>
      </c>
      <c r="D125" s="7">
        <v>-4621.22</v>
      </c>
      <c r="E125" s="2">
        <v>-5799.91</v>
      </c>
      <c r="F125" s="2">
        <v>-1360.64</v>
      </c>
      <c r="G125" s="2"/>
      <c r="H125" s="2"/>
      <c r="I125" s="2"/>
      <c r="J125" s="2"/>
      <c r="K125" s="2"/>
      <c r="L125" s="2"/>
      <c r="M125" s="2"/>
      <c r="N125" s="2">
        <f t="shared" ref="N125:N156" si="65">SUM(B125:M125)</f>
        <v>-17848.48</v>
      </c>
      <c r="P125" s="2">
        <f t="shared" si="46"/>
        <v>-1622.5890909090908</v>
      </c>
      <c r="Q125" s="2">
        <f t="shared" si="47"/>
        <v>1622.5890909090908</v>
      </c>
    </row>
    <row r="126" spans="1:17" x14ac:dyDescent="0.25">
      <c r="A126" s="3" t="s">
        <v>96</v>
      </c>
      <c r="B126" s="2">
        <v>0</v>
      </c>
      <c r="C126" s="2">
        <v>0</v>
      </c>
      <c r="D126" s="7">
        <v>0</v>
      </c>
      <c r="E126" s="2"/>
      <c r="F126" s="2">
        <v>0</v>
      </c>
      <c r="G126" s="2"/>
      <c r="H126" s="2"/>
      <c r="I126" s="2"/>
      <c r="J126" s="2"/>
      <c r="K126" s="2"/>
      <c r="L126" s="2"/>
      <c r="M126" s="2"/>
      <c r="N126" s="2">
        <f t="shared" si="65"/>
        <v>0</v>
      </c>
      <c r="P126" s="2">
        <f t="shared" si="46"/>
        <v>0</v>
      </c>
      <c r="Q126" s="2">
        <f t="shared" si="47"/>
        <v>0</v>
      </c>
    </row>
    <row r="127" spans="1:17" x14ac:dyDescent="0.25">
      <c r="A127" s="3" t="s">
        <v>97</v>
      </c>
      <c r="B127" s="2">
        <v>155441266.31</v>
      </c>
      <c r="C127" s="2">
        <v>109044152.26000001</v>
      </c>
      <c r="D127" s="7">
        <v>100539266.20999999</v>
      </c>
      <c r="E127" s="2">
        <v>91915243.909999996</v>
      </c>
      <c r="F127" s="2">
        <v>94245288.590000004</v>
      </c>
      <c r="G127" s="2"/>
      <c r="H127" s="2"/>
      <c r="I127" s="2"/>
      <c r="J127" s="2"/>
      <c r="K127" s="2"/>
      <c r="L127" s="2"/>
      <c r="M127" s="2"/>
      <c r="N127" s="2">
        <f t="shared" si="65"/>
        <v>551185217.27999997</v>
      </c>
      <c r="P127" s="2">
        <f t="shared" si="46"/>
        <v>50107747.025454544</v>
      </c>
      <c r="Q127" s="2">
        <f t="shared" si="47"/>
        <v>-50107747.025454544</v>
      </c>
    </row>
    <row r="128" spans="1:17" x14ac:dyDescent="0.25">
      <c r="A128" s="3" t="s">
        <v>98</v>
      </c>
      <c r="B128" s="2">
        <v>422458884.52999997</v>
      </c>
      <c r="C128" s="2">
        <v>1215702481.6500001</v>
      </c>
      <c r="D128" s="7">
        <v>305866481.80000001</v>
      </c>
      <c r="E128" s="2">
        <v>46984540.060000002</v>
      </c>
      <c r="F128" s="2">
        <v>116527400.42</v>
      </c>
      <c r="G128" s="2"/>
      <c r="H128" s="2"/>
      <c r="I128" s="2"/>
      <c r="J128" s="2"/>
      <c r="K128" s="2"/>
      <c r="L128" s="2"/>
      <c r="M128" s="2"/>
      <c r="N128" s="2">
        <f t="shared" si="65"/>
        <v>2107539788.46</v>
      </c>
      <c r="P128" s="2">
        <f t="shared" si="46"/>
        <v>191594526.22363636</v>
      </c>
      <c r="Q128" s="2">
        <f t="shared" si="47"/>
        <v>-191594526.22363636</v>
      </c>
    </row>
    <row r="129" spans="1:17" x14ac:dyDescent="0.25">
      <c r="A129" s="3" t="s">
        <v>99</v>
      </c>
      <c r="B129" s="2">
        <v>2776246.68</v>
      </c>
      <c r="C129" s="2">
        <v>2484320.38</v>
      </c>
      <c r="D129" s="7">
        <v>617771.9</v>
      </c>
      <c r="E129" s="2">
        <v>1936970.97</v>
      </c>
      <c r="F129" s="2">
        <v>2008716.84</v>
      </c>
      <c r="G129" s="2"/>
      <c r="H129" s="2"/>
      <c r="I129" s="2"/>
      <c r="J129" s="2"/>
      <c r="K129" s="2"/>
      <c r="L129" s="2"/>
      <c r="M129" s="2"/>
      <c r="N129" s="2">
        <f t="shared" si="65"/>
        <v>9824026.7700000014</v>
      </c>
      <c r="P129" s="2">
        <f t="shared" si="46"/>
        <v>893093.34272727289</v>
      </c>
      <c r="Q129" s="2">
        <f t="shared" si="47"/>
        <v>-893093.34272727289</v>
      </c>
    </row>
    <row r="130" spans="1:17" x14ac:dyDescent="0.25">
      <c r="A130" s="3" t="s">
        <v>100</v>
      </c>
      <c r="B130" s="2">
        <v>3078499.21</v>
      </c>
      <c r="C130" s="2">
        <v>1513901.47</v>
      </c>
      <c r="D130" s="7">
        <v>1441767.82</v>
      </c>
      <c r="E130" s="2">
        <v>2113636.39</v>
      </c>
      <c r="F130" s="2">
        <v>844764.25</v>
      </c>
      <c r="G130" s="2"/>
      <c r="H130" s="2"/>
      <c r="I130" s="2"/>
      <c r="J130" s="2"/>
      <c r="K130" s="2"/>
      <c r="L130" s="2"/>
      <c r="M130" s="2"/>
      <c r="N130" s="2">
        <f t="shared" si="65"/>
        <v>8992569.1400000006</v>
      </c>
      <c r="P130" s="2">
        <f t="shared" si="46"/>
        <v>817506.28545454552</v>
      </c>
      <c r="Q130" s="2">
        <f t="shared" si="47"/>
        <v>-817506.28545454552</v>
      </c>
    </row>
    <row r="131" spans="1:17" x14ac:dyDescent="0.25">
      <c r="A131" s="3" t="s">
        <v>101</v>
      </c>
      <c r="B131" s="2">
        <v>0</v>
      </c>
      <c r="C131" s="2">
        <v>0</v>
      </c>
      <c r="D131" s="7">
        <v>0</v>
      </c>
      <c r="E131" s="2">
        <v>0</v>
      </c>
      <c r="F131" s="2">
        <v>72</v>
      </c>
      <c r="G131" s="2"/>
      <c r="H131" s="2"/>
      <c r="I131" s="2"/>
      <c r="J131" s="2"/>
      <c r="K131" s="2"/>
      <c r="L131" s="2"/>
      <c r="M131" s="2"/>
      <c r="N131" s="2">
        <f>SUM(B131:M131)</f>
        <v>72</v>
      </c>
      <c r="P131" s="2">
        <f t="shared" si="46"/>
        <v>6.5454545454545459</v>
      </c>
      <c r="Q131" s="2">
        <f t="shared" si="47"/>
        <v>-6.5454545454545459</v>
      </c>
    </row>
    <row r="132" spans="1:17" x14ac:dyDescent="0.25">
      <c r="A132" s="3" t="s">
        <v>102</v>
      </c>
      <c r="B132" s="2">
        <v>47744.73</v>
      </c>
      <c r="C132" s="2">
        <v>40318.61</v>
      </c>
      <c r="D132" s="7">
        <v>53566.29</v>
      </c>
      <c r="E132" s="2">
        <v>-3427.84</v>
      </c>
      <c r="F132" s="2">
        <v>5808.03</v>
      </c>
      <c r="G132" s="2"/>
      <c r="H132" s="2"/>
      <c r="I132" s="2"/>
      <c r="J132" s="2"/>
      <c r="K132" s="2"/>
      <c r="L132" s="2"/>
      <c r="M132" s="2"/>
      <c r="N132" s="2">
        <f t="shared" si="65"/>
        <v>144009.82</v>
      </c>
      <c r="P132" s="2">
        <f t="shared" si="46"/>
        <v>13091.801818181819</v>
      </c>
      <c r="Q132" s="2">
        <f t="shared" si="47"/>
        <v>-13091.801818181819</v>
      </c>
    </row>
    <row r="133" spans="1:17" x14ac:dyDescent="0.25">
      <c r="A133" s="3" t="s">
        <v>103</v>
      </c>
      <c r="B133" s="2">
        <v>82580.429999999993</v>
      </c>
      <c r="C133" s="2">
        <v>556415.63</v>
      </c>
      <c r="D133" s="7">
        <v>104546.19</v>
      </c>
      <c r="E133" s="2">
        <v>891459.31</v>
      </c>
      <c r="F133" s="2">
        <v>309417.95</v>
      </c>
      <c r="G133" s="2"/>
      <c r="H133" s="2"/>
      <c r="I133" s="2"/>
      <c r="J133" s="2"/>
      <c r="K133" s="2"/>
      <c r="L133" s="2"/>
      <c r="M133" s="2"/>
      <c r="N133" s="2">
        <f t="shared" si="65"/>
        <v>1944419.51</v>
      </c>
      <c r="P133" s="2">
        <f t="shared" si="46"/>
        <v>176765.41</v>
      </c>
      <c r="Q133" s="2">
        <f t="shared" si="47"/>
        <v>-176765.41</v>
      </c>
    </row>
    <row r="134" spans="1:17" x14ac:dyDescent="0.25">
      <c r="A134" s="3" t="s">
        <v>104</v>
      </c>
      <c r="B134" s="2">
        <v>162526.82</v>
      </c>
      <c r="C134" s="2">
        <v>186551.2</v>
      </c>
      <c r="D134" s="7">
        <f>120971.26+500</f>
        <v>121471.26</v>
      </c>
      <c r="E134" s="2">
        <v>104538.95</v>
      </c>
      <c r="F134" s="2">
        <f>108837.33+3500</f>
        <v>112337.33</v>
      </c>
      <c r="G134" s="2"/>
      <c r="H134" s="2"/>
      <c r="I134" s="2"/>
      <c r="J134" s="2"/>
      <c r="K134" s="2"/>
      <c r="L134" s="2"/>
      <c r="M134" s="2"/>
      <c r="N134" s="2">
        <f t="shared" si="65"/>
        <v>687425.55999999994</v>
      </c>
      <c r="P134" s="2">
        <f t="shared" ref="P134:P195" si="66">(N134-M134)/11</f>
        <v>62493.23272727272</v>
      </c>
      <c r="Q134" s="2">
        <f t="shared" ref="Q134:Q195" si="67">M134-P134</f>
        <v>-62493.23272727272</v>
      </c>
    </row>
    <row r="135" spans="1:17" x14ac:dyDescent="0.25">
      <c r="A135" s="3" t="s">
        <v>105</v>
      </c>
      <c r="B135" s="2">
        <v>0</v>
      </c>
      <c r="C135" s="2">
        <v>0</v>
      </c>
      <c r="D135" s="7">
        <v>0</v>
      </c>
      <c r="E135" s="2">
        <v>0</v>
      </c>
      <c r="F135" s="2">
        <v>0</v>
      </c>
      <c r="G135" s="2"/>
      <c r="H135" s="2"/>
      <c r="I135" s="2"/>
      <c r="J135" s="2"/>
      <c r="K135" s="2"/>
      <c r="L135" s="2"/>
      <c r="M135" s="2"/>
      <c r="N135" s="2">
        <f t="shared" si="65"/>
        <v>0</v>
      </c>
      <c r="P135" s="2">
        <f t="shared" si="66"/>
        <v>0</v>
      </c>
      <c r="Q135" s="2">
        <f t="shared" si="67"/>
        <v>0</v>
      </c>
    </row>
    <row r="136" spans="1:17" x14ac:dyDescent="0.25">
      <c r="A136" s="3" t="s">
        <v>106</v>
      </c>
      <c r="B136" s="2">
        <v>0</v>
      </c>
      <c r="C136" s="2">
        <v>0</v>
      </c>
      <c r="D136" s="7">
        <v>0</v>
      </c>
      <c r="E136" s="2">
        <v>0</v>
      </c>
      <c r="F136" s="2">
        <v>0</v>
      </c>
      <c r="G136" s="2"/>
      <c r="H136" s="2"/>
      <c r="I136" s="2"/>
      <c r="J136" s="2"/>
      <c r="K136" s="2"/>
      <c r="L136" s="2"/>
      <c r="M136" s="2"/>
      <c r="N136" s="2">
        <f t="shared" si="65"/>
        <v>0</v>
      </c>
      <c r="P136" s="2">
        <f t="shared" si="66"/>
        <v>0</v>
      </c>
      <c r="Q136" s="2">
        <f t="shared" si="67"/>
        <v>0</v>
      </c>
    </row>
    <row r="137" spans="1:17" x14ac:dyDescent="0.25">
      <c r="A137" s="3" t="s">
        <v>107</v>
      </c>
      <c r="B137" s="2">
        <v>9335.48</v>
      </c>
      <c r="C137" s="2">
        <v>703.97</v>
      </c>
      <c r="D137" s="7">
        <v>6224.3</v>
      </c>
      <c r="E137" s="2">
        <v>4346.05</v>
      </c>
      <c r="F137" s="2">
        <v>1861.52</v>
      </c>
      <c r="G137" s="2"/>
      <c r="H137" s="2"/>
      <c r="I137" s="2"/>
      <c r="J137" s="2"/>
      <c r="K137" s="2"/>
      <c r="L137" s="2"/>
      <c r="M137" s="2"/>
      <c r="N137" s="2">
        <f t="shared" si="65"/>
        <v>22471.32</v>
      </c>
      <c r="P137" s="2">
        <f t="shared" si="66"/>
        <v>2042.8472727272726</v>
      </c>
      <c r="Q137" s="2">
        <f t="shared" si="67"/>
        <v>-2042.8472727272726</v>
      </c>
    </row>
    <row r="138" spans="1:17" x14ac:dyDescent="0.25">
      <c r="A138" s="3" t="s">
        <v>108</v>
      </c>
      <c r="B138" s="2">
        <v>0</v>
      </c>
      <c r="C138" s="2">
        <v>1250</v>
      </c>
      <c r="D138" s="7">
        <v>0</v>
      </c>
      <c r="E138" s="2">
        <v>0</v>
      </c>
      <c r="F138" s="2">
        <v>0</v>
      </c>
      <c r="G138" s="2"/>
      <c r="H138" s="2"/>
      <c r="I138" s="2"/>
      <c r="J138" s="2"/>
      <c r="K138" s="2"/>
      <c r="L138" s="2"/>
      <c r="M138" s="2"/>
      <c r="N138" s="2">
        <f t="shared" si="65"/>
        <v>1250</v>
      </c>
      <c r="P138" s="2">
        <f t="shared" si="66"/>
        <v>113.63636363636364</v>
      </c>
      <c r="Q138" s="2">
        <f t="shared" si="67"/>
        <v>-113.63636363636364</v>
      </c>
    </row>
    <row r="139" spans="1:17" x14ac:dyDescent="0.25">
      <c r="A139" s="3" t="s">
        <v>109</v>
      </c>
      <c r="B139" s="2">
        <v>93164865.799999997</v>
      </c>
      <c r="C139" s="2">
        <v>43694992.5</v>
      </c>
      <c r="D139" s="7">
        <v>49872500</v>
      </c>
      <c r="E139" s="2">
        <v>37423820</v>
      </c>
      <c r="F139" s="2">
        <v>33390470</v>
      </c>
      <c r="G139" s="2"/>
      <c r="H139" s="2"/>
      <c r="I139" s="2"/>
      <c r="J139" s="2"/>
      <c r="K139" s="2"/>
      <c r="L139" s="2"/>
      <c r="M139" s="2"/>
      <c r="N139" s="2">
        <f t="shared" si="65"/>
        <v>257546648.30000001</v>
      </c>
      <c r="P139" s="2">
        <f t="shared" si="66"/>
        <v>23413331.663636364</v>
      </c>
      <c r="Q139" s="2">
        <f t="shared" si="67"/>
        <v>-23413331.663636364</v>
      </c>
    </row>
    <row r="140" spans="1:17" x14ac:dyDescent="0.25">
      <c r="A140" s="3" t="s">
        <v>110</v>
      </c>
      <c r="B140" s="2">
        <v>39860269.659999996</v>
      </c>
      <c r="C140" s="2">
        <v>50039912.299999997</v>
      </c>
      <c r="D140" s="7">
        <v>119070965.51000001</v>
      </c>
      <c r="E140" s="2">
        <v>32569174</v>
      </c>
      <c r="F140" s="2">
        <v>104415723.54000001</v>
      </c>
      <c r="G140" s="2"/>
      <c r="H140" s="2"/>
      <c r="I140" s="2"/>
      <c r="J140" s="2"/>
      <c r="K140" s="2"/>
      <c r="L140" s="2"/>
      <c r="M140" s="2"/>
      <c r="N140" s="2">
        <f t="shared" si="65"/>
        <v>345956045.00999999</v>
      </c>
      <c r="P140" s="2">
        <f t="shared" si="66"/>
        <v>31450549.546363637</v>
      </c>
      <c r="Q140" s="2">
        <f t="shared" si="67"/>
        <v>-31450549.546363637</v>
      </c>
    </row>
    <row r="141" spans="1:17" x14ac:dyDescent="0.25">
      <c r="A141" s="3" t="s">
        <v>111</v>
      </c>
      <c r="B141" s="2">
        <v>0</v>
      </c>
      <c r="C141" s="2">
        <v>252635</v>
      </c>
      <c r="D141" s="7">
        <v>333245</v>
      </c>
      <c r="E141" s="2">
        <v>95125</v>
      </c>
      <c r="F141" s="2">
        <v>0</v>
      </c>
      <c r="G141" s="2"/>
      <c r="H141" s="2"/>
      <c r="I141" s="2"/>
      <c r="J141" s="2"/>
      <c r="K141" s="2"/>
      <c r="L141" s="2"/>
      <c r="M141" s="2"/>
      <c r="N141" s="2">
        <f t="shared" si="65"/>
        <v>681005</v>
      </c>
      <c r="P141" s="2">
        <f t="shared" si="66"/>
        <v>61909.545454545456</v>
      </c>
      <c r="Q141" s="2">
        <f t="shared" si="67"/>
        <v>-61909.545454545456</v>
      </c>
    </row>
    <row r="142" spans="1:17" x14ac:dyDescent="0.25">
      <c r="A142" s="45" t="s">
        <v>112</v>
      </c>
      <c r="B142" s="2">
        <v>0</v>
      </c>
      <c r="C142" s="2">
        <v>0</v>
      </c>
      <c r="D142" s="7">
        <v>0</v>
      </c>
      <c r="E142" s="2">
        <v>0</v>
      </c>
      <c r="F142" s="2">
        <v>0</v>
      </c>
      <c r="G142" s="2"/>
      <c r="H142" s="2"/>
      <c r="I142" s="2"/>
      <c r="J142" s="2"/>
      <c r="K142" s="2"/>
      <c r="L142" s="2"/>
      <c r="M142" s="2"/>
      <c r="N142" s="2">
        <f t="shared" si="65"/>
        <v>0</v>
      </c>
      <c r="P142" s="2">
        <f t="shared" si="66"/>
        <v>0</v>
      </c>
      <c r="Q142" s="2">
        <f t="shared" si="67"/>
        <v>0</v>
      </c>
    </row>
    <row r="143" spans="1:17" x14ac:dyDescent="0.25">
      <c r="A143" s="3" t="s">
        <v>113</v>
      </c>
      <c r="B143" s="2">
        <v>-250773118.75999999</v>
      </c>
      <c r="C143" s="2">
        <v>-106292010.51000001</v>
      </c>
      <c r="D143" s="7">
        <v>-199926459.47999999</v>
      </c>
      <c r="E143" s="2">
        <v>-102886856.97</v>
      </c>
      <c r="F143" s="2">
        <v>-60969608.149999999</v>
      </c>
      <c r="G143" s="2"/>
      <c r="H143" s="2"/>
      <c r="I143" s="2"/>
      <c r="J143" s="2"/>
      <c r="K143" s="2"/>
      <c r="L143" s="2"/>
      <c r="M143" s="2"/>
      <c r="N143" s="2">
        <f t="shared" si="65"/>
        <v>-720848053.87</v>
      </c>
      <c r="P143" s="2">
        <f t="shared" si="66"/>
        <v>-65531641.260909088</v>
      </c>
      <c r="Q143" s="2">
        <f t="shared" si="67"/>
        <v>65531641.260909088</v>
      </c>
    </row>
    <row r="144" spans="1:17" x14ac:dyDescent="0.25">
      <c r="A144" s="3" t="s">
        <v>114</v>
      </c>
      <c r="B144" s="2">
        <v>-94616255.870000005</v>
      </c>
      <c r="C144" s="2">
        <v>-43709010</v>
      </c>
      <c r="D144" s="7">
        <v>-50522100</v>
      </c>
      <c r="E144" s="2">
        <v>-37084810</v>
      </c>
      <c r="F144" s="2">
        <v>-33297790</v>
      </c>
      <c r="G144" s="2"/>
      <c r="H144" s="2"/>
      <c r="I144" s="2"/>
      <c r="J144" s="2"/>
      <c r="K144" s="2"/>
      <c r="L144" s="2"/>
      <c r="M144" s="2"/>
      <c r="N144" s="2">
        <f t="shared" si="65"/>
        <v>-259229965.87</v>
      </c>
      <c r="P144" s="2">
        <f t="shared" si="66"/>
        <v>-23566360.533636365</v>
      </c>
      <c r="Q144" s="2">
        <f t="shared" si="67"/>
        <v>23566360.533636365</v>
      </c>
    </row>
    <row r="145" spans="1:17" x14ac:dyDescent="0.25">
      <c r="A145" s="3" t="s">
        <v>115</v>
      </c>
      <c r="B145" s="2">
        <v>-39572318.009999998</v>
      </c>
      <c r="C145" s="2">
        <v>-54501789.609999999</v>
      </c>
      <c r="D145" s="7">
        <v>-119003409.98</v>
      </c>
      <c r="E145" s="2">
        <v>-35983600</v>
      </c>
      <c r="F145" s="2">
        <v>-104443889</v>
      </c>
      <c r="G145" s="2"/>
      <c r="H145" s="2"/>
      <c r="I145" s="2"/>
      <c r="J145" s="2"/>
      <c r="K145" s="2"/>
      <c r="L145" s="2"/>
      <c r="M145" s="2"/>
      <c r="N145" s="2">
        <f t="shared" si="65"/>
        <v>-353505006.60000002</v>
      </c>
      <c r="P145" s="2">
        <f t="shared" si="66"/>
        <v>-32136818.781818185</v>
      </c>
      <c r="Q145" s="2">
        <f t="shared" si="67"/>
        <v>32136818.781818185</v>
      </c>
    </row>
    <row r="146" spans="1:17" x14ac:dyDescent="0.25">
      <c r="A146" s="3" t="s">
        <v>116</v>
      </c>
      <c r="B146" s="2">
        <v>0</v>
      </c>
      <c r="C146" s="2">
        <v>-248100</v>
      </c>
      <c r="D146" s="7">
        <v>-337135</v>
      </c>
      <c r="E146" s="2">
        <v>-95680</v>
      </c>
      <c r="F146" s="2">
        <v>0</v>
      </c>
      <c r="G146" s="2"/>
      <c r="H146" s="2"/>
      <c r="I146" s="2"/>
      <c r="J146" s="2"/>
      <c r="K146" s="2"/>
      <c r="L146" s="2"/>
      <c r="M146" s="2"/>
      <c r="N146" s="2">
        <f t="shared" si="65"/>
        <v>-680915</v>
      </c>
      <c r="P146" s="2">
        <f t="shared" si="66"/>
        <v>-61901.36363636364</v>
      </c>
      <c r="Q146" s="2">
        <f t="shared" si="67"/>
        <v>61901.36363636364</v>
      </c>
    </row>
    <row r="147" spans="1:17" x14ac:dyDescent="0.25">
      <c r="A147" s="45" t="s">
        <v>117</v>
      </c>
      <c r="B147" s="2">
        <v>0</v>
      </c>
      <c r="C147" s="2">
        <v>0</v>
      </c>
      <c r="D147" s="7">
        <v>0</v>
      </c>
      <c r="E147" s="2">
        <v>0</v>
      </c>
      <c r="F147" s="2">
        <v>0</v>
      </c>
      <c r="G147" s="2"/>
      <c r="H147" s="2"/>
      <c r="I147" s="2"/>
      <c r="J147" s="2"/>
      <c r="K147" s="2"/>
      <c r="L147" s="2"/>
      <c r="M147" s="2"/>
      <c r="N147" s="2">
        <f t="shared" si="65"/>
        <v>0</v>
      </c>
      <c r="P147" s="2">
        <f t="shared" si="66"/>
        <v>0</v>
      </c>
      <c r="Q147" s="2">
        <f t="shared" si="67"/>
        <v>0</v>
      </c>
    </row>
    <row r="148" spans="1:17" x14ac:dyDescent="0.25">
      <c r="A148" s="3" t="s">
        <v>118</v>
      </c>
      <c r="B148" s="2">
        <v>246469534.72</v>
      </c>
      <c r="C148" s="2">
        <v>106061841.73</v>
      </c>
      <c r="D148" s="7">
        <v>199824413.44</v>
      </c>
      <c r="E148" s="2">
        <v>102901638.84999999</v>
      </c>
      <c r="F148" s="2">
        <v>61067887.670000002</v>
      </c>
      <c r="G148" s="2"/>
      <c r="H148" s="2"/>
      <c r="I148" s="2"/>
      <c r="J148" s="2"/>
      <c r="K148" s="2"/>
      <c r="L148" s="2"/>
      <c r="M148" s="2"/>
      <c r="N148" s="2">
        <f t="shared" si="65"/>
        <v>716325316.40999997</v>
      </c>
      <c r="P148" s="2">
        <f t="shared" si="66"/>
        <v>65120483.309999995</v>
      </c>
      <c r="Q148" s="2">
        <f t="shared" si="67"/>
        <v>-65120483.309999995</v>
      </c>
    </row>
    <row r="149" spans="1:17" x14ac:dyDescent="0.25">
      <c r="A149" s="3" t="s">
        <v>119</v>
      </c>
      <c r="B149" s="2">
        <v>57035597.560000002</v>
      </c>
      <c r="C149" s="2">
        <v>15207183.189999999</v>
      </c>
      <c r="D149" s="7">
        <v>56539241.420000002</v>
      </c>
      <c r="E149" s="2">
        <v>530220449.82999998</v>
      </c>
      <c r="F149" s="2">
        <v>504763748.92000002</v>
      </c>
      <c r="G149" s="2"/>
      <c r="H149" s="2"/>
      <c r="I149" s="2"/>
      <c r="J149" s="2"/>
      <c r="K149" s="2"/>
      <c r="L149" s="2"/>
      <c r="M149" s="2"/>
      <c r="N149" s="2">
        <f t="shared" si="65"/>
        <v>1163766220.9200001</v>
      </c>
      <c r="P149" s="2">
        <f t="shared" si="66"/>
        <v>105796929.17454547</v>
      </c>
      <c r="Q149" s="2">
        <f t="shared" si="67"/>
        <v>-105796929.17454547</v>
      </c>
    </row>
    <row r="150" spans="1:17" x14ac:dyDescent="0.25">
      <c r="A150" s="3" t="s">
        <v>120</v>
      </c>
      <c r="B150" s="2">
        <v>598572.09</v>
      </c>
      <c r="C150" s="2">
        <v>1754577.38</v>
      </c>
      <c r="D150" s="7">
        <v>588811.42000000004</v>
      </c>
      <c r="E150" s="2">
        <v>283948.55</v>
      </c>
      <c r="F150" s="2">
        <v>707796.87</v>
      </c>
      <c r="G150" s="2"/>
      <c r="H150" s="2"/>
      <c r="I150" s="2"/>
      <c r="J150" s="2"/>
      <c r="K150" s="2"/>
      <c r="L150" s="2"/>
      <c r="M150" s="2"/>
      <c r="N150" s="2">
        <f t="shared" si="65"/>
        <v>3933706.3099999996</v>
      </c>
      <c r="P150" s="2">
        <f t="shared" si="66"/>
        <v>357609.66454545449</v>
      </c>
      <c r="Q150" s="2">
        <f t="shared" si="67"/>
        <v>-357609.66454545449</v>
      </c>
    </row>
    <row r="151" spans="1:17" x14ac:dyDescent="0.25">
      <c r="A151" s="3" t="s">
        <v>121</v>
      </c>
      <c r="B151" s="2">
        <v>223864.49</v>
      </c>
      <c r="C151" s="2">
        <v>0</v>
      </c>
      <c r="D151" s="7">
        <v>6537.06</v>
      </c>
      <c r="E151" s="2">
        <v>918411.8</v>
      </c>
      <c r="F151" s="2">
        <v>48550</v>
      </c>
      <c r="G151" s="2"/>
      <c r="H151" s="2"/>
      <c r="I151" s="2"/>
      <c r="J151" s="2"/>
      <c r="K151" s="2"/>
      <c r="L151" s="2"/>
      <c r="M151" s="2"/>
      <c r="N151" s="2">
        <f t="shared" si="65"/>
        <v>1197363.3500000001</v>
      </c>
      <c r="P151" s="2">
        <f t="shared" si="66"/>
        <v>108851.21363636364</v>
      </c>
      <c r="Q151" s="2">
        <f t="shared" si="67"/>
        <v>-108851.21363636364</v>
      </c>
    </row>
    <row r="152" spans="1:17" x14ac:dyDescent="0.25">
      <c r="A152" s="3" t="s">
        <v>122</v>
      </c>
      <c r="B152" s="2">
        <v>170622.29</v>
      </c>
      <c r="C152" s="2">
        <v>-355074.95</v>
      </c>
      <c r="D152" s="7">
        <v>93202.33</v>
      </c>
      <c r="E152" s="2">
        <v>151429.5</v>
      </c>
      <c r="F152" s="2">
        <v>472954.71</v>
      </c>
      <c r="G152" s="2"/>
      <c r="H152" s="2"/>
      <c r="I152" s="2"/>
      <c r="J152" s="2"/>
      <c r="K152" s="2"/>
      <c r="L152" s="2"/>
      <c r="M152" s="2"/>
      <c r="N152" s="2">
        <f t="shared" si="65"/>
        <v>533133.88</v>
      </c>
      <c r="P152" s="2">
        <f t="shared" si="66"/>
        <v>48466.716363636362</v>
      </c>
      <c r="Q152" s="2">
        <f t="shared" si="67"/>
        <v>-48466.716363636362</v>
      </c>
    </row>
    <row r="153" spans="1:17" x14ac:dyDescent="0.25">
      <c r="A153" s="3" t="s">
        <v>123</v>
      </c>
      <c r="B153" s="2">
        <v>-126361.61</v>
      </c>
      <c r="C153" s="2">
        <v>-158081.74</v>
      </c>
      <c r="D153" s="7">
        <v>-293026.18</v>
      </c>
      <c r="E153" s="2">
        <v>10452.620000000001</v>
      </c>
      <c r="F153" s="2">
        <v>175404.24</v>
      </c>
      <c r="G153" s="2"/>
      <c r="H153" s="2"/>
      <c r="I153" s="2"/>
      <c r="J153" s="2"/>
      <c r="K153" s="2"/>
      <c r="L153" s="2"/>
      <c r="M153" s="2"/>
      <c r="N153" s="2">
        <f t="shared" si="65"/>
        <v>-391612.67000000004</v>
      </c>
      <c r="P153" s="2">
        <f t="shared" si="66"/>
        <v>-35601.151818181825</v>
      </c>
      <c r="Q153" s="2">
        <f t="shared" si="67"/>
        <v>35601.151818181825</v>
      </c>
    </row>
    <row r="154" spans="1:17" x14ac:dyDescent="0.25">
      <c r="A154" s="3" t="s">
        <v>124</v>
      </c>
      <c r="B154" s="2">
        <v>18221.580000000002</v>
      </c>
      <c r="C154" s="2">
        <v>-143.22</v>
      </c>
      <c r="D154" s="7">
        <v>554.66999999999996</v>
      </c>
      <c r="E154" s="2">
        <v>-4571.0200000000004</v>
      </c>
      <c r="F154" s="2">
        <v>42.88</v>
      </c>
      <c r="G154" s="2"/>
      <c r="H154" s="2"/>
      <c r="I154" s="2"/>
      <c r="J154" s="2"/>
      <c r="K154" s="2"/>
      <c r="L154" s="2"/>
      <c r="M154" s="2"/>
      <c r="N154" s="2">
        <f t="shared" si="65"/>
        <v>14104.889999999998</v>
      </c>
      <c r="P154" s="2">
        <f t="shared" si="66"/>
        <v>1282.262727272727</v>
      </c>
      <c r="Q154" s="2">
        <f t="shared" si="67"/>
        <v>-1282.262727272727</v>
      </c>
    </row>
    <row r="155" spans="1:17" x14ac:dyDescent="0.25">
      <c r="A155" s="3" t="s">
        <v>125</v>
      </c>
      <c r="B155" s="2">
        <v>5399.7</v>
      </c>
      <c r="C155" s="2">
        <v>-3149.21</v>
      </c>
      <c r="D155" s="7">
        <v>6568.13</v>
      </c>
      <c r="E155" s="2">
        <v>405.19</v>
      </c>
      <c r="F155" s="2">
        <v>-182869.11</v>
      </c>
      <c r="G155" s="2"/>
      <c r="H155" s="2"/>
      <c r="I155" s="2"/>
      <c r="J155" s="2"/>
      <c r="K155" s="2"/>
      <c r="L155" s="2"/>
      <c r="M155" s="2"/>
      <c r="N155" s="2">
        <f t="shared" si="65"/>
        <v>-173645.3</v>
      </c>
      <c r="P155" s="2">
        <f t="shared" si="66"/>
        <v>-15785.936363636363</v>
      </c>
      <c r="Q155" s="2">
        <f t="shared" si="67"/>
        <v>15785.936363636363</v>
      </c>
    </row>
    <row r="156" spans="1:17" x14ac:dyDescent="0.25">
      <c r="A156" s="3" t="s">
        <v>126</v>
      </c>
      <c r="B156" s="2">
        <v>-57233909.109999999</v>
      </c>
      <c r="C156" s="2">
        <v>-15348255</v>
      </c>
      <c r="D156" s="7">
        <v>-56465326.530000001</v>
      </c>
      <c r="E156" s="2">
        <v>-529777770.38</v>
      </c>
      <c r="F156" s="2">
        <v>-504081581.20999998</v>
      </c>
      <c r="G156" s="2"/>
      <c r="H156" s="2"/>
      <c r="I156" s="2"/>
      <c r="J156" s="2"/>
      <c r="K156" s="2"/>
      <c r="L156" s="2"/>
      <c r="M156" s="2"/>
      <c r="N156" s="2">
        <f t="shared" si="65"/>
        <v>-1162906842.23</v>
      </c>
      <c r="P156" s="2">
        <f t="shared" si="66"/>
        <v>-105718803.83909091</v>
      </c>
      <c r="Q156" s="2">
        <f t="shared" si="67"/>
        <v>105718803.83909091</v>
      </c>
    </row>
    <row r="157" spans="1:17" x14ac:dyDescent="0.25">
      <c r="A157" s="3" t="s">
        <v>127</v>
      </c>
      <c r="B157" s="2">
        <v>-626650</v>
      </c>
      <c r="C157" s="2">
        <v>-1795920</v>
      </c>
      <c r="D157" s="7">
        <v>-616939.36</v>
      </c>
      <c r="E157" s="2">
        <v>-282900</v>
      </c>
      <c r="F157" s="2">
        <v>-694270</v>
      </c>
      <c r="G157" s="2"/>
      <c r="H157" s="2"/>
      <c r="I157" s="2"/>
      <c r="J157" s="2"/>
      <c r="K157" s="2"/>
      <c r="L157" s="2"/>
      <c r="M157" s="2"/>
      <c r="N157" s="2">
        <f t="shared" ref="N157:N179" si="68">SUM(B157:M157)</f>
        <v>-4016679.36</v>
      </c>
      <c r="P157" s="2">
        <f t="shared" si="66"/>
        <v>-365152.66909090907</v>
      </c>
      <c r="Q157" s="2">
        <f t="shared" si="67"/>
        <v>365152.66909090907</v>
      </c>
    </row>
    <row r="158" spans="1:17" x14ac:dyDescent="0.25">
      <c r="A158" s="3" t="s">
        <v>128</v>
      </c>
      <c r="B158" s="2">
        <v>2230495.09</v>
      </c>
      <c r="C158" s="2">
        <v>157077.15</v>
      </c>
      <c r="D158" s="7">
        <v>273729.07</v>
      </c>
      <c r="E158" s="2">
        <v>307005.37</v>
      </c>
      <c r="F158" s="2">
        <v>-462524.73</v>
      </c>
      <c r="G158" s="2"/>
      <c r="H158" s="2"/>
      <c r="I158" s="2"/>
      <c r="J158" s="2"/>
      <c r="K158" s="2"/>
      <c r="L158" s="2"/>
      <c r="M158" s="2"/>
      <c r="N158" s="2">
        <f t="shared" si="68"/>
        <v>2505781.9499999997</v>
      </c>
      <c r="P158" s="2">
        <f t="shared" si="66"/>
        <v>227798.35909090907</v>
      </c>
      <c r="Q158" s="2">
        <f t="shared" si="67"/>
        <v>-227798.35909090907</v>
      </c>
    </row>
    <row r="159" spans="1:17" x14ac:dyDescent="0.25">
      <c r="A159" s="3" t="s">
        <v>129</v>
      </c>
      <c r="B159" s="2">
        <v>132999.03</v>
      </c>
      <c r="C159" s="2">
        <v>1861.72</v>
      </c>
      <c r="D159" s="7">
        <v>104613.37</v>
      </c>
      <c r="E159" s="2">
        <v>1487036.54</v>
      </c>
      <c r="F159" s="2">
        <v>-195552.97</v>
      </c>
      <c r="G159" s="2"/>
      <c r="H159" s="2"/>
      <c r="I159" s="2"/>
      <c r="J159" s="2"/>
      <c r="K159" s="2"/>
      <c r="L159" s="2"/>
      <c r="M159" s="2"/>
      <c r="N159" s="2">
        <f t="shared" si="68"/>
        <v>1530957.6900000002</v>
      </c>
      <c r="P159" s="2">
        <f t="shared" si="66"/>
        <v>139177.97181818183</v>
      </c>
      <c r="Q159" s="2">
        <f t="shared" si="67"/>
        <v>-139177.97181818183</v>
      </c>
    </row>
    <row r="160" spans="1:17" x14ac:dyDescent="0.25">
      <c r="A160" s="3" t="s">
        <v>130</v>
      </c>
      <c r="B160" s="2">
        <v>48155.93</v>
      </c>
      <c r="C160" s="2">
        <v>51045.58</v>
      </c>
      <c r="D160" s="7">
        <v>0</v>
      </c>
      <c r="E160" s="2">
        <v>12980.84</v>
      </c>
      <c r="F160" s="2">
        <v>75.5</v>
      </c>
      <c r="G160" s="2"/>
      <c r="H160" s="2"/>
      <c r="I160" s="2"/>
      <c r="J160" s="2"/>
      <c r="K160" s="2"/>
      <c r="L160" s="2"/>
      <c r="M160" s="2"/>
      <c r="N160" s="2">
        <f t="shared" si="68"/>
        <v>112257.85</v>
      </c>
      <c r="P160" s="2">
        <f t="shared" si="66"/>
        <v>10205.259090909092</v>
      </c>
      <c r="Q160" s="2">
        <f t="shared" si="67"/>
        <v>-10205.259090909092</v>
      </c>
    </row>
    <row r="161" spans="1:17" x14ac:dyDescent="0.25">
      <c r="A161" s="3" t="s">
        <v>131</v>
      </c>
      <c r="B161" s="2">
        <v>888979.59</v>
      </c>
      <c r="C161" s="2">
        <v>5499.6</v>
      </c>
      <c r="D161" s="7">
        <v>-2025.65</v>
      </c>
      <c r="E161" s="2">
        <v>-2516.61</v>
      </c>
      <c r="F161" s="2">
        <v>174609.93</v>
      </c>
      <c r="G161" s="2"/>
      <c r="H161" s="2"/>
      <c r="I161" s="2"/>
      <c r="J161" s="2"/>
      <c r="K161" s="2"/>
      <c r="L161" s="2"/>
      <c r="M161" s="2"/>
      <c r="N161" s="2">
        <f t="shared" si="68"/>
        <v>1064546.8599999999</v>
      </c>
      <c r="P161" s="2">
        <f t="shared" si="66"/>
        <v>96776.98727272726</v>
      </c>
      <c r="Q161" s="2">
        <f t="shared" si="67"/>
        <v>-96776.98727272726</v>
      </c>
    </row>
    <row r="162" spans="1:17" x14ac:dyDescent="0.25">
      <c r="A162" s="3" t="s">
        <v>132</v>
      </c>
      <c r="B162" s="2">
        <v>-241780</v>
      </c>
      <c r="C162" s="2">
        <v>0</v>
      </c>
      <c r="D162" s="7">
        <v>-42034.45</v>
      </c>
      <c r="E162" s="2">
        <f>-916350</f>
        <v>-916350</v>
      </c>
      <c r="F162" s="2">
        <v>-48550</v>
      </c>
      <c r="G162" s="2"/>
      <c r="H162" s="2"/>
      <c r="I162" s="2"/>
      <c r="J162" s="2"/>
      <c r="K162" s="2"/>
      <c r="L162" s="2"/>
      <c r="M162" s="2"/>
      <c r="N162" s="2">
        <f t="shared" si="68"/>
        <v>-1248714.45</v>
      </c>
      <c r="P162" s="2">
        <f t="shared" si="66"/>
        <v>-113519.49545454545</v>
      </c>
      <c r="Q162" s="2">
        <f t="shared" si="67"/>
        <v>113519.49545454545</v>
      </c>
    </row>
    <row r="163" spans="1:17" x14ac:dyDescent="0.25">
      <c r="A163" s="3" t="s">
        <v>133</v>
      </c>
      <c r="B163" s="2">
        <v>0</v>
      </c>
      <c r="C163" s="2">
        <v>800</v>
      </c>
      <c r="D163" s="7">
        <v>0</v>
      </c>
      <c r="E163" s="2">
        <v>0</v>
      </c>
      <c r="F163" s="2">
        <v>0</v>
      </c>
      <c r="G163" s="2"/>
      <c r="H163" s="2"/>
      <c r="I163" s="2"/>
      <c r="J163" s="2"/>
      <c r="K163" s="2"/>
      <c r="L163" s="2"/>
      <c r="M163" s="2"/>
      <c r="N163" s="2">
        <f t="shared" si="68"/>
        <v>800</v>
      </c>
      <c r="P163" s="2">
        <f t="shared" si="66"/>
        <v>72.727272727272734</v>
      </c>
      <c r="Q163" s="2">
        <f t="shared" si="67"/>
        <v>-72.727272727272734</v>
      </c>
    </row>
    <row r="164" spans="1:17" x14ac:dyDescent="0.25">
      <c r="A164" s="3" t="s">
        <v>134</v>
      </c>
      <c r="B164" s="2">
        <v>2682.05</v>
      </c>
      <c r="C164" s="2">
        <v>-1617.38</v>
      </c>
      <c r="D164" s="7">
        <v>5756.07</v>
      </c>
      <c r="E164" s="2">
        <v>9048.32</v>
      </c>
      <c r="F164" s="2">
        <v>11168.19</v>
      </c>
      <c r="G164" s="2"/>
      <c r="H164" s="2"/>
      <c r="I164" s="2"/>
      <c r="J164" s="2"/>
      <c r="K164" s="2"/>
      <c r="L164" s="2"/>
      <c r="M164" s="2"/>
      <c r="N164" s="2">
        <f t="shared" si="68"/>
        <v>27037.25</v>
      </c>
      <c r="P164" s="2">
        <f t="shared" si="66"/>
        <v>2457.931818181818</v>
      </c>
      <c r="Q164" s="2">
        <f t="shared" si="67"/>
        <v>-2457.931818181818</v>
      </c>
    </row>
    <row r="165" spans="1:17" x14ac:dyDescent="0.25">
      <c r="A165" s="3" t="s">
        <v>135</v>
      </c>
      <c r="B165" s="2">
        <v>5000</v>
      </c>
      <c r="C165" s="2">
        <v>16772.5</v>
      </c>
      <c r="D165" s="7">
        <v>-6772.5</v>
      </c>
      <c r="E165" s="2">
        <v>5000</v>
      </c>
      <c r="F165" s="2">
        <v>5000</v>
      </c>
      <c r="G165" s="2"/>
      <c r="H165" s="2"/>
      <c r="I165" s="2"/>
      <c r="J165" s="2"/>
      <c r="K165" s="2"/>
      <c r="L165" s="2"/>
      <c r="M165" s="2"/>
      <c r="N165" s="2">
        <f t="shared" si="68"/>
        <v>25000</v>
      </c>
      <c r="P165" s="2">
        <f t="shared" si="66"/>
        <v>2272.7272727272725</v>
      </c>
      <c r="Q165" s="2">
        <f t="shared" si="67"/>
        <v>-2272.7272727272725</v>
      </c>
    </row>
    <row r="166" spans="1:17" x14ac:dyDescent="0.25">
      <c r="A166" s="3" t="s">
        <v>136</v>
      </c>
      <c r="B166" s="2">
        <v>0</v>
      </c>
      <c r="C166" s="2">
        <v>0</v>
      </c>
      <c r="D166" s="7">
        <v>0</v>
      </c>
      <c r="E166" s="2">
        <v>0</v>
      </c>
      <c r="F166" s="2">
        <v>0</v>
      </c>
      <c r="G166" s="2"/>
      <c r="H166" s="2"/>
      <c r="I166" s="2"/>
      <c r="J166" s="2"/>
      <c r="K166" s="2"/>
      <c r="L166" s="2"/>
      <c r="M166" s="2"/>
      <c r="N166" s="2">
        <f t="shared" si="68"/>
        <v>0</v>
      </c>
      <c r="P166" s="2">
        <f t="shared" si="66"/>
        <v>0</v>
      </c>
      <c r="Q166" s="2">
        <f t="shared" si="67"/>
        <v>0</v>
      </c>
    </row>
    <row r="167" spans="1:17" x14ac:dyDescent="0.25">
      <c r="A167" s="3" t="s">
        <v>137</v>
      </c>
      <c r="B167" s="2">
        <v>20620</v>
      </c>
      <c r="C167" s="2">
        <v>1150</v>
      </c>
      <c r="D167" s="7">
        <v>0</v>
      </c>
      <c r="E167" s="2">
        <v>0</v>
      </c>
      <c r="F167" s="2">
        <v>158944.68</v>
      </c>
      <c r="G167" s="2"/>
      <c r="H167" s="2"/>
      <c r="I167" s="2"/>
      <c r="J167" s="2"/>
      <c r="K167" s="2"/>
      <c r="L167" s="2"/>
      <c r="M167" s="2"/>
      <c r="N167" s="2">
        <f t="shared" si="68"/>
        <v>180714.68</v>
      </c>
      <c r="P167" s="2">
        <f t="shared" si="66"/>
        <v>16428.607272727273</v>
      </c>
      <c r="Q167" s="2">
        <f t="shared" si="67"/>
        <v>-16428.607272727273</v>
      </c>
    </row>
    <row r="168" spans="1:17" x14ac:dyDescent="0.25">
      <c r="A168" s="48" t="s">
        <v>138</v>
      </c>
      <c r="B168" s="49">
        <v>2910296.13</v>
      </c>
      <c r="C168" s="49">
        <v>1651163.39</v>
      </c>
      <c r="D168" s="50">
        <v>-414097.59</v>
      </c>
      <c r="E168" s="51">
        <v>959937.83</v>
      </c>
      <c r="F168" s="51">
        <v>-3014399.59</v>
      </c>
      <c r="G168" s="49"/>
      <c r="H168" s="49"/>
      <c r="I168" s="49"/>
      <c r="J168" s="49"/>
      <c r="K168" s="49"/>
      <c r="L168" s="49"/>
      <c r="M168" s="49"/>
      <c r="N168" s="52">
        <f t="shared" si="68"/>
        <v>2092900.17</v>
      </c>
      <c r="P168" s="52">
        <f t="shared" si="66"/>
        <v>190263.65181818182</v>
      </c>
      <c r="Q168" s="52">
        <f t="shared" si="67"/>
        <v>-190263.65181818182</v>
      </c>
    </row>
    <row r="169" spans="1:17" x14ac:dyDescent="0.25">
      <c r="A169" s="3" t="s">
        <v>139</v>
      </c>
      <c r="B169" s="2">
        <v>28233.33</v>
      </c>
      <c r="C169" s="2">
        <v>28233.33</v>
      </c>
      <c r="D169" s="7">
        <v>28595.83</v>
      </c>
      <c r="E169" s="2">
        <v>28233.33</v>
      </c>
      <c r="F169" s="2">
        <v>28233.33</v>
      </c>
      <c r="G169" s="2"/>
      <c r="H169" s="2"/>
      <c r="I169" s="2"/>
      <c r="J169" s="2"/>
      <c r="K169" s="2"/>
      <c r="L169" s="2"/>
      <c r="M169" s="2"/>
      <c r="N169" s="2">
        <f t="shared" si="68"/>
        <v>141529.15000000002</v>
      </c>
      <c r="P169" s="2">
        <f t="shared" si="66"/>
        <v>12866.286363636365</v>
      </c>
      <c r="Q169" s="2">
        <f t="shared" si="67"/>
        <v>-12866.286363636365</v>
      </c>
    </row>
    <row r="170" spans="1:17" x14ac:dyDescent="0.25">
      <c r="A170" s="3" t="s">
        <v>140</v>
      </c>
      <c r="B170" s="2">
        <v>0</v>
      </c>
      <c r="C170" s="2">
        <v>878</v>
      </c>
      <c r="D170" s="7">
        <v>0</v>
      </c>
      <c r="E170" s="2">
        <v>0</v>
      </c>
      <c r="F170" s="2">
        <v>620</v>
      </c>
      <c r="G170" s="2"/>
      <c r="H170" s="2"/>
      <c r="I170" s="2"/>
      <c r="J170" s="2"/>
      <c r="K170" s="2"/>
      <c r="L170" s="2"/>
      <c r="M170" s="2"/>
      <c r="N170" s="2">
        <f t="shared" si="68"/>
        <v>1498</v>
      </c>
      <c r="P170" s="2">
        <f t="shared" si="66"/>
        <v>136.18181818181819</v>
      </c>
      <c r="Q170" s="2">
        <f t="shared" si="67"/>
        <v>-136.18181818181819</v>
      </c>
    </row>
    <row r="171" spans="1:17" x14ac:dyDescent="0.25">
      <c r="A171" s="3" t="s">
        <v>141</v>
      </c>
      <c r="B171" s="2">
        <v>935.34</v>
      </c>
      <c r="C171" s="2">
        <v>6097.82</v>
      </c>
      <c r="D171" s="7">
        <v>0</v>
      </c>
      <c r="E171" s="2">
        <v>924</v>
      </c>
      <c r="F171" s="2">
        <v>0</v>
      </c>
      <c r="G171" s="2"/>
      <c r="H171" s="2"/>
      <c r="I171" s="2"/>
      <c r="J171" s="2"/>
      <c r="K171" s="2"/>
      <c r="L171" s="2"/>
      <c r="M171" s="2"/>
      <c r="N171" s="2">
        <f t="shared" si="68"/>
        <v>7957.16</v>
      </c>
      <c r="P171" s="2">
        <f t="shared" si="66"/>
        <v>723.37818181818182</v>
      </c>
      <c r="Q171" s="2">
        <f t="shared" si="67"/>
        <v>-723.37818181818182</v>
      </c>
    </row>
    <row r="172" spans="1:17" x14ac:dyDescent="0.25">
      <c r="A172" s="3" t="s">
        <v>142</v>
      </c>
      <c r="B172" s="2">
        <v>13984.01</v>
      </c>
      <c r="C172" s="2">
        <v>16090.71</v>
      </c>
      <c r="D172" s="7">
        <v>17832.23</v>
      </c>
      <c r="E172" s="2">
        <v>16363.64</v>
      </c>
      <c r="F172" s="2">
        <v>18902.009999999998</v>
      </c>
      <c r="G172" s="2"/>
      <c r="H172" s="2"/>
      <c r="I172" s="2"/>
      <c r="J172" s="2"/>
      <c r="K172" s="2"/>
      <c r="L172" s="2"/>
      <c r="M172" s="2"/>
      <c r="N172" s="2">
        <f t="shared" si="68"/>
        <v>83172.599999999991</v>
      </c>
      <c r="P172" s="2">
        <f t="shared" si="66"/>
        <v>7561.1454545454535</v>
      </c>
      <c r="Q172" s="2">
        <f t="shared" si="67"/>
        <v>-7561.1454545454535</v>
      </c>
    </row>
    <row r="173" spans="1:17" x14ac:dyDescent="0.25">
      <c r="A173" s="9" t="s">
        <v>143</v>
      </c>
      <c r="B173" s="2">
        <v>0</v>
      </c>
      <c r="C173" s="2">
        <v>2779.92</v>
      </c>
      <c r="D173" s="7">
        <v>3901.48</v>
      </c>
      <c r="E173" s="2">
        <v>3738.32</v>
      </c>
      <c r="F173" s="2">
        <v>2514.86</v>
      </c>
      <c r="G173" s="2"/>
      <c r="H173" s="2"/>
      <c r="I173" s="2"/>
      <c r="J173" s="2"/>
      <c r="K173" s="2"/>
      <c r="L173" s="2"/>
      <c r="M173" s="2"/>
      <c r="N173" s="2">
        <f t="shared" si="68"/>
        <v>12934.58</v>
      </c>
      <c r="P173" s="2">
        <f t="shared" si="66"/>
        <v>1175.870909090909</v>
      </c>
      <c r="Q173" s="2">
        <f t="shared" si="67"/>
        <v>-1175.870909090909</v>
      </c>
    </row>
    <row r="174" spans="1:17" x14ac:dyDescent="0.25">
      <c r="A174" s="3" t="s">
        <v>144</v>
      </c>
      <c r="B174" s="2">
        <v>0</v>
      </c>
      <c r="C174" s="2"/>
      <c r="D174" s="7">
        <v>0</v>
      </c>
      <c r="E174" s="2">
        <v>0</v>
      </c>
      <c r="F174" s="2">
        <v>-72</v>
      </c>
      <c r="G174" s="2"/>
      <c r="H174" s="2"/>
      <c r="I174" s="2"/>
      <c r="J174" s="2"/>
      <c r="K174" s="2"/>
      <c r="L174" s="2"/>
      <c r="M174" s="2"/>
      <c r="N174" s="2">
        <f t="shared" si="68"/>
        <v>-72</v>
      </c>
      <c r="P174" s="2">
        <f t="shared" si="66"/>
        <v>-6.5454545454545459</v>
      </c>
      <c r="Q174" s="2">
        <f t="shared" si="67"/>
        <v>6.5454545454545459</v>
      </c>
    </row>
    <row r="175" spans="1:17" x14ac:dyDescent="0.25">
      <c r="A175" s="3" t="s">
        <v>145</v>
      </c>
      <c r="B175" s="2">
        <v>1.87</v>
      </c>
      <c r="C175" s="2">
        <v>0</v>
      </c>
      <c r="D175" s="2">
        <v>-115.12</v>
      </c>
      <c r="E175" s="2">
        <v>3216.06</v>
      </c>
      <c r="F175" s="2">
        <v>-2308</v>
      </c>
      <c r="G175" s="2"/>
      <c r="H175" s="2"/>
      <c r="I175" s="2"/>
      <c r="J175" s="2"/>
      <c r="K175" s="2"/>
      <c r="L175" s="2"/>
      <c r="M175" s="2"/>
      <c r="N175" s="2">
        <f t="shared" si="68"/>
        <v>794.81</v>
      </c>
      <c r="P175" s="2">
        <f t="shared" si="66"/>
        <v>72.25545454545454</v>
      </c>
      <c r="Q175" s="2">
        <f t="shared" si="67"/>
        <v>-72.25545454545454</v>
      </c>
    </row>
    <row r="176" spans="1:17" x14ac:dyDescent="0.25">
      <c r="A176" s="3" t="s">
        <v>146</v>
      </c>
      <c r="B176" s="2">
        <v>655.42</v>
      </c>
      <c r="C176" s="2">
        <v>-345.3</v>
      </c>
      <c r="D176" s="2">
        <v>-1325.46</v>
      </c>
      <c r="E176" s="2">
        <v>-3163.28</v>
      </c>
      <c r="F176" s="2">
        <v>-3813.42</v>
      </c>
      <c r="G176" s="2"/>
      <c r="H176" s="2"/>
      <c r="I176" s="2"/>
      <c r="J176" s="2"/>
      <c r="K176" s="2"/>
      <c r="L176" s="2"/>
      <c r="M176" s="2"/>
      <c r="N176" s="2">
        <f t="shared" si="68"/>
        <v>-7992.0400000000009</v>
      </c>
      <c r="P176" s="2">
        <f t="shared" si="66"/>
        <v>-726.54909090909098</v>
      </c>
      <c r="Q176" s="2">
        <f t="shared" si="67"/>
        <v>726.54909090909098</v>
      </c>
    </row>
    <row r="177" spans="1:17" ht="15.6" customHeight="1" x14ac:dyDescent="0.25">
      <c r="A177" s="3" t="s">
        <v>147</v>
      </c>
      <c r="B177" s="2">
        <v>-260</v>
      </c>
      <c r="C177" s="2">
        <v>0</v>
      </c>
      <c r="D177" s="2">
        <v>-15</v>
      </c>
      <c r="E177" s="2">
        <f>-15</f>
        <v>-15</v>
      </c>
      <c r="F177" s="2">
        <v>0</v>
      </c>
      <c r="G177" s="2"/>
      <c r="H177" s="2"/>
      <c r="I177" s="2"/>
      <c r="J177" s="2"/>
      <c r="K177" s="2"/>
      <c r="L177" s="2"/>
      <c r="M177" s="2"/>
      <c r="N177" s="2">
        <f t="shared" si="68"/>
        <v>-290</v>
      </c>
      <c r="P177" s="2">
        <f t="shared" si="66"/>
        <v>-26.363636363636363</v>
      </c>
      <c r="Q177" s="2">
        <f t="shared" si="67"/>
        <v>26.363636363636363</v>
      </c>
    </row>
    <row r="178" spans="1:17" ht="15.6" customHeight="1" x14ac:dyDescent="0.25">
      <c r="A178" s="9" t="s">
        <v>148</v>
      </c>
      <c r="C178" s="2"/>
      <c r="D178" s="2"/>
      <c r="E178" s="2">
        <v>168314.67</v>
      </c>
      <c r="F178" s="2">
        <v>0</v>
      </c>
      <c r="G178" s="2"/>
      <c r="H178" s="2"/>
      <c r="I178" s="2"/>
      <c r="J178" s="2"/>
      <c r="K178" s="2"/>
      <c r="L178" s="2"/>
      <c r="M178" s="2"/>
      <c r="N178" s="2">
        <f t="shared" si="68"/>
        <v>168314.67</v>
      </c>
      <c r="P178" s="2"/>
      <c r="Q178" s="2"/>
    </row>
    <row r="179" spans="1:17" ht="15.6" customHeight="1" x14ac:dyDescent="0.25">
      <c r="A179" s="9" t="s">
        <v>149</v>
      </c>
      <c r="C179" s="2"/>
      <c r="D179" s="2"/>
      <c r="E179" s="2">
        <v>12675.04</v>
      </c>
      <c r="F179" s="2">
        <v>-0.02</v>
      </c>
      <c r="G179" s="2"/>
      <c r="H179" s="2"/>
      <c r="I179" s="2"/>
      <c r="J179" s="2"/>
      <c r="K179" s="2"/>
      <c r="L179" s="2"/>
      <c r="M179" s="2"/>
      <c r="N179" s="2">
        <f t="shared" si="68"/>
        <v>12675.02</v>
      </c>
      <c r="P179" s="2"/>
      <c r="Q179" s="2"/>
    </row>
    <row r="180" spans="1:17" s="46" customFormat="1" x14ac:dyDescent="0.25">
      <c r="A180" s="46" t="s">
        <v>150</v>
      </c>
      <c r="B180" s="53">
        <f>SUM(B125:B179)</f>
        <v>584692821.1099999</v>
      </c>
      <c r="C180" s="53">
        <f>SUM(C125:C179)</f>
        <v>1326064718.7600005</v>
      </c>
      <c r="D180" s="53">
        <f>SUM(D125:D179)</f>
        <v>407886159.28000009</v>
      </c>
      <c r="E180" s="53">
        <f>SUM(E125:E179)</f>
        <v>144492603.92999986</v>
      </c>
      <c r="F180" s="53">
        <f>SUM(F125:F179)</f>
        <v>212099725.4200002</v>
      </c>
      <c r="G180" s="53">
        <f t="shared" ref="G180:M180" si="69">SUM(G125:G177)</f>
        <v>0</v>
      </c>
      <c r="H180" s="53">
        <f t="shared" si="69"/>
        <v>0</v>
      </c>
      <c r="I180" s="53">
        <f t="shared" si="69"/>
        <v>0</v>
      </c>
      <c r="J180" s="53">
        <f t="shared" si="69"/>
        <v>0</v>
      </c>
      <c r="K180" s="53">
        <f t="shared" si="69"/>
        <v>0</v>
      </c>
      <c r="L180" s="53">
        <f t="shared" si="69"/>
        <v>0</v>
      </c>
      <c r="M180" s="53">
        <f t="shared" si="69"/>
        <v>0</v>
      </c>
      <c r="N180" s="53">
        <f>SUM(N125:N179)</f>
        <v>2675236028.5</v>
      </c>
      <c r="P180" s="53">
        <f t="shared" si="66"/>
        <v>243203275.31818181</v>
      </c>
      <c r="Q180" s="53">
        <f t="shared" si="67"/>
        <v>-243203275.31818181</v>
      </c>
    </row>
    <row r="181" spans="1:17" s="46" customFormat="1" ht="15.75" thickBot="1" x14ac:dyDescent="0.3">
      <c r="A181" s="46" t="s">
        <v>151</v>
      </c>
      <c r="B181" s="47">
        <f t="shared" ref="B181:M181" si="70">B123-B180</f>
        <v>697510.16000008583</v>
      </c>
      <c r="C181" s="47">
        <f t="shared" si="70"/>
        <v>624547.37999987602</v>
      </c>
      <c r="D181" s="47">
        <f t="shared" si="70"/>
        <v>769919.81999999285</v>
      </c>
      <c r="E181" s="47">
        <f t="shared" si="70"/>
        <v>477580.01000010967</v>
      </c>
      <c r="F181" s="47">
        <f t="shared" si="70"/>
        <v>386606.16999977827</v>
      </c>
      <c r="G181" s="47">
        <f t="shared" si="70"/>
        <v>0</v>
      </c>
      <c r="H181" s="47">
        <f t="shared" si="70"/>
        <v>0</v>
      </c>
      <c r="I181" s="47">
        <f t="shared" si="70"/>
        <v>0</v>
      </c>
      <c r="J181" s="47">
        <f t="shared" si="70"/>
        <v>0</v>
      </c>
      <c r="K181" s="47">
        <f t="shared" si="70"/>
        <v>0</v>
      </c>
      <c r="L181" s="47">
        <f t="shared" si="70"/>
        <v>0</v>
      </c>
      <c r="M181" s="47">
        <f t="shared" si="70"/>
        <v>0</v>
      </c>
      <c r="N181" s="47">
        <f>SUM(B181:M181)</f>
        <v>2956163.5399998426</v>
      </c>
      <c r="P181" s="47">
        <f t="shared" si="66"/>
        <v>268742.13999998569</v>
      </c>
      <c r="Q181" s="47">
        <f t="shared" si="67"/>
        <v>-268742.13999998569</v>
      </c>
    </row>
    <row r="182" spans="1:17" ht="15.75" thickTop="1" x14ac:dyDescent="0.2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P182" s="2">
        <f t="shared" si="66"/>
        <v>0</v>
      </c>
      <c r="Q182" s="2">
        <f t="shared" si="67"/>
        <v>0</v>
      </c>
    </row>
    <row r="183" spans="1:17" x14ac:dyDescent="0.25">
      <c r="A183" s="3" t="s">
        <v>152</v>
      </c>
      <c r="B183" s="2">
        <v>321540.08</v>
      </c>
      <c r="C183" s="2">
        <v>265057.82</v>
      </c>
      <c r="D183" s="2">
        <v>284816.11</v>
      </c>
      <c r="E183" s="2">
        <v>286945.63</v>
      </c>
      <c r="F183" s="2">
        <v>338930.51</v>
      </c>
      <c r="G183" s="2"/>
      <c r="H183" s="2"/>
      <c r="I183" s="2"/>
      <c r="J183" s="2"/>
      <c r="K183" s="2"/>
      <c r="L183" s="2"/>
      <c r="M183" s="2"/>
      <c r="N183" s="2">
        <f t="shared" ref="N183:N193" si="71">SUM(B183:M183)</f>
        <v>1497290.1500000001</v>
      </c>
      <c r="P183" s="2">
        <f t="shared" si="66"/>
        <v>136117.28636363638</v>
      </c>
      <c r="Q183" s="2">
        <f t="shared" si="67"/>
        <v>-136117.28636363638</v>
      </c>
    </row>
    <row r="184" spans="1:17" x14ac:dyDescent="0.25">
      <c r="A184" s="3" t="s">
        <v>153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/>
      <c r="H184" s="2"/>
      <c r="I184" s="2"/>
      <c r="J184" s="2"/>
      <c r="K184" s="2"/>
      <c r="L184" s="2"/>
      <c r="M184" s="2"/>
      <c r="N184" s="2">
        <f t="shared" si="71"/>
        <v>0</v>
      </c>
      <c r="P184" s="2">
        <f t="shared" si="66"/>
        <v>0</v>
      </c>
      <c r="Q184" s="2">
        <f t="shared" si="67"/>
        <v>0</v>
      </c>
    </row>
    <row r="185" spans="1:17" x14ac:dyDescent="0.25">
      <c r="A185" s="3" t="s">
        <v>154</v>
      </c>
      <c r="B185" s="2">
        <v>0</v>
      </c>
      <c r="C185" s="2">
        <v>4088</v>
      </c>
      <c r="D185" s="7">
        <v>4088</v>
      </c>
      <c r="E185" s="2">
        <v>4088</v>
      </c>
      <c r="F185" s="2">
        <v>4088</v>
      </c>
      <c r="G185" s="2"/>
      <c r="H185" s="2"/>
      <c r="I185" s="2"/>
      <c r="J185" s="2"/>
      <c r="K185" s="2"/>
      <c r="L185" s="2"/>
      <c r="M185" s="2"/>
      <c r="N185" s="2">
        <f t="shared" si="71"/>
        <v>16352</v>
      </c>
      <c r="P185" s="2">
        <f t="shared" si="66"/>
        <v>1486.5454545454545</v>
      </c>
      <c r="Q185" s="2">
        <f t="shared" si="67"/>
        <v>-1486.5454545454545</v>
      </c>
    </row>
    <row r="186" spans="1:17" x14ac:dyDescent="0.25">
      <c r="A186" s="3" t="s">
        <v>155</v>
      </c>
      <c r="B186" s="2">
        <v>34485.919999999998</v>
      </c>
      <c r="C186" s="2">
        <v>25848.55</v>
      </c>
      <c r="D186" s="7">
        <v>25451.64</v>
      </c>
      <c r="E186" s="2">
        <v>26482.85</v>
      </c>
      <c r="F186" s="2">
        <v>27594.59</v>
      </c>
      <c r="G186" s="2"/>
      <c r="H186" s="2"/>
      <c r="I186" s="2"/>
      <c r="J186" s="2"/>
      <c r="K186" s="2"/>
      <c r="L186" s="2"/>
      <c r="M186" s="2"/>
      <c r="N186" s="2">
        <f t="shared" si="71"/>
        <v>139863.54999999999</v>
      </c>
      <c r="P186" s="2">
        <f t="shared" si="66"/>
        <v>12714.868181818181</v>
      </c>
      <c r="Q186" s="2">
        <f t="shared" si="67"/>
        <v>-12714.868181818181</v>
      </c>
    </row>
    <row r="187" spans="1:17" x14ac:dyDescent="0.25">
      <c r="A187" s="3" t="s">
        <v>156</v>
      </c>
      <c r="B187" s="2">
        <v>34701.300000000003</v>
      </c>
      <c r="C187" s="2">
        <v>29078.31</v>
      </c>
      <c r="D187" s="7">
        <v>14776.7</v>
      </c>
      <c r="E187" s="2">
        <v>22093.19</v>
      </c>
      <c r="F187" s="2">
        <v>36544.94</v>
      </c>
      <c r="G187" s="2"/>
      <c r="H187" s="2"/>
      <c r="I187" s="2"/>
      <c r="J187" s="2"/>
      <c r="K187" s="2"/>
      <c r="L187" s="2"/>
      <c r="M187" s="2"/>
      <c r="N187" s="2">
        <f t="shared" si="71"/>
        <v>137194.44</v>
      </c>
      <c r="P187" s="2">
        <f t="shared" si="66"/>
        <v>12472.221818181819</v>
      </c>
      <c r="Q187" s="2">
        <f t="shared" si="67"/>
        <v>-12472.221818181819</v>
      </c>
    </row>
    <row r="188" spans="1:17" x14ac:dyDescent="0.25">
      <c r="A188" s="3" t="s">
        <v>157</v>
      </c>
      <c r="B188" s="2">
        <v>3985.86</v>
      </c>
      <c r="C188" s="2">
        <v>4106.21</v>
      </c>
      <c r="D188" s="7">
        <v>4155.76</v>
      </c>
      <c r="E188" s="2">
        <v>3572.78</v>
      </c>
      <c r="F188" s="2">
        <v>2661.9</v>
      </c>
      <c r="G188" s="2"/>
      <c r="H188" s="2"/>
      <c r="I188" s="2"/>
      <c r="J188" s="2"/>
      <c r="K188" s="2"/>
      <c r="L188" s="2"/>
      <c r="M188" s="2"/>
      <c r="N188" s="2">
        <f t="shared" si="71"/>
        <v>18482.510000000002</v>
      </c>
      <c r="P188" s="2">
        <f t="shared" si="66"/>
        <v>1680.2281818181821</v>
      </c>
      <c r="Q188" s="2">
        <f t="shared" si="67"/>
        <v>-1680.2281818181821</v>
      </c>
    </row>
    <row r="189" spans="1:17" x14ac:dyDescent="0.25">
      <c r="A189" s="3" t="s">
        <v>158</v>
      </c>
      <c r="B189" s="2">
        <v>9167</v>
      </c>
      <c r="C189" s="2">
        <v>9167</v>
      </c>
      <c r="D189" s="7">
        <v>9167</v>
      </c>
      <c r="E189" s="2">
        <v>9167</v>
      </c>
      <c r="F189" s="2">
        <v>9167</v>
      </c>
      <c r="G189" s="2"/>
      <c r="H189" s="2"/>
      <c r="I189" s="2"/>
      <c r="J189" s="2"/>
      <c r="K189" s="2"/>
      <c r="L189" s="2"/>
      <c r="M189" s="2"/>
      <c r="N189" s="2">
        <f t="shared" si="71"/>
        <v>45835</v>
      </c>
      <c r="P189" s="2">
        <f t="shared" si="66"/>
        <v>4166.818181818182</v>
      </c>
      <c r="Q189" s="2">
        <f t="shared" si="67"/>
        <v>-4166.818181818182</v>
      </c>
    </row>
    <row r="190" spans="1:17" x14ac:dyDescent="0.25">
      <c r="A190" s="3" t="s">
        <v>159</v>
      </c>
      <c r="B190" s="2">
        <v>116.2</v>
      </c>
      <c r="C190" s="2">
        <v>164.9</v>
      </c>
      <c r="D190" s="7">
        <v>55.05</v>
      </c>
      <c r="E190" s="2">
        <v>59.95</v>
      </c>
      <c r="F190" s="2">
        <v>100</v>
      </c>
      <c r="G190" s="2"/>
      <c r="H190" s="2"/>
      <c r="I190" s="2"/>
      <c r="J190" s="2"/>
      <c r="K190" s="2"/>
      <c r="L190" s="2"/>
      <c r="M190" s="2"/>
      <c r="N190" s="2">
        <f t="shared" si="71"/>
        <v>496.1</v>
      </c>
      <c r="P190" s="2">
        <f t="shared" si="66"/>
        <v>45.1</v>
      </c>
      <c r="Q190" s="2">
        <f t="shared" si="67"/>
        <v>-45.1</v>
      </c>
    </row>
    <row r="191" spans="1:17" x14ac:dyDescent="0.25">
      <c r="A191" s="3" t="s">
        <v>160</v>
      </c>
      <c r="B191" s="2">
        <v>1196.75</v>
      </c>
      <c r="C191" s="2">
        <v>1627.2</v>
      </c>
      <c r="D191" s="7">
        <v>1115.29</v>
      </c>
      <c r="E191" s="2">
        <v>1152.68</v>
      </c>
      <c r="F191" s="2">
        <v>1252.42</v>
      </c>
      <c r="G191" s="2"/>
      <c r="H191" s="2"/>
      <c r="I191" s="2"/>
      <c r="J191" s="2"/>
      <c r="K191" s="2"/>
      <c r="L191" s="2"/>
      <c r="M191" s="2"/>
      <c r="N191" s="2">
        <f t="shared" si="71"/>
        <v>6344.34</v>
      </c>
      <c r="P191" s="2">
        <f t="shared" si="66"/>
        <v>576.75818181818181</v>
      </c>
      <c r="Q191" s="2">
        <f t="shared" si="67"/>
        <v>-576.75818181818181</v>
      </c>
    </row>
    <row r="192" spans="1:17" x14ac:dyDescent="0.25">
      <c r="A192" s="9" t="s">
        <v>161</v>
      </c>
      <c r="B192" s="2">
        <v>0</v>
      </c>
      <c r="C192" s="2">
        <v>2800</v>
      </c>
      <c r="D192" s="7">
        <v>0</v>
      </c>
      <c r="E192" s="2">
        <v>0</v>
      </c>
      <c r="F192" s="2">
        <v>0</v>
      </c>
      <c r="G192" s="2"/>
      <c r="H192" s="2"/>
      <c r="I192" s="2"/>
      <c r="J192" s="2"/>
      <c r="K192" s="2"/>
      <c r="L192" s="2"/>
      <c r="M192" s="2"/>
      <c r="N192" s="2">
        <f t="shared" si="71"/>
        <v>2800</v>
      </c>
      <c r="P192" s="2">
        <f t="shared" si="66"/>
        <v>254.54545454545453</v>
      </c>
      <c r="Q192" s="2">
        <f t="shared" si="67"/>
        <v>-254.54545454545453</v>
      </c>
    </row>
    <row r="193" spans="1:17" x14ac:dyDescent="0.25">
      <c r="A193" s="9" t="s">
        <v>162</v>
      </c>
      <c r="B193" s="2">
        <v>0</v>
      </c>
      <c r="C193" s="2">
        <v>0</v>
      </c>
      <c r="D193" s="7">
        <v>0</v>
      </c>
      <c r="E193" s="2">
        <v>309.48</v>
      </c>
      <c r="F193" s="2">
        <v>0</v>
      </c>
      <c r="G193" s="2"/>
      <c r="H193" s="2"/>
      <c r="I193" s="2"/>
      <c r="J193" s="2"/>
      <c r="K193" s="2"/>
      <c r="L193" s="2"/>
      <c r="M193" s="2"/>
      <c r="N193" s="2">
        <f t="shared" si="71"/>
        <v>309.48</v>
      </c>
      <c r="P193" s="2">
        <f t="shared" si="66"/>
        <v>28.134545454545457</v>
      </c>
      <c r="Q193" s="2">
        <f t="shared" si="67"/>
        <v>-28.134545454545457</v>
      </c>
    </row>
    <row r="194" spans="1:17" ht="15.75" thickBot="1" x14ac:dyDescent="0.3">
      <c r="A194" s="46" t="s">
        <v>163</v>
      </c>
      <c r="B194" s="47">
        <f>SUM(B183:B193)</f>
        <v>405193.11</v>
      </c>
      <c r="C194" s="47">
        <f>SUM(C183:C193)</f>
        <v>341937.99000000005</v>
      </c>
      <c r="D194" s="47">
        <f>SUM(D183:D193)</f>
        <v>343625.55</v>
      </c>
      <c r="E194" s="47">
        <f>SUM(E183:E193)</f>
        <v>353871.56</v>
      </c>
      <c r="F194" s="47">
        <f>SUM(F183:F193)</f>
        <v>420339.36000000004</v>
      </c>
      <c r="G194" s="47">
        <f t="shared" ref="G194:M194" si="72">SUM(G183:G191)</f>
        <v>0</v>
      </c>
      <c r="H194" s="47">
        <f t="shared" si="72"/>
        <v>0</v>
      </c>
      <c r="I194" s="47">
        <f t="shared" si="72"/>
        <v>0</v>
      </c>
      <c r="J194" s="47">
        <f t="shared" si="72"/>
        <v>0</v>
      </c>
      <c r="K194" s="47">
        <f t="shared" si="72"/>
        <v>0</v>
      </c>
      <c r="L194" s="47">
        <f t="shared" si="72"/>
        <v>0</v>
      </c>
      <c r="M194" s="47">
        <f t="shared" si="72"/>
        <v>0</v>
      </c>
      <c r="N194" s="47">
        <f>SUM(N183:N193)</f>
        <v>1864967.5700000003</v>
      </c>
      <c r="P194" s="47">
        <f t="shared" si="66"/>
        <v>169542.50636363638</v>
      </c>
      <c r="Q194" s="47">
        <f t="shared" si="67"/>
        <v>-169542.50636363638</v>
      </c>
    </row>
    <row r="195" spans="1:17" ht="15.75" thickTop="1" x14ac:dyDescent="0.25">
      <c r="C195" s="2"/>
      <c r="D195" s="2"/>
      <c r="E195" s="131"/>
      <c r="F195" s="131"/>
      <c r="G195" s="2"/>
      <c r="H195" s="2"/>
      <c r="I195" s="2"/>
      <c r="J195" s="2"/>
      <c r="K195" s="2"/>
      <c r="L195" s="2"/>
      <c r="M195" s="2"/>
      <c r="N195" s="2"/>
      <c r="P195" s="2">
        <f t="shared" si="66"/>
        <v>0</v>
      </c>
      <c r="Q195" s="2">
        <f t="shared" si="67"/>
        <v>0</v>
      </c>
    </row>
    <row r="196" spans="1:17" x14ac:dyDescent="0.25">
      <c r="A196" s="9" t="s">
        <v>164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/>
      <c r="H196" s="2"/>
      <c r="I196" s="2"/>
      <c r="J196" s="2"/>
      <c r="K196" s="2"/>
      <c r="L196" s="2"/>
      <c r="M196" s="2"/>
      <c r="N196" s="2">
        <f t="shared" ref="N196:N212" si="73">SUM(B196:M196)</f>
        <v>0</v>
      </c>
      <c r="P196" s="2"/>
      <c r="Q196" s="2"/>
    </row>
    <row r="197" spans="1:17" x14ac:dyDescent="0.25">
      <c r="A197" s="3" t="s">
        <v>165</v>
      </c>
      <c r="B197" s="2">
        <v>34200</v>
      </c>
      <c r="C197" s="2">
        <v>34200</v>
      </c>
      <c r="D197" s="7">
        <v>34200</v>
      </c>
      <c r="E197" s="2">
        <v>34200</v>
      </c>
      <c r="F197" s="2">
        <v>34200</v>
      </c>
      <c r="G197" s="2"/>
      <c r="H197" s="2"/>
      <c r="I197" s="2"/>
      <c r="J197" s="2"/>
      <c r="K197" s="2"/>
      <c r="L197" s="2"/>
      <c r="M197" s="2"/>
      <c r="N197" s="2">
        <f t="shared" si="73"/>
        <v>171000</v>
      </c>
      <c r="P197" s="2">
        <f t="shared" ref="P197:P246" si="74">(N197-M197)/11</f>
        <v>15545.454545454546</v>
      </c>
      <c r="Q197" s="2">
        <f t="shared" ref="Q197:Q246" si="75">M197-P197</f>
        <v>-15545.454545454546</v>
      </c>
    </row>
    <row r="198" spans="1:17" x14ac:dyDescent="0.25">
      <c r="A198" s="3" t="s">
        <v>166</v>
      </c>
      <c r="B198" s="2">
        <v>8503.81</v>
      </c>
      <c r="C198" s="2">
        <v>5315.92</v>
      </c>
      <c r="D198" s="7">
        <v>5721.77</v>
      </c>
      <c r="E198" s="2">
        <v>1979.68</v>
      </c>
      <c r="F198" s="2">
        <v>-5668.03</v>
      </c>
      <c r="G198" s="2"/>
      <c r="H198" s="2"/>
      <c r="I198" s="2"/>
      <c r="J198" s="2"/>
      <c r="K198" s="2"/>
      <c r="L198" s="2"/>
      <c r="M198" s="2"/>
      <c r="N198" s="2">
        <f t="shared" si="73"/>
        <v>15853.150000000001</v>
      </c>
      <c r="P198" s="2">
        <f t="shared" si="74"/>
        <v>1441.1954545454546</v>
      </c>
      <c r="Q198" s="2">
        <f t="shared" si="75"/>
        <v>-1441.1954545454546</v>
      </c>
    </row>
    <row r="199" spans="1:17" x14ac:dyDescent="0.25">
      <c r="A199" s="3" t="s">
        <v>167</v>
      </c>
      <c r="B199" s="2">
        <v>812.13</v>
      </c>
      <c r="C199" s="2">
        <v>2889.41</v>
      </c>
      <c r="D199" s="7">
        <v>2880.16</v>
      </c>
      <c r="E199" s="2">
        <v>1338.1</v>
      </c>
      <c r="F199" s="2">
        <v>587.38</v>
      </c>
      <c r="G199" s="2"/>
      <c r="H199" s="2"/>
      <c r="I199" s="2"/>
      <c r="J199" s="2"/>
      <c r="K199" s="2"/>
      <c r="L199" s="2"/>
      <c r="M199" s="2"/>
      <c r="N199" s="2">
        <f t="shared" si="73"/>
        <v>8507.1799999999985</v>
      </c>
      <c r="P199" s="2">
        <f t="shared" si="74"/>
        <v>773.37999999999988</v>
      </c>
      <c r="Q199" s="2">
        <f t="shared" si="75"/>
        <v>-773.37999999999988</v>
      </c>
    </row>
    <row r="200" spans="1:17" x14ac:dyDescent="0.25">
      <c r="A200" s="3" t="s">
        <v>168</v>
      </c>
      <c r="B200" s="2">
        <v>0</v>
      </c>
      <c r="C200" s="2">
        <v>0</v>
      </c>
      <c r="D200" s="7">
        <v>0</v>
      </c>
      <c r="E200" s="2">
        <v>0</v>
      </c>
      <c r="F200" s="2">
        <v>579.03</v>
      </c>
      <c r="G200" s="2"/>
      <c r="H200" s="2"/>
      <c r="I200" s="2"/>
      <c r="J200" s="2"/>
      <c r="K200" s="2"/>
      <c r="L200" s="2"/>
      <c r="M200" s="2"/>
      <c r="N200" s="2">
        <f t="shared" si="73"/>
        <v>579.03</v>
      </c>
      <c r="P200" s="2">
        <f t="shared" si="74"/>
        <v>52.639090909090903</v>
      </c>
      <c r="Q200" s="2">
        <f t="shared" si="75"/>
        <v>-52.639090909090903</v>
      </c>
    </row>
    <row r="201" spans="1:17" x14ac:dyDescent="0.25">
      <c r="A201" s="3" t="s">
        <v>169</v>
      </c>
      <c r="B201" s="2">
        <v>6595</v>
      </c>
      <c r="C201" s="2">
        <v>2825</v>
      </c>
      <c r="D201" s="7">
        <v>4805</v>
      </c>
      <c r="E201" s="2">
        <v>0</v>
      </c>
      <c r="F201" s="2">
        <v>0</v>
      </c>
      <c r="G201" s="2"/>
      <c r="H201" s="2"/>
      <c r="I201" s="2"/>
      <c r="J201" s="2"/>
      <c r="K201" s="2"/>
      <c r="L201" s="2"/>
      <c r="M201" s="2"/>
      <c r="N201" s="2">
        <f t="shared" si="73"/>
        <v>14225</v>
      </c>
      <c r="P201" s="2">
        <f t="shared" si="74"/>
        <v>1293.1818181818182</v>
      </c>
      <c r="Q201" s="2">
        <f t="shared" si="75"/>
        <v>-1293.1818181818182</v>
      </c>
    </row>
    <row r="202" spans="1:17" x14ac:dyDescent="0.25">
      <c r="A202" s="3" t="s">
        <v>170</v>
      </c>
      <c r="B202" s="2">
        <v>11843.29</v>
      </c>
      <c r="C202" s="2">
        <v>5450.87</v>
      </c>
      <c r="D202" s="7">
        <v>12040.98</v>
      </c>
      <c r="E202" s="2">
        <v>8053.61</v>
      </c>
      <c r="F202" s="2">
        <v>16912.45</v>
      </c>
      <c r="G202" s="2"/>
      <c r="H202" s="2"/>
      <c r="I202" s="2"/>
      <c r="J202" s="2"/>
      <c r="K202" s="2"/>
      <c r="L202" s="2"/>
      <c r="M202" s="2"/>
      <c r="N202" s="2">
        <f t="shared" si="73"/>
        <v>54301.2</v>
      </c>
      <c r="P202" s="2">
        <f t="shared" si="74"/>
        <v>4936.4727272727268</v>
      </c>
      <c r="Q202" s="2">
        <f t="shared" si="75"/>
        <v>-4936.4727272727268</v>
      </c>
    </row>
    <row r="203" spans="1:17" x14ac:dyDescent="0.25">
      <c r="A203" s="3" t="s">
        <v>171</v>
      </c>
      <c r="B203" s="2">
        <v>8676.52</v>
      </c>
      <c r="C203" s="2">
        <v>8676.52</v>
      </c>
      <c r="D203" s="7">
        <v>8676.51</v>
      </c>
      <c r="E203" s="2">
        <v>8676.52</v>
      </c>
      <c r="F203" s="2">
        <v>8676.52</v>
      </c>
      <c r="G203" s="2"/>
      <c r="H203" s="2"/>
      <c r="I203" s="2"/>
      <c r="J203" s="2"/>
      <c r="K203" s="2"/>
      <c r="L203" s="2"/>
      <c r="M203" s="2"/>
      <c r="N203" s="2">
        <f t="shared" si="73"/>
        <v>43382.590000000011</v>
      </c>
      <c r="P203" s="2">
        <f t="shared" si="74"/>
        <v>3943.871818181819</v>
      </c>
      <c r="Q203" s="2">
        <f t="shared" si="75"/>
        <v>-3943.871818181819</v>
      </c>
    </row>
    <row r="204" spans="1:17" x14ac:dyDescent="0.25">
      <c r="A204" s="3" t="s">
        <v>172</v>
      </c>
      <c r="B204" s="2">
        <v>3100</v>
      </c>
      <c r="C204" s="2">
        <v>3100</v>
      </c>
      <c r="D204" s="7">
        <v>3100</v>
      </c>
      <c r="E204" s="2">
        <v>3100</v>
      </c>
      <c r="F204" s="2">
        <v>3100</v>
      </c>
      <c r="G204" s="2"/>
      <c r="H204" s="2"/>
      <c r="I204" s="2"/>
      <c r="J204" s="2"/>
      <c r="K204" s="2"/>
      <c r="L204" s="2"/>
      <c r="M204" s="2"/>
      <c r="N204" s="2">
        <f t="shared" si="73"/>
        <v>15500</v>
      </c>
      <c r="P204" s="2">
        <f t="shared" si="74"/>
        <v>1409.090909090909</v>
      </c>
      <c r="Q204" s="2">
        <f t="shared" si="75"/>
        <v>-1409.090909090909</v>
      </c>
    </row>
    <row r="205" spans="1:17" x14ac:dyDescent="0.25">
      <c r="A205" s="3" t="s">
        <v>173</v>
      </c>
      <c r="B205" s="2">
        <v>5157.18</v>
      </c>
      <c r="C205" s="2">
        <v>5157.18</v>
      </c>
      <c r="D205" s="7">
        <v>5023.41</v>
      </c>
      <c r="E205" s="2">
        <v>5123.42</v>
      </c>
      <c r="F205" s="2">
        <v>5023.42</v>
      </c>
      <c r="G205" s="2"/>
      <c r="H205" s="2"/>
      <c r="I205" s="2"/>
      <c r="J205" s="2"/>
      <c r="K205" s="2"/>
      <c r="L205" s="2"/>
      <c r="M205" s="2"/>
      <c r="N205" s="2">
        <f t="shared" si="73"/>
        <v>25484.61</v>
      </c>
      <c r="P205" s="2">
        <f t="shared" si="74"/>
        <v>2316.7827272727272</v>
      </c>
      <c r="Q205" s="2">
        <f t="shared" si="75"/>
        <v>-2316.7827272727272</v>
      </c>
    </row>
    <row r="206" spans="1:17" x14ac:dyDescent="0.25">
      <c r="A206" s="3" t="s">
        <v>174</v>
      </c>
      <c r="B206" s="2">
        <v>781.02</v>
      </c>
      <c r="C206" s="2">
        <v>3798.75</v>
      </c>
      <c r="D206" s="7">
        <v>1347.95</v>
      </c>
      <c r="E206" s="2">
        <v>606.57000000000005</v>
      </c>
      <c r="F206" s="2">
        <v>716.17</v>
      </c>
      <c r="G206" s="2"/>
      <c r="H206" s="2"/>
      <c r="I206" s="2"/>
      <c r="J206" s="2"/>
      <c r="K206" s="2"/>
      <c r="L206" s="2"/>
      <c r="M206" s="2"/>
      <c r="N206" s="2">
        <f t="shared" si="73"/>
        <v>7250.46</v>
      </c>
      <c r="O206" s="2"/>
      <c r="P206" s="2">
        <f t="shared" si="74"/>
        <v>659.13272727272727</v>
      </c>
      <c r="Q206" s="2">
        <f t="shared" si="75"/>
        <v>-659.13272727272727</v>
      </c>
    </row>
    <row r="207" spans="1:17" x14ac:dyDescent="0.25">
      <c r="A207" s="3" t="s">
        <v>175</v>
      </c>
      <c r="B207" s="2">
        <v>740.6</v>
      </c>
      <c r="C207" s="2">
        <v>321.60000000000002</v>
      </c>
      <c r="D207" s="7">
        <v>321.60000000000002</v>
      </c>
      <c r="E207" s="2">
        <v>419.18</v>
      </c>
      <c r="F207" s="2">
        <v>439.52</v>
      </c>
      <c r="G207" s="2"/>
      <c r="H207" s="2"/>
      <c r="I207" s="2"/>
      <c r="J207" s="2"/>
      <c r="K207" s="2"/>
      <c r="L207" s="2"/>
      <c r="M207" s="2"/>
      <c r="N207" s="2">
        <f t="shared" si="73"/>
        <v>2242.5</v>
      </c>
      <c r="P207" s="2">
        <f t="shared" si="74"/>
        <v>203.86363636363637</v>
      </c>
      <c r="Q207" s="2">
        <f t="shared" si="75"/>
        <v>-203.86363636363637</v>
      </c>
    </row>
    <row r="208" spans="1:17" x14ac:dyDescent="0.25">
      <c r="A208" s="3" t="s">
        <v>176</v>
      </c>
      <c r="B208" s="2">
        <v>333.33</v>
      </c>
      <c r="C208" s="2">
        <v>333.33</v>
      </c>
      <c r="D208" s="7">
        <v>333.33</v>
      </c>
      <c r="E208" s="2">
        <v>333.33</v>
      </c>
      <c r="F208" s="2">
        <v>333.33</v>
      </c>
      <c r="G208" s="2"/>
      <c r="H208" s="2"/>
      <c r="I208" s="2"/>
      <c r="J208" s="2"/>
      <c r="K208" s="2"/>
      <c r="L208" s="2"/>
      <c r="M208" s="2"/>
      <c r="N208" s="2">
        <f t="shared" si="73"/>
        <v>1666.6499999999999</v>
      </c>
      <c r="P208" s="2">
        <f t="shared" si="74"/>
        <v>151.51363636363635</v>
      </c>
      <c r="Q208" s="2">
        <f t="shared" si="75"/>
        <v>-151.51363636363635</v>
      </c>
    </row>
    <row r="209" spans="1:17" x14ac:dyDescent="0.25">
      <c r="A209" s="3" t="s">
        <v>177</v>
      </c>
      <c r="B209" s="2">
        <v>115897.3</v>
      </c>
      <c r="C209" s="2">
        <v>117313.31</v>
      </c>
      <c r="D209" s="7">
        <v>117313.31</v>
      </c>
      <c r="E209" s="2">
        <v>69868.929999999993</v>
      </c>
      <c r="F209" s="2">
        <v>62865.39</v>
      </c>
      <c r="G209" s="2"/>
      <c r="H209" s="2"/>
      <c r="I209" s="2"/>
      <c r="J209" s="2"/>
      <c r="K209" s="2"/>
      <c r="L209" s="2"/>
      <c r="M209" s="2"/>
      <c r="N209" s="2">
        <f t="shared" si="73"/>
        <v>483258.24</v>
      </c>
      <c r="P209" s="2">
        <f t="shared" si="74"/>
        <v>43932.567272727269</v>
      </c>
      <c r="Q209" s="2">
        <f t="shared" si="75"/>
        <v>-43932.567272727269</v>
      </c>
    </row>
    <row r="210" spans="1:17" x14ac:dyDescent="0.25">
      <c r="A210" s="9" t="s">
        <v>178</v>
      </c>
      <c r="B210" s="2">
        <v>0</v>
      </c>
      <c r="C210" s="2">
        <v>0</v>
      </c>
      <c r="D210" s="7">
        <v>0</v>
      </c>
      <c r="E210" s="2">
        <v>1820.4</v>
      </c>
      <c r="F210" s="2">
        <v>0</v>
      </c>
      <c r="G210" s="2"/>
      <c r="H210" s="2"/>
      <c r="I210" s="2"/>
      <c r="J210" s="2"/>
      <c r="K210" s="2"/>
      <c r="L210" s="2"/>
      <c r="M210" s="2"/>
      <c r="N210" s="2">
        <f t="shared" si="73"/>
        <v>1820.4</v>
      </c>
      <c r="P210" s="2">
        <f t="shared" si="74"/>
        <v>165.4909090909091</v>
      </c>
      <c r="Q210" s="2">
        <f t="shared" si="75"/>
        <v>-165.4909090909091</v>
      </c>
    </row>
    <row r="211" spans="1:17" x14ac:dyDescent="0.25">
      <c r="A211" s="9" t="s">
        <v>179</v>
      </c>
      <c r="B211" s="2">
        <v>0</v>
      </c>
      <c r="C211" s="2">
        <v>0</v>
      </c>
      <c r="D211" s="7">
        <v>0</v>
      </c>
      <c r="E211" s="2">
        <v>390</v>
      </c>
      <c r="F211" s="2">
        <v>390</v>
      </c>
      <c r="G211" s="2"/>
      <c r="H211" s="2"/>
      <c r="I211" s="2"/>
      <c r="J211" s="2"/>
      <c r="K211" s="2"/>
      <c r="L211" s="2"/>
      <c r="M211" s="2"/>
      <c r="N211" s="2">
        <f t="shared" si="73"/>
        <v>780</v>
      </c>
      <c r="P211" s="2">
        <f t="shared" si="74"/>
        <v>70.909090909090907</v>
      </c>
      <c r="Q211" s="2">
        <f t="shared" si="75"/>
        <v>-70.909090909090907</v>
      </c>
    </row>
    <row r="212" spans="1:17" x14ac:dyDescent="0.25">
      <c r="A212" s="9" t="s">
        <v>433</v>
      </c>
      <c r="C212" s="2"/>
      <c r="D212" s="7"/>
      <c r="E212" s="2">
        <v>51803</v>
      </c>
      <c r="F212" s="2">
        <v>58244.6</v>
      </c>
      <c r="G212" s="2"/>
      <c r="H212" s="2"/>
      <c r="I212" s="2"/>
      <c r="J212" s="2"/>
      <c r="K212" s="2"/>
      <c r="L212" s="2"/>
      <c r="M212" s="2"/>
      <c r="N212" s="2">
        <f t="shared" si="73"/>
        <v>110047.6</v>
      </c>
      <c r="P212" s="2"/>
      <c r="Q212" s="2"/>
    </row>
    <row r="213" spans="1:17" ht="15.75" thickBot="1" x14ac:dyDescent="0.3">
      <c r="A213" s="46" t="s">
        <v>180</v>
      </c>
      <c r="B213" s="47">
        <f>SUM(B196:B211)</f>
        <v>196640.18</v>
      </c>
      <c r="C213" s="47">
        <f>SUM(C196:C211)</f>
        <v>189381.89</v>
      </c>
      <c r="D213" s="47">
        <f>SUM(D196:D211)</f>
        <v>195764.02000000002</v>
      </c>
      <c r="E213" s="47">
        <f>SUM(E196:E212)</f>
        <v>187712.74</v>
      </c>
      <c r="F213" s="47">
        <f>SUM(F197:M212)</f>
        <v>186399.78</v>
      </c>
      <c r="G213" s="47">
        <f t="shared" ref="G213:M213" si="76">SUM(G197:G209)</f>
        <v>0</v>
      </c>
      <c r="H213" s="47">
        <f t="shared" si="76"/>
        <v>0</v>
      </c>
      <c r="I213" s="47">
        <f t="shared" si="76"/>
        <v>0</v>
      </c>
      <c r="J213" s="47">
        <f t="shared" si="76"/>
        <v>0</v>
      </c>
      <c r="K213" s="47">
        <f t="shared" si="76"/>
        <v>0</v>
      </c>
      <c r="L213" s="47">
        <f t="shared" si="76"/>
        <v>0</v>
      </c>
      <c r="M213" s="47">
        <f t="shared" si="76"/>
        <v>0</v>
      </c>
      <c r="N213" s="47">
        <f>SUM(N196:N212)</f>
        <v>955898.6100000001</v>
      </c>
      <c r="P213" s="47">
        <f t="shared" si="74"/>
        <v>86899.873636363642</v>
      </c>
      <c r="Q213" s="47">
        <f t="shared" si="75"/>
        <v>-86899.873636363642</v>
      </c>
    </row>
    <row r="214" spans="1:17" ht="15.75" thickTop="1" x14ac:dyDescent="0.2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>
        <f t="shared" si="74"/>
        <v>0</v>
      </c>
      <c r="Q214" s="2">
        <f t="shared" si="75"/>
        <v>0</v>
      </c>
    </row>
    <row r="215" spans="1:17" x14ac:dyDescent="0.25">
      <c r="A215" s="3" t="s">
        <v>181</v>
      </c>
      <c r="B215" s="2">
        <v>0</v>
      </c>
      <c r="C215" s="2">
        <v>0</v>
      </c>
      <c r="D215" s="2">
        <v>0</v>
      </c>
      <c r="E215" s="2"/>
      <c r="F215" s="2">
        <v>0</v>
      </c>
      <c r="G215" s="2"/>
      <c r="H215" s="2"/>
      <c r="I215" s="2"/>
      <c r="J215" s="2"/>
      <c r="K215" s="2"/>
      <c r="L215" s="2"/>
      <c r="M215" s="2"/>
      <c r="N215" s="2">
        <f t="shared" ref="N215:N241" si="77">SUM(B215:M215)</f>
        <v>0</v>
      </c>
      <c r="P215" s="2">
        <f t="shared" si="74"/>
        <v>0</v>
      </c>
      <c r="Q215" s="2">
        <f t="shared" si="75"/>
        <v>0</v>
      </c>
    </row>
    <row r="216" spans="1:17" x14ac:dyDescent="0.25">
      <c r="A216" s="3" t="s">
        <v>182</v>
      </c>
      <c r="B216" s="2">
        <v>5835.67</v>
      </c>
      <c r="C216" s="2">
        <v>5000</v>
      </c>
      <c r="D216" s="7">
        <v>4813.05</v>
      </c>
      <c r="E216" s="2">
        <v>5000</v>
      </c>
      <c r="F216" s="2">
        <v>5000</v>
      </c>
      <c r="G216" s="2"/>
      <c r="H216" s="2"/>
      <c r="I216" s="2"/>
      <c r="J216" s="2"/>
      <c r="K216" s="2"/>
      <c r="L216" s="2"/>
      <c r="M216" s="2"/>
      <c r="N216" s="2">
        <f t="shared" si="77"/>
        <v>25648.720000000001</v>
      </c>
      <c r="P216" s="2">
        <f t="shared" si="74"/>
        <v>2331.7018181818185</v>
      </c>
      <c r="Q216" s="2">
        <f t="shared" si="75"/>
        <v>-2331.7018181818185</v>
      </c>
    </row>
    <row r="217" spans="1:17" x14ac:dyDescent="0.25">
      <c r="A217" s="3" t="s">
        <v>183</v>
      </c>
      <c r="B217" s="2">
        <v>815.83</v>
      </c>
      <c r="C217" s="2">
        <v>1293.81</v>
      </c>
      <c r="D217" s="7">
        <v>863.73</v>
      </c>
      <c r="E217" s="2">
        <v>836.51</v>
      </c>
      <c r="F217" s="2">
        <v>838.95</v>
      </c>
      <c r="G217" s="2"/>
      <c r="H217" s="2"/>
      <c r="I217" s="2"/>
      <c r="J217" s="2"/>
      <c r="K217" s="2"/>
      <c r="L217" s="2"/>
      <c r="M217" s="2"/>
      <c r="N217" s="2">
        <f t="shared" si="77"/>
        <v>4648.83</v>
      </c>
      <c r="P217" s="2">
        <f t="shared" si="74"/>
        <v>422.62090909090909</v>
      </c>
      <c r="Q217" s="2">
        <f t="shared" si="75"/>
        <v>-422.62090909090909</v>
      </c>
    </row>
    <row r="218" spans="1:17" x14ac:dyDescent="0.25">
      <c r="A218" s="3" t="s">
        <v>184</v>
      </c>
      <c r="B218" s="2">
        <v>11891.59</v>
      </c>
      <c r="C218" s="2">
        <v>11089.07</v>
      </c>
      <c r="D218" s="7">
        <v>11189.22</v>
      </c>
      <c r="E218" s="2">
        <v>11179.32</v>
      </c>
      <c r="F218" s="2">
        <v>10355.59</v>
      </c>
      <c r="G218" s="2"/>
      <c r="H218" s="2"/>
      <c r="I218" s="2"/>
      <c r="J218" s="2"/>
      <c r="K218" s="2"/>
      <c r="L218" s="2"/>
      <c r="M218" s="2"/>
      <c r="N218" s="2">
        <f t="shared" si="77"/>
        <v>55704.789999999994</v>
      </c>
      <c r="P218" s="2">
        <f t="shared" si="74"/>
        <v>5064.0718181818174</v>
      </c>
      <c r="Q218" s="2">
        <f t="shared" si="75"/>
        <v>-5064.0718181818174</v>
      </c>
    </row>
    <row r="219" spans="1:17" x14ac:dyDescent="0.25">
      <c r="A219" s="3" t="s">
        <v>185</v>
      </c>
      <c r="B219" s="2">
        <v>0</v>
      </c>
      <c r="C219" s="2">
        <v>0</v>
      </c>
      <c r="D219" s="7">
        <v>0</v>
      </c>
      <c r="E219" s="2">
        <v>0</v>
      </c>
      <c r="F219" s="2">
        <v>0</v>
      </c>
      <c r="G219" s="2"/>
      <c r="H219" s="2"/>
      <c r="I219" s="2"/>
      <c r="J219" s="2"/>
      <c r="K219" s="2"/>
      <c r="L219" s="2"/>
      <c r="M219" s="2"/>
      <c r="N219" s="2">
        <f t="shared" si="77"/>
        <v>0</v>
      </c>
      <c r="P219" s="2">
        <f t="shared" si="74"/>
        <v>0</v>
      </c>
      <c r="Q219" s="2">
        <f t="shared" si="75"/>
        <v>0</v>
      </c>
    </row>
    <row r="220" spans="1:17" x14ac:dyDescent="0.25">
      <c r="A220" s="3" t="s">
        <v>186</v>
      </c>
      <c r="B220" s="2">
        <v>2200</v>
      </c>
      <c r="C220" s="2">
        <v>545.54</v>
      </c>
      <c r="D220" s="7">
        <v>774.24</v>
      </c>
      <c r="E220" s="2">
        <v>36.65</v>
      </c>
      <c r="F220" s="2">
        <v>22.4</v>
      </c>
      <c r="G220" s="2"/>
      <c r="H220" s="2"/>
      <c r="I220" s="2"/>
      <c r="J220" s="2"/>
      <c r="K220" s="2"/>
      <c r="L220" s="2"/>
      <c r="M220" s="2"/>
      <c r="N220" s="2">
        <f t="shared" si="77"/>
        <v>3578.83</v>
      </c>
      <c r="P220" s="2">
        <f t="shared" si="74"/>
        <v>325.34818181818179</v>
      </c>
      <c r="Q220" s="2">
        <f t="shared" si="75"/>
        <v>-325.34818181818179</v>
      </c>
    </row>
    <row r="221" spans="1:17" x14ac:dyDescent="0.25">
      <c r="A221" s="3" t="s">
        <v>187</v>
      </c>
      <c r="B221" s="2">
        <v>0</v>
      </c>
      <c r="C221" s="2">
        <v>0</v>
      </c>
      <c r="D221" s="7">
        <v>0</v>
      </c>
      <c r="E221" s="2">
        <v>0</v>
      </c>
      <c r="F221" s="2">
        <v>0</v>
      </c>
      <c r="G221" s="2"/>
      <c r="H221" s="2"/>
      <c r="I221" s="2"/>
      <c r="J221" s="2"/>
      <c r="K221" s="2"/>
      <c r="L221" s="2"/>
      <c r="M221" s="2"/>
      <c r="N221" s="2">
        <f t="shared" si="77"/>
        <v>0</v>
      </c>
      <c r="O221" s="2"/>
      <c r="P221" s="2">
        <f t="shared" si="74"/>
        <v>0</v>
      </c>
      <c r="Q221" s="2">
        <f t="shared" si="75"/>
        <v>0</v>
      </c>
    </row>
    <row r="222" spans="1:17" x14ac:dyDescent="0.25">
      <c r="A222" s="3" t="s">
        <v>188</v>
      </c>
      <c r="B222" s="2">
        <v>0</v>
      </c>
      <c r="C222" s="2">
        <v>0</v>
      </c>
      <c r="D222" s="7">
        <v>0</v>
      </c>
      <c r="E222" s="2">
        <v>0</v>
      </c>
      <c r="F222" s="2"/>
      <c r="G222" s="2"/>
      <c r="H222" s="2"/>
      <c r="I222" s="2"/>
      <c r="J222" s="2"/>
      <c r="K222" s="2"/>
      <c r="L222" s="2"/>
      <c r="M222" s="2"/>
      <c r="N222" s="2">
        <f t="shared" si="77"/>
        <v>0</v>
      </c>
      <c r="P222" s="2">
        <f t="shared" si="74"/>
        <v>0</v>
      </c>
      <c r="Q222" s="2">
        <f t="shared" si="75"/>
        <v>0</v>
      </c>
    </row>
    <row r="223" spans="1:17" x14ac:dyDescent="0.25">
      <c r="A223" s="3" t="s">
        <v>189</v>
      </c>
      <c r="B223" s="2">
        <v>0</v>
      </c>
      <c r="C223" s="2">
        <v>0</v>
      </c>
      <c r="D223" s="7">
        <v>0</v>
      </c>
      <c r="E223" s="2">
        <v>0</v>
      </c>
      <c r="F223" s="2"/>
      <c r="G223" s="2"/>
      <c r="H223" s="2"/>
      <c r="I223" s="2"/>
      <c r="J223" s="2"/>
      <c r="K223" s="2"/>
      <c r="L223" s="2"/>
      <c r="M223" s="2"/>
      <c r="N223" s="2">
        <f t="shared" si="77"/>
        <v>0</v>
      </c>
      <c r="P223" s="2">
        <f t="shared" si="74"/>
        <v>0</v>
      </c>
      <c r="Q223" s="2">
        <f t="shared" si="75"/>
        <v>0</v>
      </c>
    </row>
    <row r="224" spans="1:17" x14ac:dyDescent="0.25">
      <c r="A224" s="3" t="s">
        <v>190</v>
      </c>
      <c r="B224" s="2">
        <v>0</v>
      </c>
      <c r="C224" s="2">
        <v>0</v>
      </c>
      <c r="D224" s="7">
        <v>0</v>
      </c>
      <c r="E224" s="2">
        <v>3888.88</v>
      </c>
      <c r="F224" s="2">
        <v>3888.88</v>
      </c>
      <c r="G224" s="2"/>
      <c r="H224" s="2"/>
      <c r="I224" s="2"/>
      <c r="J224" s="2"/>
      <c r="K224" s="2"/>
      <c r="L224" s="2"/>
      <c r="M224" s="2"/>
      <c r="N224" s="2">
        <f t="shared" si="77"/>
        <v>7777.76</v>
      </c>
      <c r="P224" s="2">
        <f t="shared" si="74"/>
        <v>707.06909090909096</v>
      </c>
      <c r="Q224" s="2">
        <f t="shared" si="75"/>
        <v>-707.06909090909096</v>
      </c>
    </row>
    <row r="225" spans="1:17" x14ac:dyDescent="0.25">
      <c r="A225" s="3" t="s">
        <v>191</v>
      </c>
      <c r="B225" s="2">
        <v>0</v>
      </c>
      <c r="C225" s="2">
        <v>0</v>
      </c>
      <c r="D225" s="7">
        <v>0</v>
      </c>
      <c r="E225" s="2">
        <v>0</v>
      </c>
      <c r="F225" s="2"/>
      <c r="G225" s="2"/>
      <c r="H225" s="2"/>
      <c r="I225" s="2"/>
      <c r="J225" s="2"/>
      <c r="K225" s="2"/>
      <c r="L225" s="2"/>
      <c r="M225" s="2"/>
      <c r="N225" s="2">
        <f t="shared" si="77"/>
        <v>0</v>
      </c>
      <c r="O225" s="2"/>
      <c r="P225" s="2">
        <f t="shared" si="74"/>
        <v>0</v>
      </c>
      <c r="Q225" s="2">
        <f t="shared" si="75"/>
        <v>0</v>
      </c>
    </row>
    <row r="226" spans="1:17" x14ac:dyDescent="0.25">
      <c r="A226" s="3" t="s">
        <v>192</v>
      </c>
      <c r="B226" s="2">
        <v>-1079.68</v>
      </c>
      <c r="C226" s="2">
        <v>2431.7199999999998</v>
      </c>
      <c r="D226" s="7">
        <v>1397.5</v>
      </c>
      <c r="E226" s="2">
        <f>1455.94+540.08</f>
        <v>1996.02</v>
      </c>
      <c r="F226" s="2">
        <v>4141.2299999999996</v>
      </c>
      <c r="G226" s="2"/>
      <c r="H226" s="2"/>
      <c r="I226" s="2"/>
      <c r="J226" s="2"/>
      <c r="K226" s="2"/>
      <c r="L226" s="2"/>
      <c r="M226" s="2"/>
      <c r="N226" s="2">
        <f t="shared" si="77"/>
        <v>8886.7899999999991</v>
      </c>
      <c r="P226" s="2">
        <f t="shared" si="74"/>
        <v>807.88999999999987</v>
      </c>
      <c r="Q226" s="2">
        <f t="shared" si="75"/>
        <v>-807.88999999999987</v>
      </c>
    </row>
    <row r="227" spans="1:17" x14ac:dyDescent="0.25">
      <c r="A227" s="3" t="s">
        <v>193</v>
      </c>
      <c r="B227" s="2">
        <v>369.62</v>
      </c>
      <c r="C227" s="2">
        <v>337.5</v>
      </c>
      <c r="D227" s="7">
        <v>0</v>
      </c>
      <c r="E227" s="2">
        <v>269.62</v>
      </c>
      <c r="F227" s="2">
        <v>0</v>
      </c>
      <c r="G227" s="2"/>
      <c r="H227" s="2"/>
      <c r="I227" s="2"/>
      <c r="J227" s="2"/>
      <c r="K227" s="2"/>
      <c r="L227" s="2"/>
      <c r="M227" s="2"/>
      <c r="N227" s="2">
        <f t="shared" si="77"/>
        <v>976.74</v>
      </c>
      <c r="P227" s="2">
        <f t="shared" si="74"/>
        <v>88.794545454545457</v>
      </c>
      <c r="Q227" s="2">
        <f t="shared" si="75"/>
        <v>-88.794545454545457</v>
      </c>
    </row>
    <row r="228" spans="1:17" x14ac:dyDescent="0.25">
      <c r="A228" s="3" t="s">
        <v>194</v>
      </c>
      <c r="B228" s="2">
        <v>5036.3900000000003</v>
      </c>
      <c r="C228" s="2">
        <v>4091.87</v>
      </c>
      <c r="D228" s="7">
        <v>4231.8500000000004</v>
      </c>
      <c r="E228" s="2">
        <v>1960.99</v>
      </c>
      <c r="F228" s="2">
        <v>3137.77</v>
      </c>
      <c r="G228" s="2"/>
      <c r="H228" s="2"/>
      <c r="I228" s="2"/>
      <c r="J228" s="2"/>
      <c r="K228" s="2"/>
      <c r="L228" s="2"/>
      <c r="M228" s="2"/>
      <c r="N228" s="2">
        <f t="shared" si="77"/>
        <v>18458.87</v>
      </c>
      <c r="P228" s="2">
        <f t="shared" si="74"/>
        <v>1678.0790909090908</v>
      </c>
      <c r="Q228" s="2">
        <f t="shared" si="75"/>
        <v>-1678.0790909090908</v>
      </c>
    </row>
    <row r="229" spans="1:17" x14ac:dyDescent="0.25">
      <c r="A229" s="3" t="s">
        <v>195</v>
      </c>
      <c r="B229" s="2">
        <v>2582.41</v>
      </c>
      <c r="C229" s="2">
        <v>2701.31</v>
      </c>
      <c r="D229" s="7">
        <v>3298.35</v>
      </c>
      <c r="E229" s="2">
        <v>2350.81</v>
      </c>
      <c r="F229" s="2">
        <v>2499.0500000000002</v>
      </c>
      <c r="G229" s="2"/>
      <c r="H229" s="2"/>
      <c r="I229" s="2"/>
      <c r="J229" s="2"/>
      <c r="K229" s="2"/>
      <c r="L229" s="2"/>
      <c r="M229" s="2"/>
      <c r="N229" s="2">
        <f t="shared" si="77"/>
        <v>13431.93</v>
      </c>
      <c r="P229" s="2">
        <f t="shared" si="74"/>
        <v>1221.0845454545454</v>
      </c>
      <c r="Q229" s="2">
        <f t="shared" si="75"/>
        <v>-1221.0845454545454</v>
      </c>
    </row>
    <row r="230" spans="1:17" x14ac:dyDescent="0.25">
      <c r="A230" s="9" t="s">
        <v>196</v>
      </c>
      <c r="B230" s="2">
        <v>20798</v>
      </c>
      <c r="C230" s="2">
        <v>19135.740000000002</v>
      </c>
      <c r="D230" s="2">
        <v>17216.87</v>
      </c>
      <c r="E230" s="2">
        <v>10016.870000000001</v>
      </c>
      <c r="F230" s="2">
        <v>10016.870000000001</v>
      </c>
      <c r="G230" s="2"/>
      <c r="H230" s="2"/>
      <c r="I230" s="2"/>
      <c r="J230" s="2"/>
      <c r="K230" s="2"/>
      <c r="L230" s="2"/>
      <c r="M230" s="2"/>
      <c r="N230" s="2">
        <f t="shared" si="77"/>
        <v>77184.349999999991</v>
      </c>
      <c r="P230" s="2">
        <f>(N230-M230)/11</f>
        <v>7016.7590909090904</v>
      </c>
      <c r="Q230" s="2">
        <f>M230-P230</f>
        <v>-7016.7590909090904</v>
      </c>
    </row>
    <row r="231" spans="1:17" x14ac:dyDescent="0.25">
      <c r="A231" s="9" t="s">
        <v>197</v>
      </c>
      <c r="B231" s="2">
        <v>3253.33</v>
      </c>
      <c r="C231" s="2">
        <v>2533.33</v>
      </c>
      <c r="D231" s="7">
        <v>2533.33</v>
      </c>
      <c r="E231" s="2">
        <v>2533.33</v>
      </c>
      <c r="F231" s="2">
        <v>2533.33</v>
      </c>
      <c r="G231" s="2"/>
      <c r="H231" s="2"/>
      <c r="I231" s="2"/>
      <c r="J231" s="2"/>
      <c r="K231" s="2"/>
      <c r="L231" s="2"/>
      <c r="M231" s="2"/>
      <c r="N231" s="2">
        <f t="shared" si="77"/>
        <v>13386.65</v>
      </c>
      <c r="P231" s="2">
        <f t="shared" si="74"/>
        <v>1216.9681818181818</v>
      </c>
      <c r="Q231" s="2">
        <f t="shared" si="75"/>
        <v>-1216.9681818181818</v>
      </c>
    </row>
    <row r="232" spans="1:17" x14ac:dyDescent="0.25">
      <c r="A232" s="9" t="s">
        <v>198</v>
      </c>
      <c r="B232" s="2">
        <v>1266.67</v>
      </c>
      <c r="C232" s="2">
        <v>1266.67</v>
      </c>
      <c r="D232" s="7">
        <v>6536.01</v>
      </c>
      <c r="E232" s="2">
        <v>3238.1</v>
      </c>
      <c r="F232" s="2">
        <v>3238.1</v>
      </c>
      <c r="G232" s="2"/>
      <c r="H232" s="2"/>
      <c r="I232" s="2"/>
      <c r="J232" s="2"/>
      <c r="K232" s="2"/>
      <c r="L232" s="2"/>
      <c r="M232" s="2"/>
      <c r="N232" s="2">
        <f t="shared" si="77"/>
        <v>15545.550000000001</v>
      </c>
      <c r="P232" s="2">
        <f t="shared" si="74"/>
        <v>1413.2318181818182</v>
      </c>
      <c r="Q232" s="2">
        <f t="shared" si="75"/>
        <v>-1413.2318181818182</v>
      </c>
    </row>
    <row r="233" spans="1:17" x14ac:dyDescent="0.25">
      <c r="A233" s="9" t="s">
        <v>199</v>
      </c>
      <c r="B233" s="2">
        <v>428.57</v>
      </c>
      <c r="C233" s="2">
        <v>428.57</v>
      </c>
      <c r="D233" s="7">
        <v>428.57</v>
      </c>
      <c r="E233" s="2">
        <v>428.57</v>
      </c>
      <c r="F233" s="2">
        <v>1580.99</v>
      </c>
      <c r="G233" s="2"/>
      <c r="H233" s="2"/>
      <c r="I233" s="2"/>
      <c r="J233" s="2"/>
      <c r="K233" s="2"/>
      <c r="L233" s="2"/>
      <c r="M233" s="2"/>
      <c r="N233" s="2">
        <f t="shared" si="77"/>
        <v>3295.27</v>
      </c>
      <c r="P233" s="2">
        <f t="shared" si="74"/>
        <v>299.57</v>
      </c>
      <c r="Q233" s="2">
        <f t="shared" si="75"/>
        <v>-299.57</v>
      </c>
    </row>
    <row r="234" spans="1:17" x14ac:dyDescent="0.25">
      <c r="A234" s="9" t="s">
        <v>200</v>
      </c>
      <c r="B234" s="2">
        <v>2451.4299999999998</v>
      </c>
      <c r="C234" s="2">
        <v>2673.97</v>
      </c>
      <c r="D234" s="7">
        <v>2254.42</v>
      </c>
      <c r="E234" s="2">
        <v>0</v>
      </c>
      <c r="F234" s="2">
        <v>865.5</v>
      </c>
      <c r="G234" s="2"/>
      <c r="H234" s="2"/>
      <c r="I234" s="2"/>
      <c r="J234" s="2"/>
      <c r="K234" s="2"/>
      <c r="L234" s="2"/>
      <c r="M234" s="2"/>
      <c r="N234" s="2">
        <f t="shared" si="77"/>
        <v>8245.32</v>
      </c>
      <c r="P234" s="2">
        <f t="shared" si="74"/>
        <v>749.57454545454539</v>
      </c>
      <c r="Q234" s="2">
        <f t="shared" si="75"/>
        <v>-749.57454545454539</v>
      </c>
    </row>
    <row r="235" spans="1:17" x14ac:dyDescent="0.25">
      <c r="A235" s="9" t="s">
        <v>201</v>
      </c>
      <c r="B235" s="2">
        <v>0</v>
      </c>
      <c r="C235" s="2">
        <v>680.88</v>
      </c>
      <c r="D235" s="7">
        <v>4256.26</v>
      </c>
      <c r="E235" s="2">
        <v>998.65</v>
      </c>
      <c r="F235" s="2">
        <v>3059.3</v>
      </c>
      <c r="G235" s="2"/>
      <c r="H235" s="2"/>
      <c r="I235" s="2"/>
      <c r="J235" s="2"/>
      <c r="K235" s="2"/>
      <c r="L235" s="2"/>
      <c r="M235" s="2"/>
      <c r="N235" s="2">
        <f t="shared" si="77"/>
        <v>8995.09</v>
      </c>
      <c r="P235" s="2">
        <f t="shared" si="74"/>
        <v>817.73545454545456</v>
      </c>
      <c r="Q235" s="2">
        <f t="shared" si="75"/>
        <v>-817.73545454545456</v>
      </c>
    </row>
    <row r="236" spans="1:17" x14ac:dyDescent="0.25">
      <c r="A236" s="9" t="s">
        <v>434</v>
      </c>
      <c r="B236" s="2">
        <v>3782</v>
      </c>
      <c r="C236" s="2">
        <v>3307.08</v>
      </c>
      <c r="D236" s="7">
        <v>1484.08</v>
      </c>
      <c r="E236" s="2">
        <v>3120.16</v>
      </c>
      <c r="F236" s="2">
        <v>1484.08</v>
      </c>
      <c r="G236" s="2"/>
      <c r="H236" s="2"/>
      <c r="I236" s="2"/>
      <c r="J236" s="2"/>
      <c r="K236" s="2"/>
      <c r="L236" s="2"/>
      <c r="M236" s="2"/>
      <c r="N236" s="2">
        <f t="shared" si="77"/>
        <v>13177.4</v>
      </c>
      <c r="P236" s="2"/>
      <c r="Q236" s="2"/>
    </row>
    <row r="237" spans="1:17" x14ac:dyDescent="0.25">
      <c r="A237" s="9" t="s">
        <v>435</v>
      </c>
      <c r="B237" s="2">
        <v>44000</v>
      </c>
      <c r="C237" s="2">
        <v>25000</v>
      </c>
      <c r="D237" s="7">
        <v>25000</v>
      </c>
      <c r="E237" s="2">
        <v>25000</v>
      </c>
      <c r="F237" s="2">
        <v>25000</v>
      </c>
      <c r="G237" s="2"/>
      <c r="H237" s="2"/>
      <c r="I237" s="2"/>
      <c r="J237" s="2"/>
      <c r="K237" s="2"/>
      <c r="L237" s="2"/>
      <c r="M237" s="2"/>
      <c r="N237" s="2">
        <f t="shared" si="77"/>
        <v>144000</v>
      </c>
      <c r="P237" s="2"/>
      <c r="Q237" s="2"/>
    </row>
    <row r="238" spans="1:17" x14ac:dyDescent="0.25">
      <c r="A238" s="9" t="s">
        <v>436</v>
      </c>
      <c r="B238" s="2">
        <v>7500</v>
      </c>
      <c r="C238" s="2">
        <v>7500</v>
      </c>
      <c r="D238" s="7">
        <v>8000</v>
      </c>
      <c r="E238" s="2">
        <v>7500</v>
      </c>
      <c r="F238" s="2">
        <v>7500</v>
      </c>
      <c r="G238" s="2"/>
      <c r="H238" s="2"/>
      <c r="I238" s="2"/>
      <c r="J238" s="2"/>
      <c r="K238" s="2"/>
      <c r="L238" s="2"/>
      <c r="M238" s="2"/>
      <c r="N238" s="2">
        <f t="shared" si="77"/>
        <v>38000</v>
      </c>
      <c r="P238" s="2"/>
      <c r="Q238" s="2"/>
    </row>
    <row r="239" spans="1:17" x14ac:dyDescent="0.25">
      <c r="A239" s="9" t="s">
        <v>437</v>
      </c>
      <c r="B239" s="2">
        <v>0</v>
      </c>
      <c r="C239" s="2">
        <v>1215</v>
      </c>
      <c r="D239" s="7">
        <v>0</v>
      </c>
      <c r="E239" s="2">
        <v>8257.5</v>
      </c>
      <c r="F239" s="2">
        <v>3982.5</v>
      </c>
      <c r="G239" s="2"/>
      <c r="H239" s="2"/>
      <c r="I239" s="2"/>
      <c r="J239" s="2"/>
      <c r="K239" s="2"/>
      <c r="L239" s="2"/>
      <c r="M239" s="2"/>
      <c r="N239" s="2">
        <f t="shared" si="77"/>
        <v>13455</v>
      </c>
      <c r="P239" s="2"/>
      <c r="Q239" s="2"/>
    </row>
    <row r="240" spans="1:17" x14ac:dyDescent="0.25">
      <c r="A240" s="9" t="s">
        <v>438</v>
      </c>
      <c r="B240" s="2">
        <v>109</v>
      </c>
      <c r="C240" s="2">
        <v>0</v>
      </c>
      <c r="D240" s="7">
        <v>0</v>
      </c>
      <c r="E240" s="2">
        <v>0</v>
      </c>
      <c r="F240" s="2">
        <v>0</v>
      </c>
      <c r="G240" s="2"/>
      <c r="H240" s="2"/>
      <c r="I240" s="2"/>
      <c r="J240" s="2"/>
      <c r="K240" s="2"/>
      <c r="L240" s="2"/>
      <c r="M240" s="2"/>
      <c r="N240" s="2">
        <f t="shared" si="77"/>
        <v>109</v>
      </c>
      <c r="P240" s="2"/>
      <c r="Q240" s="2"/>
    </row>
    <row r="241" spans="1:17" x14ac:dyDescent="0.25">
      <c r="A241" s="9" t="s">
        <v>439</v>
      </c>
      <c r="B241" s="2">
        <v>0</v>
      </c>
      <c r="C241" s="2">
        <v>0</v>
      </c>
      <c r="D241" s="7">
        <v>0</v>
      </c>
      <c r="E241" s="2">
        <v>0</v>
      </c>
      <c r="F241" s="2">
        <v>300</v>
      </c>
      <c r="G241" s="2"/>
      <c r="H241" s="2"/>
      <c r="I241" s="2"/>
      <c r="J241" s="2"/>
      <c r="K241" s="2"/>
      <c r="L241" s="2"/>
      <c r="M241" s="2"/>
      <c r="N241" s="2">
        <f t="shared" si="77"/>
        <v>300</v>
      </c>
      <c r="P241" s="2"/>
      <c r="Q241" s="2"/>
    </row>
    <row r="242" spans="1:17" ht="15.75" thickBot="1" x14ac:dyDescent="0.3">
      <c r="A242" s="46" t="s">
        <v>202</v>
      </c>
      <c r="B242" s="47">
        <f>SUM(B215:B241)</f>
        <v>111240.83</v>
      </c>
      <c r="C242" s="47">
        <f>SUM(C215:C241)</f>
        <v>91232.06</v>
      </c>
      <c r="D242" s="47">
        <f>SUM(D215:D241)</f>
        <v>94277.48000000001</v>
      </c>
      <c r="E242" s="47">
        <f>SUM(E215:E241)</f>
        <v>88611.98000000001</v>
      </c>
      <c r="F242" s="47">
        <f>SUM(F215:F241)</f>
        <v>89444.540000000008</v>
      </c>
      <c r="G242" s="47">
        <f t="shared" ref="G242:M242" si="78">SUM(G215:G241)</f>
        <v>0</v>
      </c>
      <c r="H242" s="47">
        <f t="shared" si="78"/>
        <v>0</v>
      </c>
      <c r="I242" s="47">
        <f t="shared" si="78"/>
        <v>0</v>
      </c>
      <c r="J242" s="47">
        <f t="shared" si="78"/>
        <v>0</v>
      </c>
      <c r="K242" s="47">
        <f t="shared" si="78"/>
        <v>0</v>
      </c>
      <c r="L242" s="47">
        <f t="shared" si="78"/>
        <v>0</v>
      </c>
      <c r="M242" s="47">
        <f t="shared" si="78"/>
        <v>0</v>
      </c>
      <c r="N242" s="47">
        <f>SUM(N215:N241)</f>
        <v>474806.89</v>
      </c>
      <c r="P242" s="47">
        <f t="shared" si="74"/>
        <v>43164.262727272726</v>
      </c>
      <c r="Q242" s="47">
        <f t="shared" si="75"/>
        <v>-43164.262727272726</v>
      </c>
    </row>
    <row r="243" spans="1:17" ht="15.75" thickTop="1" x14ac:dyDescent="0.25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P243" s="2">
        <f t="shared" si="74"/>
        <v>0</v>
      </c>
      <c r="Q243" s="2">
        <f t="shared" si="75"/>
        <v>0</v>
      </c>
    </row>
    <row r="244" spans="1:17" x14ac:dyDescent="0.25">
      <c r="A244" s="46" t="s">
        <v>361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P244" s="2">
        <f t="shared" si="74"/>
        <v>0</v>
      </c>
      <c r="Q244" s="2">
        <f t="shared" si="75"/>
        <v>0</v>
      </c>
    </row>
    <row r="245" spans="1:17" x14ac:dyDescent="0.25">
      <c r="A245" s="3" t="s">
        <v>203</v>
      </c>
      <c r="B245" s="2">
        <v>12500</v>
      </c>
      <c r="C245" s="2">
        <v>12500</v>
      </c>
      <c r="D245" s="2">
        <v>12500</v>
      </c>
      <c r="E245" s="2">
        <v>12500</v>
      </c>
      <c r="F245" s="2">
        <v>12500</v>
      </c>
      <c r="G245" s="2"/>
      <c r="H245" s="2"/>
      <c r="I245" s="2"/>
      <c r="J245" s="2"/>
      <c r="K245" s="2"/>
      <c r="L245" s="2"/>
      <c r="M245" s="2"/>
      <c r="N245" s="2">
        <f t="shared" ref="N245:N255" si="79">SUM(B245:M245)</f>
        <v>62500</v>
      </c>
      <c r="P245" s="2">
        <f t="shared" si="74"/>
        <v>5681.818181818182</v>
      </c>
      <c r="Q245" s="2">
        <f t="shared" si="75"/>
        <v>-5681.818181818182</v>
      </c>
    </row>
    <row r="246" spans="1:17" x14ac:dyDescent="0.25">
      <c r="A246" s="3" t="s">
        <v>204</v>
      </c>
      <c r="B246" s="2">
        <v>34022.5</v>
      </c>
      <c r="C246" s="2">
        <v>34265</v>
      </c>
      <c r="D246" s="2">
        <v>34451.25</v>
      </c>
      <c r="E246" s="2">
        <v>34845</v>
      </c>
      <c r="F246" s="2">
        <v>34565</v>
      </c>
      <c r="G246" s="2"/>
      <c r="H246" s="2"/>
      <c r="I246" s="2"/>
      <c r="J246" s="2"/>
      <c r="K246" s="2"/>
      <c r="L246" s="2"/>
      <c r="M246" s="2"/>
      <c r="N246" s="2">
        <f t="shared" si="79"/>
        <v>172148.75</v>
      </c>
      <c r="P246" s="2">
        <f t="shared" si="74"/>
        <v>15649.886363636364</v>
      </c>
      <c r="Q246" s="2">
        <f t="shared" si="75"/>
        <v>-15649.886363636364</v>
      </c>
    </row>
    <row r="247" spans="1:17" x14ac:dyDescent="0.25">
      <c r="A247" s="9" t="s">
        <v>440</v>
      </c>
      <c r="B247" s="2">
        <v>0</v>
      </c>
      <c r="C247" s="2">
        <v>0</v>
      </c>
      <c r="D247" s="2">
        <v>0</v>
      </c>
      <c r="E247" s="2">
        <v>0</v>
      </c>
      <c r="F247" s="2">
        <v>31752.38</v>
      </c>
      <c r="G247" s="2"/>
      <c r="H247" s="2"/>
      <c r="I247" s="2"/>
      <c r="J247" s="2"/>
      <c r="K247" s="2"/>
      <c r="L247" s="2"/>
      <c r="M247" s="2"/>
      <c r="N247" s="2">
        <f t="shared" si="79"/>
        <v>31752.38</v>
      </c>
      <c r="P247" s="2"/>
      <c r="Q247" s="2"/>
    </row>
    <row r="248" spans="1:17" x14ac:dyDescent="0.25">
      <c r="A248" s="9" t="s">
        <v>205</v>
      </c>
      <c r="B248" s="2">
        <v>6585.5</v>
      </c>
      <c r="C248" s="2">
        <v>10400.5</v>
      </c>
      <c r="D248" s="2">
        <v>6846.5</v>
      </c>
      <c r="E248" s="2">
        <v>18155</v>
      </c>
      <c r="F248" s="2">
        <v>23942.5</v>
      </c>
      <c r="G248" s="2"/>
      <c r="H248" s="2"/>
      <c r="I248" s="2"/>
      <c r="J248" s="2"/>
      <c r="K248" s="2"/>
      <c r="L248" s="2"/>
      <c r="M248" s="2"/>
      <c r="N248" s="2">
        <f t="shared" si="79"/>
        <v>65930</v>
      </c>
      <c r="P248" s="2"/>
      <c r="Q248" s="2"/>
    </row>
    <row r="249" spans="1:17" x14ac:dyDescent="0.25">
      <c r="A249" s="3" t="s">
        <v>206</v>
      </c>
      <c r="B249" s="2">
        <v>41021.9</v>
      </c>
      <c r="C249" s="2">
        <v>14206.22</v>
      </c>
      <c r="D249" s="2">
        <v>13266.54</v>
      </c>
      <c r="E249" s="2">
        <v>32043.16</v>
      </c>
      <c r="F249" s="2">
        <v>18002.150000000001</v>
      </c>
      <c r="G249" s="2"/>
      <c r="H249" s="2"/>
      <c r="I249" s="2"/>
      <c r="J249" s="2"/>
      <c r="K249" s="2"/>
      <c r="L249" s="2"/>
      <c r="M249" s="2"/>
      <c r="N249" s="2">
        <f t="shared" si="79"/>
        <v>118539.97</v>
      </c>
      <c r="P249" s="2">
        <f t="shared" ref="P249:P260" si="80">(N249-M249)/11</f>
        <v>10776.360909090909</v>
      </c>
      <c r="Q249" s="2">
        <f t="shared" ref="Q249:Q260" si="81">M249-P249</f>
        <v>-10776.360909090909</v>
      </c>
    </row>
    <row r="250" spans="1:17" x14ac:dyDescent="0.25">
      <c r="A250" s="3" t="s">
        <v>207</v>
      </c>
      <c r="B250" s="2">
        <v>-12832.51</v>
      </c>
      <c r="C250" s="2">
        <v>-10798.17</v>
      </c>
      <c r="D250" s="2">
        <v>-12464.55</v>
      </c>
      <c r="E250" s="2">
        <v>-15499.01</v>
      </c>
      <c r="F250" s="2">
        <v>-24863.5</v>
      </c>
      <c r="G250" s="2"/>
      <c r="H250" s="2"/>
      <c r="I250" s="2"/>
      <c r="J250" s="2"/>
      <c r="K250" s="2"/>
      <c r="L250" s="2"/>
      <c r="M250" s="2"/>
      <c r="N250" s="2">
        <f t="shared" si="79"/>
        <v>-76457.739999999991</v>
      </c>
      <c r="P250" s="2">
        <f t="shared" si="80"/>
        <v>-6950.7036363636353</v>
      </c>
      <c r="Q250" s="2">
        <f t="shared" si="81"/>
        <v>6950.7036363636353</v>
      </c>
    </row>
    <row r="251" spans="1:17" x14ac:dyDescent="0.25">
      <c r="A251" s="9" t="s">
        <v>441</v>
      </c>
      <c r="B251" s="2">
        <v>0</v>
      </c>
      <c r="C251" s="2">
        <v>0</v>
      </c>
      <c r="D251" s="2">
        <v>0.1</v>
      </c>
      <c r="E251" s="2">
        <v>0</v>
      </c>
      <c r="F251" s="2">
        <v>0</v>
      </c>
      <c r="G251" s="2"/>
      <c r="H251" s="2"/>
      <c r="I251" s="2"/>
      <c r="J251" s="2"/>
      <c r="K251" s="2"/>
      <c r="L251" s="2"/>
      <c r="M251" s="2"/>
      <c r="N251" s="2">
        <f t="shared" si="79"/>
        <v>0.1</v>
      </c>
      <c r="P251" s="2">
        <f t="shared" si="80"/>
        <v>9.0909090909090922E-3</v>
      </c>
      <c r="Q251" s="2">
        <f t="shared" si="81"/>
        <v>-9.0909090909090922E-3</v>
      </c>
    </row>
    <row r="252" spans="1:17" x14ac:dyDescent="0.25">
      <c r="A252" s="9" t="s">
        <v>442</v>
      </c>
      <c r="B252" s="2">
        <v>0</v>
      </c>
      <c r="C252" s="2">
        <v>0</v>
      </c>
      <c r="D252" s="2">
        <v>0</v>
      </c>
      <c r="E252" s="2">
        <v>0</v>
      </c>
      <c r="F252" s="2">
        <v>2087.77</v>
      </c>
      <c r="G252" s="2"/>
      <c r="H252" s="2"/>
      <c r="I252" s="2"/>
      <c r="J252" s="2"/>
      <c r="K252" s="2"/>
      <c r="L252" s="2"/>
      <c r="M252" s="2"/>
      <c r="N252" s="2">
        <f t="shared" si="79"/>
        <v>2087.77</v>
      </c>
      <c r="P252" s="2"/>
      <c r="Q252" s="2"/>
    </row>
    <row r="253" spans="1:17" x14ac:dyDescent="0.25">
      <c r="A253" s="9" t="s">
        <v>443</v>
      </c>
      <c r="B253" s="2">
        <v>0</v>
      </c>
      <c r="C253" s="2">
        <v>0</v>
      </c>
      <c r="D253" s="2">
        <v>0</v>
      </c>
      <c r="E253" s="2">
        <v>0</v>
      </c>
      <c r="F253" s="2">
        <v>7848.21</v>
      </c>
      <c r="G253" s="2"/>
      <c r="H253" s="2"/>
      <c r="I253" s="2"/>
      <c r="J253" s="2"/>
      <c r="K253" s="2"/>
      <c r="L253" s="2"/>
      <c r="M253" s="2"/>
      <c r="N253" s="2">
        <f t="shared" si="79"/>
        <v>7848.21</v>
      </c>
      <c r="P253" s="2"/>
      <c r="Q253" s="2"/>
    </row>
    <row r="254" spans="1:17" x14ac:dyDescent="0.25">
      <c r="A254" s="9"/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/>
      <c r="H254" s="2"/>
      <c r="I254" s="2"/>
      <c r="J254" s="2"/>
      <c r="K254" s="2"/>
      <c r="L254" s="2"/>
      <c r="M254" s="2"/>
      <c r="N254" s="2">
        <f t="shared" si="79"/>
        <v>0</v>
      </c>
      <c r="P254" s="2"/>
      <c r="Q254" s="2"/>
    </row>
    <row r="255" spans="1:17" x14ac:dyDescent="0.25">
      <c r="A255" s="9"/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/>
      <c r="H255" s="2"/>
      <c r="I255" s="2"/>
      <c r="J255" s="2"/>
      <c r="K255" s="2"/>
      <c r="L255" s="2"/>
      <c r="M255" s="2"/>
      <c r="N255" s="2">
        <f t="shared" si="79"/>
        <v>0</v>
      </c>
      <c r="P255" s="2"/>
      <c r="Q255" s="2"/>
    </row>
    <row r="256" spans="1:17" ht="15.75" thickBot="1" x14ac:dyDescent="0.3">
      <c r="A256" s="46" t="s">
        <v>208</v>
      </c>
      <c r="B256" s="54">
        <f>SUM(B245:B255)</f>
        <v>81297.39</v>
      </c>
      <c r="C256" s="54">
        <f>SUM(C245:C255)</f>
        <v>60573.55</v>
      </c>
      <c r="D256" s="54">
        <f>SUM(D245:D255)</f>
        <v>54599.840000000004</v>
      </c>
      <c r="E256" s="54">
        <f>SUM(E245:E255)</f>
        <v>82044.150000000009</v>
      </c>
      <c r="F256" s="54">
        <f>SUM(F245:F255)</f>
        <v>105834.51000000001</v>
      </c>
      <c r="G256" s="54">
        <f t="shared" ref="G256:N256" si="82">SUM(G245:G255)</f>
        <v>0</v>
      </c>
      <c r="H256" s="54">
        <f t="shared" si="82"/>
        <v>0</v>
      </c>
      <c r="I256" s="54">
        <f t="shared" si="82"/>
        <v>0</v>
      </c>
      <c r="J256" s="54">
        <f t="shared" si="82"/>
        <v>0</v>
      </c>
      <c r="K256" s="54">
        <f t="shared" si="82"/>
        <v>0</v>
      </c>
      <c r="L256" s="54">
        <f t="shared" si="82"/>
        <v>0</v>
      </c>
      <c r="M256" s="54">
        <f t="shared" si="82"/>
        <v>0</v>
      </c>
      <c r="N256" s="54">
        <f t="shared" si="82"/>
        <v>384349.44</v>
      </c>
      <c r="P256" s="54">
        <f t="shared" si="80"/>
        <v>34940.858181818185</v>
      </c>
      <c r="Q256" s="54">
        <f t="shared" si="81"/>
        <v>-34940.858181818185</v>
      </c>
    </row>
    <row r="257" spans="1:18" ht="15.75" thickTop="1" x14ac:dyDescent="0.25">
      <c r="P257" s="3">
        <f t="shared" si="80"/>
        <v>0</v>
      </c>
      <c r="Q257" s="3">
        <f t="shared" si="81"/>
        <v>0</v>
      </c>
    </row>
    <row r="258" spans="1:18" s="46" customFormat="1" ht="15.75" thickBot="1" x14ac:dyDescent="0.3">
      <c r="A258" s="46" t="s">
        <v>209</v>
      </c>
      <c r="B258" s="47">
        <f t="shared" ref="B258:N258" si="83">B181-B194-B213-B242+B256</f>
        <v>65733.430000085849</v>
      </c>
      <c r="C258" s="47">
        <f t="shared" si="83"/>
        <v>62568.989999875965</v>
      </c>
      <c r="D258" s="47">
        <f t="shared" si="83"/>
        <v>190852.60999999283</v>
      </c>
      <c r="E258" s="47">
        <f t="shared" si="83"/>
        <v>-70572.119999890318</v>
      </c>
      <c r="F258" s="47">
        <f t="shared" si="83"/>
        <v>-203743.00000022177</v>
      </c>
      <c r="G258" s="47">
        <f t="shared" si="83"/>
        <v>0</v>
      </c>
      <c r="H258" s="47">
        <f t="shared" si="83"/>
        <v>0</v>
      </c>
      <c r="I258" s="47">
        <f t="shared" si="83"/>
        <v>0</v>
      </c>
      <c r="J258" s="47">
        <f t="shared" si="83"/>
        <v>0</v>
      </c>
      <c r="K258" s="47">
        <f t="shared" si="83"/>
        <v>0</v>
      </c>
      <c r="L258" s="47">
        <f t="shared" si="83"/>
        <v>0</v>
      </c>
      <c r="M258" s="47">
        <f t="shared" si="83"/>
        <v>0</v>
      </c>
      <c r="N258" s="47">
        <f t="shared" si="83"/>
        <v>44839.909999842232</v>
      </c>
      <c r="P258" s="47">
        <f t="shared" si="80"/>
        <v>4076.3554545311122</v>
      </c>
      <c r="Q258" s="47">
        <f t="shared" si="81"/>
        <v>-4076.3554545311122</v>
      </c>
    </row>
    <row r="259" spans="1:18" ht="15.75" thickTop="1" x14ac:dyDescent="0.25">
      <c r="P259" s="3">
        <f t="shared" si="80"/>
        <v>0</v>
      </c>
      <c r="Q259" s="3">
        <f t="shared" si="81"/>
        <v>0</v>
      </c>
    </row>
    <row r="260" spans="1:18" x14ac:dyDescent="0.25">
      <c r="B260" s="55">
        <f t="shared" ref="B260:N260" si="84">+B74-B258</f>
        <v>3.3411197364330292E-8</v>
      </c>
      <c r="C260" s="55">
        <f t="shared" si="84"/>
        <v>-8.5987267084419727E-8</v>
      </c>
      <c r="D260" s="55">
        <f t="shared" si="84"/>
        <v>-6.2107574194669724E-8</v>
      </c>
      <c r="E260" s="55">
        <f t="shared" si="84"/>
        <v>-1.5135447029024363E-7</v>
      </c>
      <c r="F260" s="55">
        <f t="shared" si="84"/>
        <v>2.2526364773511887E-7</v>
      </c>
      <c r="G260" s="55">
        <f t="shared" si="84"/>
        <v>0</v>
      </c>
      <c r="H260" s="55">
        <f t="shared" si="84"/>
        <v>0</v>
      </c>
      <c r="I260" s="55">
        <f t="shared" si="84"/>
        <v>0</v>
      </c>
      <c r="J260" s="55">
        <f t="shared" si="84"/>
        <v>0</v>
      </c>
      <c r="K260" s="55">
        <f t="shared" si="84"/>
        <v>0</v>
      </c>
      <c r="L260" s="55">
        <f t="shared" si="84"/>
        <v>0</v>
      </c>
      <c r="M260" s="55">
        <f t="shared" si="84"/>
        <v>0</v>
      </c>
      <c r="N260" s="55">
        <f t="shared" si="84"/>
        <v>1.3789394870400429E-7</v>
      </c>
      <c r="P260" s="55">
        <f t="shared" si="80"/>
        <v>1.2535813518545845E-8</v>
      </c>
      <c r="Q260" s="55">
        <f t="shared" si="81"/>
        <v>-1.2535813518545845E-8</v>
      </c>
    </row>
    <row r="261" spans="1:18" x14ac:dyDescent="0.25">
      <c r="R261" s="9"/>
    </row>
    <row r="262" spans="1:18" x14ac:dyDescent="0.25">
      <c r="L262" s="55"/>
      <c r="R262" s="9"/>
    </row>
  </sheetData>
  <pageMargins left="0.5" right="0.5" top="0.5" bottom="0.45899934383202101" header="0.5" footer="0.5"/>
  <pageSetup scale="55" orientation="landscape" r:id="rId1"/>
  <headerFooter scaleWithDoc="0" alignWithMargins="0"/>
  <rowBreaks count="5" manualBreakCount="5">
    <brk id="47" max="13" man="1"/>
    <brk id="100" max="13" man="1"/>
    <brk id="124" max="13" man="1"/>
    <brk id="181" max="13" man="1"/>
    <brk id="242" max="16383" man="1"/>
  </rowBreaks>
  <colBreaks count="1" manualBreakCount="1">
    <brk id="15" max="2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3C3E-7BE4-424F-9763-E33B6A48576D}">
  <sheetPr>
    <tabColor theme="9" tint="0.79998168889431442"/>
  </sheetPr>
  <dimension ref="A1:L114"/>
  <sheetViews>
    <sheetView zoomScaleNormal="100" workbookViewId="0">
      <pane ySplit="6" topLeftCell="A97" activePane="bottomLeft" state="frozen"/>
      <selection pane="bottomLeft" activeCell="B111" sqref="B111"/>
    </sheetView>
  </sheetViews>
  <sheetFormatPr defaultRowHeight="15" x14ac:dyDescent="0.25"/>
  <cols>
    <col min="1" max="1" width="39.7109375" bestFit="1" customWidth="1"/>
    <col min="2" max="2" width="23.42578125" style="128" bestFit="1" customWidth="1"/>
    <col min="3" max="3" width="19.7109375" style="128" bestFit="1" customWidth="1"/>
    <col min="4" max="8" width="18.7109375" style="128" customWidth="1"/>
    <col min="9" max="9" width="23.42578125" style="128" bestFit="1" customWidth="1"/>
    <col min="12" max="12" width="16.85546875" style="91" bestFit="1" customWidth="1"/>
  </cols>
  <sheetData>
    <row r="1" spans="1:12" ht="26.25" x14ac:dyDescent="0.4">
      <c r="A1" s="191" t="s">
        <v>367</v>
      </c>
      <c r="B1" s="191"/>
      <c r="C1" s="191"/>
      <c r="D1" s="191"/>
      <c r="E1" s="191"/>
      <c r="F1" s="191"/>
      <c r="G1" s="191"/>
      <c r="H1" s="191"/>
      <c r="I1" s="191"/>
    </row>
    <row r="2" spans="1:12" ht="26.25" x14ac:dyDescent="0.4">
      <c r="A2" s="191" t="s">
        <v>366</v>
      </c>
      <c r="B2" s="191"/>
      <c r="C2" s="191"/>
      <c r="D2" s="191"/>
      <c r="E2" s="191"/>
      <c r="F2" s="191"/>
      <c r="G2" s="191"/>
      <c r="H2" s="191"/>
      <c r="I2" s="191"/>
    </row>
    <row r="3" spans="1:12" ht="26.25" x14ac:dyDescent="0.4">
      <c r="A3" s="191" t="s">
        <v>299</v>
      </c>
      <c r="B3" s="191"/>
      <c r="C3" s="191"/>
      <c r="D3" s="191"/>
      <c r="E3" s="191"/>
      <c r="F3" s="191"/>
      <c r="G3" s="191"/>
      <c r="H3" s="191"/>
      <c r="I3" s="191"/>
    </row>
    <row r="4" spans="1:12" ht="26.25" x14ac:dyDescent="0.4">
      <c r="A4" s="192">
        <v>43251</v>
      </c>
      <c r="B4" s="193"/>
      <c r="C4" s="193"/>
      <c r="D4" s="193"/>
      <c r="E4" s="193"/>
      <c r="F4" s="193"/>
      <c r="G4" s="193"/>
      <c r="H4" s="193"/>
      <c r="I4" s="193"/>
    </row>
    <row r="6" spans="1:12" s="169" customFormat="1" ht="30" customHeight="1" x14ac:dyDescent="0.3">
      <c r="B6" s="170" t="s">
        <v>243</v>
      </c>
      <c r="C6" s="170" t="s">
        <v>245</v>
      </c>
      <c r="D6" s="170" t="s">
        <v>244</v>
      </c>
      <c r="E6" s="170" t="s">
        <v>246</v>
      </c>
      <c r="F6" s="170" t="s">
        <v>247</v>
      </c>
      <c r="G6" s="170" t="s">
        <v>453</v>
      </c>
      <c r="H6" s="170" t="s">
        <v>464</v>
      </c>
      <c r="I6" s="170" t="s">
        <v>217</v>
      </c>
      <c r="L6" s="171"/>
    </row>
    <row r="7" spans="1:12" s="169" customFormat="1" ht="39.950000000000003" customHeight="1" x14ac:dyDescent="0.3">
      <c r="A7" s="172" t="s">
        <v>63</v>
      </c>
      <c r="B7" s="173"/>
      <c r="C7" s="173"/>
      <c r="D7" s="173"/>
      <c r="E7" s="173"/>
      <c r="F7" s="173"/>
      <c r="G7" s="173"/>
      <c r="H7" s="173"/>
      <c r="I7" s="173"/>
      <c r="L7" s="171"/>
    </row>
    <row r="8" spans="1:12" s="169" customFormat="1" ht="39.950000000000003" customHeight="1" x14ac:dyDescent="0.3">
      <c r="A8" s="169" t="s">
        <v>248</v>
      </c>
      <c r="B8" s="174">
        <f>'CNT (from FS Analysis)'!N103+'CNT (from FS Analysis)'!N114</f>
        <v>552165320.73000002</v>
      </c>
      <c r="C8" s="174">
        <f>BPM!G8+BPM!G14</f>
        <v>27599240.669999998</v>
      </c>
      <c r="D8" s="174">
        <v>0</v>
      </c>
      <c r="E8" s="174">
        <v>0</v>
      </c>
      <c r="F8" s="174">
        <v>0</v>
      </c>
      <c r="G8" s="174">
        <v>0</v>
      </c>
      <c r="H8" s="174">
        <v>0</v>
      </c>
      <c r="I8" s="174">
        <f t="shared" ref="I8:I15" si="0">SUM(B8:H8)</f>
        <v>579764561.39999998</v>
      </c>
      <c r="L8" s="171"/>
    </row>
    <row r="9" spans="1:12" s="169" customFormat="1" ht="39.950000000000003" customHeight="1" x14ac:dyDescent="0.3">
      <c r="A9" s="169" t="s">
        <v>249</v>
      </c>
      <c r="B9" s="174">
        <f>'CNT (from FS Analysis)'!N104+'CNT (from FS Analysis)'!N115</f>
        <v>2104162210.24</v>
      </c>
      <c r="C9" s="174">
        <f>BPM!G9</f>
        <v>1739278.6099999999</v>
      </c>
      <c r="D9" s="174">
        <v>0</v>
      </c>
      <c r="E9" s="174">
        <v>0</v>
      </c>
      <c r="F9" s="174">
        <v>0</v>
      </c>
      <c r="G9" s="174">
        <v>0</v>
      </c>
      <c r="H9" s="174">
        <v>0</v>
      </c>
      <c r="I9" s="174">
        <f t="shared" si="0"/>
        <v>2105901488.8499999</v>
      </c>
      <c r="L9" s="171"/>
    </row>
    <row r="10" spans="1:12" s="169" customFormat="1" ht="39.950000000000003" customHeight="1" x14ac:dyDescent="0.3">
      <c r="A10" s="169" t="s">
        <v>250</v>
      </c>
      <c r="B10" s="174">
        <f>'CNT (from FS Analysis)'!N105+'CNT (from FS Analysis)'!N116</f>
        <v>9977331.6099999994</v>
      </c>
      <c r="C10" s="174">
        <f>BPM!G10</f>
        <v>197806.81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f t="shared" si="0"/>
        <v>10175138.42</v>
      </c>
      <c r="L10" s="171"/>
    </row>
    <row r="11" spans="1:12" s="169" customFormat="1" ht="39.950000000000003" customHeight="1" x14ac:dyDescent="0.3">
      <c r="A11" s="169" t="s">
        <v>251</v>
      </c>
      <c r="B11" s="174">
        <f>'CNT (from FS Analysis)'!N106+'CNT (from FS Analysis)'!N117</f>
        <v>9160247.4700000007</v>
      </c>
      <c r="C11" s="174">
        <f>BPM!G11</f>
        <v>3310.3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f t="shared" si="0"/>
        <v>9163557.7700000014</v>
      </c>
      <c r="L11" s="171"/>
    </row>
    <row r="12" spans="1:12" s="169" customFormat="1" ht="39.950000000000003" customHeight="1" x14ac:dyDescent="0.3">
      <c r="A12" s="169" t="s">
        <v>252</v>
      </c>
      <c r="B12" s="174">
        <f>'CNT (from FS Analysis)'!N110+'CNT (from FS Analysis)'!N120</f>
        <v>1988324.9900000002</v>
      </c>
      <c r="C12" s="174">
        <f>0</f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  <c r="I12" s="174">
        <f t="shared" si="0"/>
        <v>1988324.9900000002</v>
      </c>
      <c r="L12" s="171"/>
    </row>
    <row r="13" spans="1:12" s="169" customFormat="1" ht="39.950000000000003" customHeight="1" x14ac:dyDescent="0.3">
      <c r="A13" s="169" t="s">
        <v>253</v>
      </c>
      <c r="B13" s="174">
        <f>'CNT (from FS Analysis)'!N121+'CNT (from FS Analysis)'!N122</f>
        <v>292312.5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4">
        <v>0</v>
      </c>
      <c r="I13" s="174">
        <f t="shared" si="0"/>
        <v>292312.5</v>
      </c>
      <c r="L13" s="171"/>
    </row>
    <row r="14" spans="1:12" s="169" customFormat="1" ht="39.950000000000003" customHeight="1" x14ac:dyDescent="0.3">
      <c r="A14" s="169" t="s">
        <v>254</v>
      </c>
      <c r="B14" s="174">
        <f>'CNT (from FS Analysis)'!N108+'CNT (from FS Analysis)'!N109+'CNT (from FS Analysis)'!N111+'CNT (from FS Analysis)'!N112+'CNT (from FS Analysis)'!N113+'CNT (from FS Analysis)'!N107</f>
        <v>446444.5</v>
      </c>
      <c r="C14" s="174">
        <f>BPM!G12+BPM!G13</f>
        <v>1309014.25</v>
      </c>
      <c r="D14" s="174">
        <f>DEP!G15</f>
        <v>910323.34000000008</v>
      </c>
      <c r="E14" s="174">
        <v>0</v>
      </c>
      <c r="F14" s="174">
        <f>'BSC (Dome)'!G14</f>
        <v>505677.55000000005</v>
      </c>
      <c r="G14" s="174">
        <v>0</v>
      </c>
      <c r="H14" s="174">
        <v>0</v>
      </c>
      <c r="I14" s="174">
        <f t="shared" si="0"/>
        <v>3171459.6399999997</v>
      </c>
      <c r="L14" s="171"/>
    </row>
    <row r="15" spans="1:12" s="169" customFormat="1" ht="39.950000000000003" customHeight="1" x14ac:dyDescent="0.3">
      <c r="A15" s="172" t="s">
        <v>255</v>
      </c>
      <c r="B15" s="175">
        <f>SUM(B8:B14)</f>
        <v>2678192192.04</v>
      </c>
      <c r="C15" s="175">
        <f>SUM(C8:C14)</f>
        <v>30848650.639999997</v>
      </c>
      <c r="D15" s="175">
        <f t="shared" ref="D15:F15" si="1">SUM(D8:D14)</f>
        <v>910323.34000000008</v>
      </c>
      <c r="E15" s="175">
        <f t="shared" si="1"/>
        <v>0</v>
      </c>
      <c r="F15" s="175">
        <f t="shared" si="1"/>
        <v>505677.55000000005</v>
      </c>
      <c r="G15" s="175">
        <f t="shared" ref="G15:H15" si="2">SUM(G8:G14)</f>
        <v>0</v>
      </c>
      <c r="H15" s="175">
        <f t="shared" si="2"/>
        <v>0</v>
      </c>
      <c r="I15" s="175">
        <f t="shared" si="0"/>
        <v>2710456843.5700002</v>
      </c>
      <c r="L15" s="171"/>
    </row>
    <row r="16" spans="1:12" s="169" customFormat="1" ht="39.950000000000003" customHeight="1" x14ac:dyDescent="0.3">
      <c r="B16" s="174"/>
      <c r="C16" s="174"/>
      <c r="D16" s="174"/>
      <c r="E16" s="174"/>
      <c r="F16" s="174"/>
      <c r="G16" s="174"/>
      <c r="H16" s="174"/>
      <c r="I16" s="174"/>
      <c r="L16" s="171"/>
    </row>
    <row r="17" spans="1:12" s="169" customFormat="1" ht="39.950000000000003" customHeight="1" x14ac:dyDescent="0.3">
      <c r="A17" s="172" t="s">
        <v>218</v>
      </c>
      <c r="B17" s="174"/>
      <c r="C17" s="174"/>
      <c r="D17" s="174"/>
      <c r="E17" s="174"/>
      <c r="F17" s="174"/>
      <c r="G17" s="174"/>
      <c r="H17" s="174"/>
      <c r="I17" s="174"/>
      <c r="L17" s="171"/>
    </row>
    <row r="18" spans="1:12" s="169" customFormat="1" ht="39.950000000000003" customHeight="1" x14ac:dyDescent="0.3">
      <c r="A18" s="169" t="s">
        <v>248</v>
      </c>
      <c r="B18" s="174">
        <f>'CNT (from FS Analysis)'!N127+'CNT (from FS Analysis)'!N139+'CNT (from FS Analysis)'!N144+'CNT (from FS Analysis)'!N143+'CNT (from FS Analysis)'!N148+'CNT (from FS Analysis)'!N152+'CNT (from FS Analysis)'!N158</f>
        <v>548018078.07999992</v>
      </c>
      <c r="C18" s="174">
        <f>BPM!G18+BPM!G27</f>
        <v>27521127.590000004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4">
        <f t="shared" ref="I18:I25" si="3">SUM(B18:H18)</f>
        <v>575539205.66999996</v>
      </c>
      <c r="L18" s="171"/>
    </row>
    <row r="19" spans="1:12" s="169" customFormat="1" ht="39.950000000000003" customHeight="1" x14ac:dyDescent="0.3">
      <c r="A19" s="169" t="s">
        <v>249</v>
      </c>
      <c r="B19" s="174">
        <f>'CNT (from FS Analysis)'!N128+'CNT (from FS Analysis)'!N140+'CNT (from FS Analysis)'!N145+'CNT (from FS Analysis)'!N149+'CNT (from FS Analysis)'!N153+'CNT (from FS Analysis)'!N156+'CNT (from FS Analysis)'!N159</f>
        <v>2101989550.5800004</v>
      </c>
      <c r="C19" s="174">
        <f>BPM!G19+BPM!G28</f>
        <v>1648455.5400000003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f t="shared" si="3"/>
        <v>2103638006.1200004</v>
      </c>
      <c r="L19" s="171"/>
    </row>
    <row r="20" spans="1:12" s="169" customFormat="1" ht="39.950000000000003" customHeight="1" x14ac:dyDescent="0.3">
      <c r="A20" s="169" t="s">
        <v>250</v>
      </c>
      <c r="B20" s="174">
        <f>'CNT (from FS Analysis)'!N129+'CNT (from FS Analysis)'!N141+'CNT (from FS Analysis)'!N146+'CNT (from FS Analysis)'!N150+'CNT (from FS Analysis)'!N154+'CNT (from FS Analysis)'!N157+'CNT (from FS Analysis)'!N160</f>
        <v>9867506.4600000028</v>
      </c>
      <c r="C20" s="174">
        <f>BPM!G20+BPM!G29</f>
        <v>187214.56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f t="shared" si="3"/>
        <v>10054721.020000003</v>
      </c>
      <c r="L20" s="171"/>
    </row>
    <row r="21" spans="1:12" s="169" customFormat="1" ht="39.950000000000003" customHeight="1" x14ac:dyDescent="0.3">
      <c r="A21" s="169" t="s">
        <v>251</v>
      </c>
      <c r="B21" s="174">
        <f>'CNT (from FS Analysis)'!N130+'CNT (from FS Analysis)'!N151+'CNT (from FS Analysis)'!N155+'CNT (from FS Analysis)'!N161+'CNT (from FS Analysis)'!N162</f>
        <v>9832119.5999999996</v>
      </c>
      <c r="C21" s="174">
        <f>BPM!G21</f>
        <v>2079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f t="shared" si="3"/>
        <v>9834198.5999999996</v>
      </c>
      <c r="L21" s="171"/>
    </row>
    <row r="22" spans="1:12" s="169" customFormat="1" ht="39.950000000000003" customHeight="1" x14ac:dyDescent="0.3">
      <c r="A22" s="169" t="s">
        <v>252</v>
      </c>
      <c r="B22" s="174">
        <f>'CNT (from FS Analysis)'!N133</f>
        <v>1944419.51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f t="shared" si="3"/>
        <v>1944419.51</v>
      </c>
      <c r="L22" s="171"/>
    </row>
    <row r="23" spans="1:12" s="169" customFormat="1" ht="39.950000000000003" customHeight="1" x14ac:dyDescent="0.3">
      <c r="A23" s="169" t="s">
        <v>253</v>
      </c>
      <c r="B23" s="174">
        <f>'CNT (from FS Analysis)'!N178+'CNT (from FS Analysis)'!N179</f>
        <v>180989.69</v>
      </c>
      <c r="C23" s="174">
        <f>0</f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f t="shared" si="3"/>
        <v>180989.69</v>
      </c>
      <c r="L23" s="171"/>
    </row>
    <row r="24" spans="1:12" s="169" customFormat="1" ht="39.950000000000003" customHeight="1" x14ac:dyDescent="0.3">
      <c r="A24" s="169" t="s">
        <v>254</v>
      </c>
      <c r="B24" s="174">
        <f>'CNT (from FS Analysis)'!N125+'CNT (from FS Analysis)'!N132+'CNT (from FS Analysis)'!N134+'CNT (from FS Analysis)'!N135+'CNT (from FS Analysis)'!N137+'CNT (from FS Analysis)'!N138+'CNT (from FS Analysis)'!N163+'CNT (from FS Analysis)'!N164+'CNT (from FS Analysis)'!N165+'CNT (from FS Analysis)'!N167+'CNT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Analysis)'!N177+'CNT (from FS Analysis)'!N166+'CNT (from FS Analysis)'!N19</f>
        <v>3403364.58</v>
      </c>
      <c r="C24" s="174">
        <f>BPM!G22+BPM!G23+BPM!G24+BPM!G30+BPM!G31+BPM!G25+BPM!G26</f>
        <v>1078155.77</v>
      </c>
      <c r="D24" s="174">
        <f>DEP!G20</f>
        <v>105681.95</v>
      </c>
      <c r="E24" s="174">
        <v>0</v>
      </c>
      <c r="F24" s="174">
        <f>'BSC (Dome)'!G17</f>
        <v>1068.5899999999999</v>
      </c>
      <c r="G24" s="174">
        <v>0</v>
      </c>
      <c r="H24" s="174">
        <v>0</v>
      </c>
      <c r="I24" s="174">
        <f t="shared" si="3"/>
        <v>4588270.8899999997</v>
      </c>
      <c r="L24" s="171"/>
    </row>
    <row r="25" spans="1:12" s="169" customFormat="1" ht="39.950000000000003" customHeight="1" x14ac:dyDescent="0.3">
      <c r="A25" s="172" t="s">
        <v>256</v>
      </c>
      <c r="B25" s="175">
        <f>SUM(B18:B24)</f>
        <v>2675236028.5000005</v>
      </c>
      <c r="C25" s="175">
        <f t="shared" ref="C25:F25" si="4">SUM(C18:C24)</f>
        <v>30437032.460000001</v>
      </c>
      <c r="D25" s="175">
        <f t="shared" si="4"/>
        <v>105681.95</v>
      </c>
      <c r="E25" s="175">
        <f t="shared" si="4"/>
        <v>0</v>
      </c>
      <c r="F25" s="175">
        <f t="shared" si="4"/>
        <v>1068.5899999999999</v>
      </c>
      <c r="G25" s="175">
        <f t="shared" ref="G25:H25" si="5">SUM(G18:G24)</f>
        <v>0</v>
      </c>
      <c r="H25" s="175">
        <f t="shared" si="5"/>
        <v>0</v>
      </c>
      <c r="I25" s="175">
        <f t="shared" si="3"/>
        <v>2705779811.5000005</v>
      </c>
      <c r="L25" s="171"/>
    </row>
    <row r="26" spans="1:12" s="169" customFormat="1" ht="39.950000000000003" customHeight="1" x14ac:dyDescent="0.3">
      <c r="B26" s="174"/>
      <c r="C26" s="174"/>
      <c r="D26" s="174"/>
      <c r="E26" s="174"/>
      <c r="F26" s="174"/>
      <c r="G26" s="174"/>
      <c r="H26" s="174"/>
      <c r="I26" s="174"/>
      <c r="L26" s="171"/>
    </row>
    <row r="27" spans="1:12" s="169" customFormat="1" ht="39.950000000000003" customHeight="1" thickBot="1" x14ac:dyDescent="0.35">
      <c r="A27" s="172" t="s">
        <v>242</v>
      </c>
      <c r="B27" s="176">
        <f>B15-B25</f>
        <v>2956163.539999485</v>
      </c>
      <c r="C27" s="176">
        <f t="shared" ref="C27:F27" si="6">C15-C25</f>
        <v>411618.17999999598</v>
      </c>
      <c r="D27" s="176">
        <f t="shared" si="6"/>
        <v>804641.39000000013</v>
      </c>
      <c r="E27" s="176">
        <f t="shared" si="6"/>
        <v>0</v>
      </c>
      <c r="F27" s="176">
        <f t="shared" si="6"/>
        <v>504608.96</v>
      </c>
      <c r="G27" s="176">
        <f t="shared" ref="G27:H27" si="7">G15-G25</f>
        <v>0</v>
      </c>
      <c r="H27" s="176">
        <f t="shared" si="7"/>
        <v>0</v>
      </c>
      <c r="I27" s="176">
        <f>SUM(B27:H27)</f>
        <v>4677032.0699994816</v>
      </c>
      <c r="L27" s="171"/>
    </row>
    <row r="28" spans="1:12" s="169" customFormat="1" ht="30" customHeight="1" x14ac:dyDescent="0.3">
      <c r="B28" s="174"/>
      <c r="C28" s="174"/>
      <c r="D28" s="174"/>
      <c r="E28" s="174"/>
      <c r="F28" s="174"/>
      <c r="G28" s="174"/>
      <c r="H28" s="174"/>
      <c r="I28" s="174"/>
      <c r="L28" s="171"/>
    </row>
    <row r="29" spans="1:12" s="169" customFormat="1" ht="30" customHeight="1" x14ac:dyDescent="0.3">
      <c r="A29" s="172" t="s">
        <v>240</v>
      </c>
      <c r="B29" s="174"/>
      <c r="C29" s="174"/>
      <c r="D29" s="174"/>
      <c r="E29" s="174"/>
      <c r="F29" s="174"/>
      <c r="G29" s="174"/>
      <c r="H29" s="174"/>
      <c r="I29" s="174"/>
      <c r="L29" s="171"/>
    </row>
    <row r="30" spans="1:12" s="169" customFormat="1" ht="30" customHeight="1" x14ac:dyDescent="0.3">
      <c r="B30" s="174"/>
      <c r="C30" s="174"/>
      <c r="D30" s="174"/>
      <c r="E30" s="174"/>
      <c r="F30" s="174"/>
      <c r="G30" s="174"/>
      <c r="H30" s="174"/>
      <c r="I30" s="174"/>
      <c r="L30" s="171"/>
    </row>
    <row r="31" spans="1:12" s="169" customFormat="1" ht="30" customHeight="1" x14ac:dyDescent="0.3">
      <c r="A31" s="172" t="s">
        <v>257</v>
      </c>
      <c r="B31" s="174"/>
      <c r="C31" s="174"/>
      <c r="D31" s="174"/>
      <c r="E31" s="174"/>
      <c r="F31" s="174"/>
      <c r="G31" s="174"/>
      <c r="H31" s="174"/>
      <c r="I31" s="174"/>
      <c r="L31" s="171"/>
    </row>
    <row r="32" spans="1:12" s="169" customFormat="1" ht="30" customHeight="1" x14ac:dyDescent="0.3">
      <c r="A32" s="169" t="s">
        <v>258</v>
      </c>
      <c r="B32" s="174">
        <f>'CNT (from FS Analysis)'!N183</f>
        <v>1497290.1500000001</v>
      </c>
      <c r="C32" s="174">
        <v>0</v>
      </c>
      <c r="D32" s="174">
        <f>DEP!G26</f>
        <v>42790.85</v>
      </c>
      <c r="E32" s="174">
        <v>0</v>
      </c>
      <c r="F32" s="174">
        <f>'BSC (Dome)'!G24+'BSC (Dome)'!G31</f>
        <v>150452.51</v>
      </c>
      <c r="G32" s="174">
        <v>0</v>
      </c>
      <c r="H32" s="174">
        <v>0</v>
      </c>
      <c r="I32" s="174">
        <f t="shared" ref="I32:I41" si="8">SUM(B32:H32)</f>
        <v>1690533.5100000002</v>
      </c>
      <c r="L32" s="171"/>
    </row>
    <row r="33" spans="1:12" s="169" customFormat="1" ht="30" customHeight="1" x14ac:dyDescent="0.3">
      <c r="A33" s="169" t="s">
        <v>259</v>
      </c>
      <c r="B33" s="174">
        <f>'CNT (from FS Analysis)'!N185</f>
        <v>16352</v>
      </c>
      <c r="C33" s="174">
        <v>0</v>
      </c>
      <c r="D33" s="174">
        <v>0</v>
      </c>
      <c r="E33" s="174">
        <v>0</v>
      </c>
      <c r="F33" s="174">
        <v>0</v>
      </c>
      <c r="G33" s="174">
        <v>0</v>
      </c>
      <c r="H33" s="174">
        <v>0</v>
      </c>
      <c r="I33" s="174">
        <f t="shared" si="8"/>
        <v>16352</v>
      </c>
      <c r="L33" s="171"/>
    </row>
    <row r="34" spans="1:12" s="169" customFormat="1" ht="30" customHeight="1" x14ac:dyDescent="0.3">
      <c r="A34" s="169" t="s">
        <v>260</v>
      </c>
      <c r="B34" s="174">
        <f>'CNT (from FS Analysis)'!N186</f>
        <v>139863.54999999999</v>
      </c>
      <c r="C34" s="174">
        <v>0</v>
      </c>
      <c r="D34" s="174">
        <f>DEP!G27</f>
        <v>5394.6100000000006</v>
      </c>
      <c r="E34" s="174">
        <v>0</v>
      </c>
      <c r="F34" s="174">
        <f>'BSC (Dome)'!G25</f>
        <v>9856.2099999999991</v>
      </c>
      <c r="G34" s="174">
        <v>0</v>
      </c>
      <c r="H34" s="174">
        <v>0</v>
      </c>
      <c r="I34" s="174">
        <f t="shared" si="8"/>
        <v>155114.36999999997</v>
      </c>
      <c r="L34" s="171"/>
    </row>
    <row r="35" spans="1:12" s="169" customFormat="1" ht="30" customHeight="1" x14ac:dyDescent="0.3">
      <c r="A35" s="169" t="s">
        <v>261</v>
      </c>
      <c r="B35" s="174">
        <f>'CNT (from FS Analysis)'!N187</f>
        <v>137194.44</v>
      </c>
      <c r="C35" s="174">
        <v>0</v>
      </c>
      <c r="D35" s="174">
        <f>DEP!G28</f>
        <v>15839.27</v>
      </c>
      <c r="E35" s="174">
        <v>0</v>
      </c>
      <c r="F35" s="174">
        <f>'BSC (Dome)'!G26</f>
        <v>26095.66</v>
      </c>
      <c r="G35" s="174">
        <v>0</v>
      </c>
      <c r="H35" s="174">
        <v>0</v>
      </c>
      <c r="I35" s="174">
        <f t="shared" si="8"/>
        <v>179129.37</v>
      </c>
      <c r="L35" s="171"/>
    </row>
    <row r="36" spans="1:12" s="169" customFormat="1" ht="30" customHeight="1" x14ac:dyDescent="0.3">
      <c r="A36" s="169" t="s">
        <v>262</v>
      </c>
      <c r="B36" s="174">
        <f>'CNT (from FS Analysis)'!N188</f>
        <v>18482.510000000002</v>
      </c>
      <c r="C36" s="174">
        <v>0</v>
      </c>
      <c r="D36" s="174">
        <f>DEP!G29</f>
        <v>1084.8999999999999</v>
      </c>
      <c r="E36" s="174">
        <v>0</v>
      </c>
      <c r="F36" s="174">
        <f>'BSC (Dome)'!G27</f>
        <v>1451.16</v>
      </c>
      <c r="G36" s="174">
        <v>0</v>
      </c>
      <c r="H36" s="174">
        <v>0</v>
      </c>
      <c r="I36" s="174">
        <f t="shared" si="8"/>
        <v>21018.570000000003</v>
      </c>
      <c r="L36" s="171"/>
    </row>
    <row r="37" spans="1:12" s="169" customFormat="1" ht="30" customHeight="1" x14ac:dyDescent="0.3">
      <c r="A37" s="169" t="s">
        <v>263</v>
      </c>
      <c r="B37" s="174">
        <f>'CNT (from FS Analysis)'!N189</f>
        <v>45835</v>
      </c>
      <c r="C37" s="174">
        <v>0</v>
      </c>
      <c r="D37" s="174">
        <f>DEP!G30</f>
        <v>2000</v>
      </c>
      <c r="E37" s="174">
        <v>0</v>
      </c>
      <c r="F37" s="174">
        <f>'BSC (Dome)'!G29</f>
        <v>2250</v>
      </c>
      <c r="G37" s="174">
        <v>0</v>
      </c>
      <c r="H37" s="174">
        <v>0</v>
      </c>
      <c r="I37" s="174">
        <f t="shared" si="8"/>
        <v>50085</v>
      </c>
      <c r="L37" s="171"/>
    </row>
    <row r="38" spans="1:12" s="169" customFormat="1" ht="30" customHeight="1" x14ac:dyDescent="0.3">
      <c r="A38" s="169" t="s">
        <v>344</v>
      </c>
      <c r="B38" s="174">
        <f>'CNT (from FS Analysis)'!N191+'CNT (from FS Analysis)'!N190</f>
        <v>6840.4400000000005</v>
      </c>
      <c r="C38" s="174">
        <v>0</v>
      </c>
      <c r="D38" s="174">
        <f>DEP!G31</f>
        <v>680.01</v>
      </c>
      <c r="E38" s="174">
        <v>0</v>
      </c>
      <c r="F38" s="174">
        <f>'BSC (Dome)'!G28</f>
        <v>656.05</v>
      </c>
      <c r="G38" s="174">
        <v>0</v>
      </c>
      <c r="H38" s="174">
        <v>0</v>
      </c>
      <c r="I38" s="174">
        <f t="shared" si="8"/>
        <v>8176.5000000000009</v>
      </c>
      <c r="L38" s="171"/>
    </row>
    <row r="39" spans="1:12" s="169" customFormat="1" ht="30" customHeight="1" x14ac:dyDescent="0.3">
      <c r="A39" s="169" t="s">
        <v>264</v>
      </c>
      <c r="B39" s="174">
        <f>'CNT (from FS Analysis)'!N192+'CNT (from FS Analysis)'!N193</f>
        <v>3109.48</v>
      </c>
      <c r="C39" s="174">
        <v>0</v>
      </c>
      <c r="D39" s="174">
        <v>0</v>
      </c>
      <c r="E39" s="174">
        <v>0</v>
      </c>
      <c r="F39" s="174">
        <v>0</v>
      </c>
      <c r="G39" s="174">
        <v>0</v>
      </c>
      <c r="H39" s="174">
        <v>0</v>
      </c>
      <c r="I39" s="174">
        <f t="shared" si="8"/>
        <v>3109.48</v>
      </c>
      <c r="L39" s="171"/>
    </row>
    <row r="40" spans="1:12" s="169" customFormat="1" ht="30" customHeight="1" x14ac:dyDescent="0.3">
      <c r="A40" s="169" t="s">
        <v>280</v>
      </c>
      <c r="B40" s="174">
        <f>'CNT (from FS Analysis)'!N216</f>
        <v>25648.720000000001</v>
      </c>
      <c r="C40" s="174">
        <v>0</v>
      </c>
      <c r="D40" s="174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f t="shared" si="8"/>
        <v>25648.720000000001</v>
      </c>
      <c r="L40" s="171"/>
    </row>
    <row r="41" spans="1:12" s="169" customFormat="1" ht="30" customHeight="1" x14ac:dyDescent="0.3">
      <c r="A41" s="172" t="s">
        <v>265</v>
      </c>
      <c r="B41" s="175">
        <f t="shared" ref="B41:H41" si="9">SUM(B32:B40)</f>
        <v>1890616.29</v>
      </c>
      <c r="C41" s="175">
        <f t="shared" si="9"/>
        <v>0</v>
      </c>
      <c r="D41" s="175">
        <f t="shared" si="9"/>
        <v>67789.64</v>
      </c>
      <c r="E41" s="175">
        <f t="shared" si="9"/>
        <v>0</v>
      </c>
      <c r="F41" s="175">
        <f t="shared" si="9"/>
        <v>190761.59</v>
      </c>
      <c r="G41" s="175">
        <f t="shared" si="9"/>
        <v>0</v>
      </c>
      <c r="H41" s="175">
        <f t="shared" si="9"/>
        <v>0</v>
      </c>
      <c r="I41" s="175">
        <f t="shared" si="8"/>
        <v>2149167.52</v>
      </c>
      <c r="L41" s="171"/>
    </row>
    <row r="42" spans="1:12" s="169" customFormat="1" ht="30" customHeight="1" x14ac:dyDescent="0.3">
      <c r="B42" s="174"/>
      <c r="C42" s="174"/>
      <c r="D42" s="174"/>
      <c r="E42" s="174"/>
      <c r="F42" s="174"/>
      <c r="G42" s="174"/>
      <c r="H42" s="174"/>
      <c r="I42" s="174"/>
      <c r="L42" s="171"/>
    </row>
    <row r="43" spans="1:12" s="169" customFormat="1" ht="30" customHeight="1" x14ac:dyDescent="0.3">
      <c r="A43" s="172" t="s">
        <v>266</v>
      </c>
      <c r="B43" s="174"/>
      <c r="C43" s="174"/>
      <c r="D43" s="174"/>
      <c r="E43" s="174"/>
      <c r="F43" s="174"/>
      <c r="G43" s="174"/>
      <c r="H43" s="174"/>
      <c r="I43" s="174"/>
      <c r="L43" s="171"/>
    </row>
    <row r="44" spans="1:12" s="169" customFormat="1" ht="30" customHeight="1" x14ac:dyDescent="0.3">
      <c r="A44" s="169" t="s">
        <v>267</v>
      </c>
      <c r="B44" s="174">
        <f>'CNT (from FS Analysis)'!N196+'CNT (from FS Analysis)'!N197</f>
        <v>171000</v>
      </c>
      <c r="C44" s="174">
        <v>0</v>
      </c>
      <c r="D44" s="174">
        <f>DEP!G35</f>
        <v>187500</v>
      </c>
      <c r="E44" s="174">
        <v>0</v>
      </c>
      <c r="F44" s="174">
        <f>'BSC (Dome)'!G35</f>
        <v>5000</v>
      </c>
      <c r="G44" s="174">
        <v>0</v>
      </c>
      <c r="H44" s="174">
        <v>0</v>
      </c>
      <c r="I44" s="174">
        <f t="shared" ref="I44:I66" si="10">SUM(B44:H44)</f>
        <v>363500</v>
      </c>
      <c r="L44" s="171"/>
    </row>
    <row r="45" spans="1:12" s="169" customFormat="1" ht="30" customHeight="1" x14ac:dyDescent="0.3">
      <c r="A45" s="169" t="s">
        <v>268</v>
      </c>
      <c r="B45" s="174">
        <f>'CNT (from FS Analysis)'!N198</f>
        <v>15853.150000000001</v>
      </c>
      <c r="C45" s="174">
        <v>0</v>
      </c>
      <c r="D45" s="174">
        <f>DEP!G36</f>
        <v>33450.199999999997</v>
      </c>
      <c r="E45" s="174">
        <v>0</v>
      </c>
      <c r="F45" s="174">
        <f>'BSC (Dome)'!G37</f>
        <v>3703.5</v>
      </c>
      <c r="G45" s="174">
        <v>0</v>
      </c>
      <c r="H45" s="174">
        <v>0</v>
      </c>
      <c r="I45" s="174">
        <f t="shared" si="10"/>
        <v>53006.85</v>
      </c>
      <c r="L45" s="171"/>
    </row>
    <row r="46" spans="1:12" s="169" customFormat="1" ht="30" customHeight="1" x14ac:dyDescent="0.3">
      <c r="A46" s="169" t="s">
        <v>269</v>
      </c>
      <c r="B46" s="174">
        <f>'CNT (from FS Analysis)'!N199</f>
        <v>8507.1799999999985</v>
      </c>
      <c r="C46" s="174">
        <v>0</v>
      </c>
      <c r="D46" s="174">
        <v>0</v>
      </c>
      <c r="E46" s="174">
        <v>0</v>
      </c>
      <c r="F46" s="174">
        <f>'BSC (Dome)'!G36</f>
        <v>58354.85</v>
      </c>
      <c r="G46" s="174">
        <v>0</v>
      </c>
      <c r="H46" s="174">
        <v>0</v>
      </c>
      <c r="I46" s="174">
        <f t="shared" si="10"/>
        <v>66862.03</v>
      </c>
      <c r="L46" s="171"/>
    </row>
    <row r="47" spans="1:12" s="169" customFormat="1" ht="30" customHeight="1" x14ac:dyDescent="0.3">
      <c r="A47" s="169" t="s">
        <v>374</v>
      </c>
      <c r="B47" s="174">
        <f>'CNT (from FS Analysis)'!N200</f>
        <v>579.03</v>
      </c>
      <c r="C47" s="174">
        <v>0</v>
      </c>
      <c r="D47" s="174">
        <v>0</v>
      </c>
      <c r="E47" s="174">
        <v>0</v>
      </c>
      <c r="F47" s="174">
        <f>'BSC (Dome)'!G38</f>
        <v>1532.02</v>
      </c>
      <c r="G47" s="174">
        <v>0</v>
      </c>
      <c r="H47" s="174">
        <v>0</v>
      </c>
      <c r="I47" s="174">
        <f t="shared" si="10"/>
        <v>2111.0500000000002</v>
      </c>
      <c r="L47" s="171"/>
    </row>
    <row r="48" spans="1:12" s="169" customFormat="1" ht="30" customHeight="1" x14ac:dyDescent="0.3">
      <c r="A48" s="169" t="s">
        <v>327</v>
      </c>
      <c r="B48" s="174">
        <v>0</v>
      </c>
      <c r="C48" s="174">
        <v>0</v>
      </c>
      <c r="D48" s="174">
        <f>DEP!G37</f>
        <v>750</v>
      </c>
      <c r="E48" s="174">
        <v>0</v>
      </c>
      <c r="F48" s="174">
        <f>'BSC (Dome)'!G39</f>
        <v>3003.8</v>
      </c>
      <c r="G48" s="174">
        <v>0</v>
      </c>
      <c r="H48" s="174">
        <v>0</v>
      </c>
      <c r="I48" s="174">
        <f t="shared" si="10"/>
        <v>3753.8</v>
      </c>
      <c r="L48" s="171"/>
    </row>
    <row r="49" spans="1:12" s="169" customFormat="1" ht="30" customHeight="1" x14ac:dyDescent="0.3">
      <c r="A49" s="169" t="s">
        <v>270</v>
      </c>
      <c r="B49" s="174">
        <f>'CNT (from FS Analysis)'!N201</f>
        <v>14225</v>
      </c>
      <c r="C49" s="174">
        <v>0</v>
      </c>
      <c r="D49" s="174">
        <f>DEP!G38</f>
        <v>6660</v>
      </c>
      <c r="E49" s="174">
        <v>0</v>
      </c>
      <c r="F49" s="174">
        <f>'BSC (Dome)'!G40</f>
        <v>0</v>
      </c>
      <c r="G49" s="174">
        <v>0</v>
      </c>
      <c r="H49" s="174">
        <v>0</v>
      </c>
      <c r="I49" s="174">
        <f t="shared" si="10"/>
        <v>20885</v>
      </c>
      <c r="L49" s="171"/>
    </row>
    <row r="50" spans="1:12" s="169" customFormat="1" ht="30" customHeight="1" x14ac:dyDescent="0.3">
      <c r="A50" s="169" t="s">
        <v>415</v>
      </c>
      <c r="B50" s="174">
        <f>'CNT (from FS Analysis)'!N202+'CNT (from FS Analysis)'!N210</f>
        <v>56121.599999999999</v>
      </c>
      <c r="C50" s="174">
        <f>BPM!G38</f>
        <v>1511.66</v>
      </c>
      <c r="D50" s="174">
        <f>DEP!G39</f>
        <v>7404.9699999999993</v>
      </c>
      <c r="E50" s="174">
        <v>0</v>
      </c>
      <c r="F50" s="174">
        <f>'BSC (Dome)'!G41</f>
        <v>2381.98</v>
      </c>
      <c r="G50" s="174">
        <v>0</v>
      </c>
      <c r="H50" s="174">
        <v>0</v>
      </c>
      <c r="I50" s="174">
        <f t="shared" si="10"/>
        <v>67420.210000000006</v>
      </c>
      <c r="L50" s="171"/>
    </row>
    <row r="51" spans="1:12" s="169" customFormat="1" ht="30" customHeight="1" x14ac:dyDescent="0.3">
      <c r="A51" s="169" t="s">
        <v>413</v>
      </c>
      <c r="B51" s="174">
        <v>0</v>
      </c>
      <c r="C51" s="174">
        <v>0</v>
      </c>
      <c r="D51" s="174">
        <v>0</v>
      </c>
      <c r="E51" s="174">
        <v>0</v>
      </c>
      <c r="F51" s="174">
        <f>'BSC (Dome)'!G42+'BSC (Dome)'!G48</f>
        <v>6036.92</v>
      </c>
      <c r="G51" s="174">
        <v>0</v>
      </c>
      <c r="H51" s="174">
        <v>0</v>
      </c>
      <c r="I51" s="174">
        <f t="shared" si="10"/>
        <v>6036.92</v>
      </c>
      <c r="L51" s="171"/>
    </row>
    <row r="52" spans="1:12" s="169" customFormat="1" ht="30" customHeight="1" x14ac:dyDescent="0.3">
      <c r="A52" s="169" t="s">
        <v>273</v>
      </c>
      <c r="B52" s="174">
        <f>'CNT (from FS Analysis)'!N203</f>
        <v>43382.590000000011</v>
      </c>
      <c r="C52" s="174">
        <v>0</v>
      </c>
      <c r="D52" s="174">
        <f>DEP!G40</f>
        <v>26970.9</v>
      </c>
      <c r="E52" s="174">
        <v>0</v>
      </c>
      <c r="F52" s="174">
        <f>'BSC (Dome)'!G44</f>
        <v>233.66</v>
      </c>
      <c r="G52" s="174">
        <v>0</v>
      </c>
      <c r="H52" s="174">
        <v>0</v>
      </c>
      <c r="I52" s="174">
        <f t="shared" si="10"/>
        <v>70587.150000000023</v>
      </c>
      <c r="L52" s="171"/>
    </row>
    <row r="53" spans="1:12" s="169" customFormat="1" ht="30" customHeight="1" x14ac:dyDescent="0.3">
      <c r="A53" s="169" t="s">
        <v>274</v>
      </c>
      <c r="B53" s="174">
        <f>'CNT (from FS Analysis)'!N204</f>
        <v>15500</v>
      </c>
      <c r="C53" s="174">
        <v>0</v>
      </c>
      <c r="D53" s="174">
        <f>DEP!G41</f>
        <v>7274.04</v>
      </c>
      <c r="E53" s="174">
        <v>0</v>
      </c>
      <c r="F53" s="174">
        <v>0</v>
      </c>
      <c r="G53" s="174">
        <v>0</v>
      </c>
      <c r="H53" s="174">
        <v>0</v>
      </c>
      <c r="I53" s="174">
        <f t="shared" si="10"/>
        <v>22774.04</v>
      </c>
      <c r="L53" s="171"/>
    </row>
    <row r="54" spans="1:12" s="169" customFormat="1" ht="30" customHeight="1" x14ac:dyDescent="0.3">
      <c r="A54" s="169" t="s">
        <v>272</v>
      </c>
      <c r="B54" s="174">
        <f>'CNT (from FS Analysis)'!N205</f>
        <v>25484.61</v>
      </c>
      <c r="C54" s="174">
        <v>0</v>
      </c>
      <c r="D54" s="174">
        <f>DEP!G42</f>
        <v>90104.159999999989</v>
      </c>
      <c r="E54" s="174">
        <v>0</v>
      </c>
      <c r="F54" s="174">
        <f>'BSC (Dome)'!G46</f>
        <v>12122</v>
      </c>
      <c r="G54" s="174">
        <v>0</v>
      </c>
      <c r="H54" s="174">
        <v>0</v>
      </c>
      <c r="I54" s="174">
        <f t="shared" si="10"/>
        <v>127710.76999999999</v>
      </c>
      <c r="L54" s="171"/>
    </row>
    <row r="55" spans="1:12" s="169" customFormat="1" ht="30" customHeight="1" x14ac:dyDescent="0.3">
      <c r="A55" s="169" t="s">
        <v>394</v>
      </c>
      <c r="B55" s="174">
        <f>'CNT (from FS Analysis)'!N240</f>
        <v>109</v>
      </c>
      <c r="C55" s="174">
        <f>BPM!G48</f>
        <v>198.97000000000003</v>
      </c>
      <c r="D55" s="174">
        <f>DEP!G60</f>
        <v>149</v>
      </c>
      <c r="E55" s="174">
        <v>0</v>
      </c>
      <c r="F55" s="174">
        <f>'BSC (Dome)'!G47</f>
        <v>565</v>
      </c>
      <c r="G55" s="174">
        <f>'Oliari Co.'!G10</f>
        <v>520</v>
      </c>
      <c r="H55" s="174">
        <f>'722 Bedford St'!G10</f>
        <v>520</v>
      </c>
      <c r="I55" s="174">
        <f t="shared" si="10"/>
        <v>2061.9700000000003</v>
      </c>
      <c r="L55" s="171"/>
    </row>
    <row r="56" spans="1:12" s="169" customFormat="1" ht="30" customHeight="1" x14ac:dyDescent="0.3">
      <c r="A56" s="169" t="s">
        <v>397</v>
      </c>
      <c r="B56" s="174">
        <v>0</v>
      </c>
      <c r="C56" s="174">
        <v>0</v>
      </c>
      <c r="D56" s="174">
        <v>0</v>
      </c>
      <c r="E56" s="174">
        <v>0</v>
      </c>
      <c r="F56" s="174">
        <f>'BSC (Dome)'!G43</f>
        <v>9714.57</v>
      </c>
      <c r="G56" s="174">
        <v>0</v>
      </c>
      <c r="H56" s="174">
        <v>0</v>
      </c>
      <c r="I56" s="174">
        <f t="shared" si="10"/>
        <v>9714.57</v>
      </c>
      <c r="L56" s="171"/>
    </row>
    <row r="57" spans="1:12" s="169" customFormat="1" ht="30" customHeight="1" x14ac:dyDescent="0.3">
      <c r="A57" s="169" t="s">
        <v>275</v>
      </c>
      <c r="B57" s="174">
        <f>'CNT (from FS Analysis)'!N206</f>
        <v>7250.46</v>
      </c>
      <c r="C57" s="174">
        <v>0</v>
      </c>
      <c r="D57" s="174">
        <f>DEP!G43</f>
        <v>152.47</v>
      </c>
      <c r="E57" s="174">
        <v>0</v>
      </c>
      <c r="F57" s="174">
        <f>'BSC (Dome)'!G49</f>
        <v>1417.5100000000002</v>
      </c>
      <c r="G57" s="174">
        <v>0</v>
      </c>
      <c r="H57" s="174">
        <v>0</v>
      </c>
      <c r="I57" s="174">
        <f t="shared" si="10"/>
        <v>8820.44</v>
      </c>
      <c r="L57" s="171"/>
    </row>
    <row r="58" spans="1:12" s="169" customFormat="1" ht="30" customHeight="1" x14ac:dyDescent="0.3">
      <c r="A58" s="169" t="s">
        <v>276</v>
      </c>
      <c r="B58" s="174">
        <f>'CNT (from FS Analysis)'!N207</f>
        <v>2242.5</v>
      </c>
      <c r="C58" s="174">
        <v>0</v>
      </c>
      <c r="D58" s="174">
        <f>DEP!G45</f>
        <v>1786.62</v>
      </c>
      <c r="E58" s="174">
        <v>0</v>
      </c>
      <c r="F58" s="174">
        <f>0</f>
        <v>0</v>
      </c>
      <c r="G58" s="174">
        <f>0</f>
        <v>0</v>
      </c>
      <c r="H58" s="174">
        <f>0</f>
        <v>0</v>
      </c>
      <c r="I58" s="174">
        <f t="shared" si="10"/>
        <v>4029.12</v>
      </c>
      <c r="L58" s="171"/>
    </row>
    <row r="59" spans="1:12" s="169" customFormat="1" ht="30" customHeight="1" x14ac:dyDescent="0.3">
      <c r="A59" s="169" t="s">
        <v>277</v>
      </c>
      <c r="B59" s="174">
        <f>'CNT (from FS Analysis)'!N208</f>
        <v>1666.6499999999999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  <c r="I59" s="174">
        <f t="shared" si="10"/>
        <v>1666.6499999999999</v>
      </c>
      <c r="L59" s="171"/>
    </row>
    <row r="60" spans="1:12" s="169" customFormat="1" ht="30" customHeight="1" x14ac:dyDescent="0.3">
      <c r="A60" s="169" t="s">
        <v>278</v>
      </c>
      <c r="B60" s="174">
        <f>'CNT (from FS Analysis)'!N209+'CNT (from FS Analysis)'!N212</f>
        <v>593305.84</v>
      </c>
      <c r="C60" s="174">
        <f>BPM!G39</f>
        <v>1815.58</v>
      </c>
      <c r="D60" s="174">
        <f>DEP!G46</f>
        <v>51718.71</v>
      </c>
      <c r="E60" s="174">
        <v>0</v>
      </c>
      <c r="F60" s="174">
        <f>'BSC (Dome)'!G52</f>
        <v>46910.850000000006</v>
      </c>
      <c r="G60" s="174">
        <f>'Oliari Co.'!G11</f>
        <v>46256.350000000006</v>
      </c>
      <c r="H60" s="174">
        <f>'722 Bedford St'!G11</f>
        <v>73494.559999999998</v>
      </c>
      <c r="I60" s="174">
        <f t="shared" si="10"/>
        <v>813501.8899999999</v>
      </c>
      <c r="L60" s="171"/>
    </row>
    <row r="61" spans="1:12" s="169" customFormat="1" ht="30" customHeight="1" x14ac:dyDescent="0.3">
      <c r="A61" s="169" t="s">
        <v>288</v>
      </c>
      <c r="B61" s="174">
        <f>'CNT (from FS Analysis)'!N227</f>
        <v>976.74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  <c r="I61" s="174">
        <f t="shared" si="10"/>
        <v>976.74</v>
      </c>
      <c r="L61" s="171"/>
    </row>
    <row r="62" spans="1:12" s="169" customFormat="1" ht="30" customHeight="1" x14ac:dyDescent="0.3">
      <c r="A62" s="169" t="s">
        <v>281</v>
      </c>
      <c r="B62" s="174">
        <f>'CNT (from FS Analysis)'!N226</f>
        <v>8886.7899999999991</v>
      </c>
      <c r="C62" s="174">
        <v>0</v>
      </c>
      <c r="D62" s="174">
        <f>DEP!G47</f>
        <v>9106.3599999999988</v>
      </c>
      <c r="E62" s="174">
        <v>0</v>
      </c>
      <c r="F62" s="174">
        <f>'BSC (Dome)'!G53</f>
        <v>0</v>
      </c>
      <c r="G62" s="174">
        <v>0</v>
      </c>
      <c r="H62" s="174">
        <v>0</v>
      </c>
      <c r="I62" s="174">
        <f t="shared" si="10"/>
        <v>17993.149999999998</v>
      </c>
      <c r="L62" s="171"/>
    </row>
    <row r="63" spans="1:12" s="169" customFormat="1" ht="30" customHeight="1" x14ac:dyDescent="0.3">
      <c r="A63" s="169" t="s">
        <v>282</v>
      </c>
      <c r="B63" s="174">
        <f>'CNT (from FS Analysis)'!N230+'CNT (from FS Analysis)'!N211</f>
        <v>77964.349999999991</v>
      </c>
      <c r="C63" s="174">
        <v>0</v>
      </c>
      <c r="D63" s="174">
        <f>DEP!G44</f>
        <v>36452.49</v>
      </c>
      <c r="E63" s="174">
        <v>0</v>
      </c>
      <c r="F63" s="174">
        <f>0</f>
        <v>0</v>
      </c>
      <c r="G63" s="174">
        <v>0</v>
      </c>
      <c r="H63" s="174">
        <v>0</v>
      </c>
      <c r="I63" s="174">
        <f t="shared" si="10"/>
        <v>114416.84</v>
      </c>
      <c r="L63" s="171"/>
    </row>
    <row r="64" spans="1:12" s="169" customFormat="1" ht="30" customHeight="1" x14ac:dyDescent="0.3">
      <c r="A64" s="169" t="s">
        <v>407</v>
      </c>
      <c r="B64" s="174">
        <v>0</v>
      </c>
      <c r="C64" s="174">
        <v>0</v>
      </c>
      <c r="D64" s="174">
        <f>DEP!G48</f>
        <v>4420.04</v>
      </c>
      <c r="E64" s="174">
        <v>0</v>
      </c>
      <c r="F64" s="174">
        <f>'BSC (Dome)'!G54</f>
        <v>2372.79</v>
      </c>
      <c r="G64" s="174">
        <v>0</v>
      </c>
      <c r="H64" s="174">
        <v>0</v>
      </c>
      <c r="I64" s="174">
        <f t="shared" si="10"/>
        <v>6792.83</v>
      </c>
      <c r="L64" s="171"/>
    </row>
    <row r="65" spans="1:12" s="169" customFormat="1" ht="30" customHeight="1" x14ac:dyDescent="0.3">
      <c r="A65" s="169" t="s">
        <v>408</v>
      </c>
      <c r="B65" s="174">
        <f>'CNT (from FS Analysis)'!N235</f>
        <v>8995.09</v>
      </c>
      <c r="C65" s="174">
        <f>BPM!G45</f>
        <v>2018.48</v>
      </c>
      <c r="D65" s="174">
        <f>DEP!G49</f>
        <v>920.12</v>
      </c>
      <c r="E65" s="174">
        <v>0</v>
      </c>
      <c r="F65" s="174">
        <f>'BSC (Dome)'!G55</f>
        <v>3207.52</v>
      </c>
      <c r="G65" s="174">
        <v>0</v>
      </c>
      <c r="H65" s="174">
        <v>0</v>
      </c>
      <c r="I65" s="174">
        <f t="shared" si="10"/>
        <v>15141.210000000001</v>
      </c>
      <c r="L65" s="171"/>
    </row>
    <row r="66" spans="1:12" s="169" customFormat="1" ht="30" customHeight="1" x14ac:dyDescent="0.3">
      <c r="A66" s="172" t="s">
        <v>283</v>
      </c>
      <c r="B66" s="175">
        <f>SUM(B44:B65)</f>
        <v>1052050.58</v>
      </c>
      <c r="C66" s="175">
        <f t="shared" ref="C66:F66" si="11">SUM(C44:C65)</f>
        <v>5544.6900000000005</v>
      </c>
      <c r="D66" s="175">
        <f t="shared" si="11"/>
        <v>464820.0799999999</v>
      </c>
      <c r="E66" s="175">
        <f t="shared" si="11"/>
        <v>0</v>
      </c>
      <c r="F66" s="175">
        <f t="shared" si="11"/>
        <v>156556.97000000003</v>
      </c>
      <c r="G66" s="175">
        <f t="shared" ref="G66:H66" si="12">SUM(G44:G65)</f>
        <v>46776.350000000006</v>
      </c>
      <c r="H66" s="175">
        <f t="shared" si="12"/>
        <v>74014.559999999998</v>
      </c>
      <c r="I66" s="175">
        <f t="shared" si="10"/>
        <v>1799763.23</v>
      </c>
      <c r="L66" s="171"/>
    </row>
    <row r="67" spans="1:12" s="169" customFormat="1" ht="30" customHeight="1" x14ac:dyDescent="0.3">
      <c r="B67" s="174"/>
      <c r="C67" s="174"/>
      <c r="D67" s="174"/>
      <c r="E67" s="174"/>
      <c r="F67" s="174"/>
      <c r="G67" s="174"/>
      <c r="H67" s="174"/>
      <c r="I67" s="174">
        <f>SUM(B67:F67)</f>
        <v>0</v>
      </c>
      <c r="L67" s="171"/>
    </row>
    <row r="68" spans="1:12" s="169" customFormat="1" ht="30" customHeight="1" x14ac:dyDescent="0.3">
      <c r="A68" s="172" t="s">
        <v>284</v>
      </c>
      <c r="B68" s="174"/>
      <c r="C68" s="174"/>
      <c r="D68" s="174"/>
      <c r="E68" s="174"/>
      <c r="F68" s="174"/>
      <c r="G68" s="174"/>
      <c r="H68" s="174"/>
      <c r="I68" s="174">
        <f>SUM(B68:F68)</f>
        <v>0</v>
      </c>
      <c r="L68" s="171"/>
    </row>
    <row r="69" spans="1:12" s="169" customFormat="1" ht="30" customHeight="1" x14ac:dyDescent="0.3">
      <c r="A69" s="169" t="s">
        <v>285</v>
      </c>
      <c r="B69" s="174">
        <f>'CNT (from FS Analysis)'!N217</f>
        <v>4648.83</v>
      </c>
      <c r="C69" s="174">
        <v>0</v>
      </c>
      <c r="D69" s="174">
        <f>DEP!G53</f>
        <v>848.35</v>
      </c>
      <c r="E69" s="174">
        <v>0</v>
      </c>
      <c r="F69" s="174">
        <f>'BSC (Dome)'!G59</f>
        <v>2033.72</v>
      </c>
      <c r="G69" s="174">
        <v>0</v>
      </c>
      <c r="H69" s="174">
        <v>0</v>
      </c>
      <c r="I69" s="174">
        <f t="shared" ref="I69:I87" si="13">SUM(B69:H69)</f>
        <v>7530.9000000000005</v>
      </c>
      <c r="L69" s="171"/>
    </row>
    <row r="70" spans="1:12" s="169" customFormat="1" ht="30" customHeight="1" x14ac:dyDescent="0.3">
      <c r="A70" s="169" t="s">
        <v>286</v>
      </c>
      <c r="B70" s="174">
        <f>'CNT (from FS Analysis)'!N218</f>
        <v>55704.789999999994</v>
      </c>
      <c r="C70" s="174">
        <f>BPM!G43</f>
        <v>3512.39</v>
      </c>
      <c r="D70" s="174">
        <f>DEP!G54</f>
        <v>3628.9700000000003</v>
      </c>
      <c r="E70" s="174">
        <f>Lending!G9</f>
        <v>1091.81</v>
      </c>
      <c r="F70" s="174">
        <f>'BSC (Dome)'!G60</f>
        <v>1883.05</v>
      </c>
      <c r="G70" s="174">
        <v>0</v>
      </c>
      <c r="H70" s="174">
        <f>'722 Bedford St'!G16</f>
        <v>402.15</v>
      </c>
      <c r="I70" s="174">
        <f t="shared" si="13"/>
        <v>66223.159999999989</v>
      </c>
      <c r="L70" s="171"/>
    </row>
    <row r="71" spans="1:12" s="169" customFormat="1" ht="30" customHeight="1" x14ac:dyDescent="0.3">
      <c r="A71" s="169" t="s">
        <v>401</v>
      </c>
      <c r="B71" s="174">
        <v>0</v>
      </c>
      <c r="C71" s="174">
        <v>0</v>
      </c>
      <c r="D71" s="174">
        <v>0</v>
      </c>
      <c r="E71" s="174">
        <v>0</v>
      </c>
      <c r="F71" s="174">
        <f>'BSC (Dome)'!G61</f>
        <v>2445.9100000000003</v>
      </c>
      <c r="G71" s="174">
        <v>0</v>
      </c>
      <c r="H71" s="174">
        <v>0</v>
      </c>
      <c r="I71" s="174">
        <f t="shared" si="13"/>
        <v>2445.9100000000003</v>
      </c>
      <c r="L71" s="171"/>
    </row>
    <row r="72" spans="1:12" s="169" customFormat="1" ht="30" customHeight="1" x14ac:dyDescent="0.3">
      <c r="A72" s="169" t="s">
        <v>287</v>
      </c>
      <c r="B72" s="174">
        <f>'CNT (from FS Analysis)'!N220</f>
        <v>3578.83</v>
      </c>
      <c r="C72" s="174">
        <v>0</v>
      </c>
      <c r="D72" s="174">
        <v>0</v>
      </c>
      <c r="E72" s="174">
        <f>Lending!G10</f>
        <v>109</v>
      </c>
      <c r="F72" s="174">
        <f>'BSC (Dome)'!G65</f>
        <v>975.56000000000006</v>
      </c>
      <c r="G72" s="174">
        <v>0</v>
      </c>
      <c r="H72" s="174">
        <v>0</v>
      </c>
      <c r="I72" s="174">
        <f t="shared" si="13"/>
        <v>4663.3900000000003</v>
      </c>
      <c r="L72" s="171"/>
    </row>
    <row r="73" spans="1:12" s="169" customFormat="1" ht="30" customHeight="1" x14ac:dyDescent="0.3">
      <c r="A73" s="169" t="s">
        <v>398</v>
      </c>
      <c r="B73" s="174">
        <f>'CNT (from FS Analysis)'!N237</f>
        <v>144000</v>
      </c>
      <c r="C73" s="174">
        <f>BPM!G46</f>
        <v>15000</v>
      </c>
      <c r="D73" s="174">
        <f>DEP!G57</f>
        <v>25000</v>
      </c>
      <c r="E73" s="174">
        <v>0</v>
      </c>
      <c r="F73" s="174">
        <f>'BSC (Dome)'!G66</f>
        <v>2750</v>
      </c>
      <c r="G73" s="174">
        <f>'Oliari Co.'!G15</f>
        <v>1325</v>
      </c>
      <c r="H73" s="174">
        <v>0</v>
      </c>
      <c r="I73" s="174">
        <f t="shared" si="13"/>
        <v>188075</v>
      </c>
      <c r="L73" s="171"/>
    </row>
    <row r="74" spans="1:12" s="169" customFormat="1" ht="30" customHeight="1" x14ac:dyDescent="0.3">
      <c r="A74" s="169" t="s">
        <v>399</v>
      </c>
      <c r="B74" s="174">
        <f>'CNT (from FS Analysis)'!N238</f>
        <v>38000</v>
      </c>
      <c r="C74" s="174">
        <f>BPM!G47</f>
        <v>18750</v>
      </c>
      <c r="D74" s="174">
        <f>DEP!G58</f>
        <v>11250</v>
      </c>
      <c r="E74" s="174">
        <v>0</v>
      </c>
      <c r="F74" s="174">
        <f>'BSC (Dome)'!G67</f>
        <v>7500</v>
      </c>
      <c r="G74" s="174">
        <v>0</v>
      </c>
      <c r="H74" s="174">
        <v>0</v>
      </c>
      <c r="I74" s="174">
        <f t="shared" si="13"/>
        <v>75500</v>
      </c>
      <c r="L74" s="171"/>
    </row>
    <row r="75" spans="1:12" s="169" customFormat="1" ht="30" customHeight="1" x14ac:dyDescent="0.3">
      <c r="A75" s="169" t="s">
        <v>400</v>
      </c>
      <c r="B75" s="174">
        <f>'CNT (from FS Analysis)'!N236</f>
        <v>13177.4</v>
      </c>
      <c r="C75" s="174">
        <v>0</v>
      </c>
      <c r="D75" s="174">
        <v>0</v>
      </c>
      <c r="E75" s="174">
        <f>-Lending!G16</f>
        <v>1250</v>
      </c>
      <c r="F75" s="174">
        <v>0</v>
      </c>
      <c r="G75" s="174">
        <v>0</v>
      </c>
      <c r="H75" s="174">
        <v>0</v>
      </c>
      <c r="I75" s="174">
        <f t="shared" si="13"/>
        <v>14427.4</v>
      </c>
      <c r="L75" s="171"/>
    </row>
    <row r="76" spans="1:12" s="169" customFormat="1" ht="30" customHeight="1" x14ac:dyDescent="0.3">
      <c r="A76" s="169" t="s">
        <v>445</v>
      </c>
      <c r="B76" s="174">
        <f>'CNT (from FS Analysis)'!N239</f>
        <v>13455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f t="shared" si="13"/>
        <v>13455</v>
      </c>
      <c r="L76" s="171"/>
    </row>
    <row r="77" spans="1:12" s="169" customFormat="1" ht="30" customHeight="1" x14ac:dyDescent="0.3">
      <c r="A77" s="169" t="s">
        <v>429</v>
      </c>
      <c r="B77" s="174">
        <v>0</v>
      </c>
      <c r="C77" s="174">
        <v>0</v>
      </c>
      <c r="D77" s="174">
        <f>DEP!G59</f>
        <v>3958.3399999999997</v>
      </c>
      <c r="E77" s="174">
        <v>0</v>
      </c>
      <c r="F77" s="174">
        <v>0</v>
      </c>
      <c r="G77" s="174">
        <v>0</v>
      </c>
      <c r="H77" s="174">
        <v>0</v>
      </c>
      <c r="I77" s="174">
        <f t="shared" si="13"/>
        <v>3958.3399999999997</v>
      </c>
      <c r="L77" s="171"/>
    </row>
    <row r="78" spans="1:12" s="169" customFormat="1" ht="30" customHeight="1" x14ac:dyDescent="0.3">
      <c r="A78" s="169" t="s">
        <v>289</v>
      </c>
      <c r="B78" s="174">
        <f>'CNT (from FS Analysis)'!N224+'CNT (from FS Analysis)'!N241</f>
        <v>8077.76</v>
      </c>
      <c r="C78" s="174">
        <v>0</v>
      </c>
      <c r="D78" s="174">
        <f>DEP!G56</f>
        <v>1250</v>
      </c>
      <c r="E78" s="174">
        <v>0</v>
      </c>
      <c r="F78" s="174">
        <f>'BSC (Dome)'!G63</f>
        <v>796.8599999999999</v>
      </c>
      <c r="G78" s="174">
        <v>0</v>
      </c>
      <c r="H78" s="174">
        <v>0</v>
      </c>
      <c r="I78" s="174">
        <f t="shared" si="13"/>
        <v>10124.620000000001</v>
      </c>
      <c r="L78" s="171"/>
    </row>
    <row r="79" spans="1:12" s="169" customFormat="1" ht="30" customHeight="1" x14ac:dyDescent="0.3">
      <c r="A79" s="169" t="s">
        <v>290</v>
      </c>
      <c r="B79" s="174">
        <f>'CNT (from FS Analysis)'!N228</f>
        <v>18458.87</v>
      </c>
      <c r="C79" s="174">
        <f>BPM!G44</f>
        <v>587.5</v>
      </c>
      <c r="D79" s="174">
        <f>DEP!G61</f>
        <v>577.5</v>
      </c>
      <c r="E79" s="174">
        <v>0</v>
      </c>
      <c r="F79" s="174">
        <v>0</v>
      </c>
      <c r="G79" s="174">
        <v>0</v>
      </c>
      <c r="H79" s="174">
        <v>0</v>
      </c>
      <c r="I79" s="174">
        <f t="shared" si="13"/>
        <v>19623.87</v>
      </c>
      <c r="L79" s="171"/>
    </row>
    <row r="80" spans="1:12" s="169" customFormat="1" ht="30" customHeight="1" x14ac:dyDescent="0.3">
      <c r="A80" s="169" t="s">
        <v>291</v>
      </c>
      <c r="B80" s="174">
        <f>'CNT (from FS Analysis)'!N229</f>
        <v>13431.93</v>
      </c>
      <c r="C80" s="174">
        <f>0</f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  <c r="I80" s="174">
        <f t="shared" si="13"/>
        <v>13431.93</v>
      </c>
      <c r="L80" s="171"/>
    </row>
    <row r="81" spans="1:12" s="169" customFormat="1" ht="30" customHeight="1" x14ac:dyDescent="0.3">
      <c r="A81" s="169" t="s">
        <v>331</v>
      </c>
      <c r="B81" s="174">
        <v>0</v>
      </c>
      <c r="C81" s="174">
        <f>0</f>
        <v>0</v>
      </c>
      <c r="D81" s="174">
        <f>DEP!G55</f>
        <v>300</v>
      </c>
      <c r="E81" s="174">
        <v>0</v>
      </c>
      <c r="F81" s="174">
        <f>'BSC (Dome)'!G62</f>
        <v>1600</v>
      </c>
      <c r="G81" s="174">
        <v>0</v>
      </c>
      <c r="H81" s="174">
        <v>0</v>
      </c>
      <c r="I81" s="174">
        <f t="shared" si="13"/>
        <v>1900</v>
      </c>
      <c r="L81" s="171"/>
    </row>
    <row r="82" spans="1:12" s="169" customFormat="1" ht="30" customHeight="1" x14ac:dyDescent="0.3">
      <c r="A82" s="169" t="s">
        <v>416</v>
      </c>
      <c r="B82" s="174">
        <v>0</v>
      </c>
      <c r="C82" s="174">
        <v>0</v>
      </c>
      <c r="D82" s="174">
        <v>0</v>
      </c>
      <c r="E82" s="174">
        <v>0</v>
      </c>
      <c r="F82" s="174">
        <f>'BSC (Dome)'!G64</f>
        <v>10329.9</v>
      </c>
      <c r="G82" s="174">
        <v>0</v>
      </c>
      <c r="H82" s="174">
        <v>0</v>
      </c>
      <c r="I82" s="174">
        <f t="shared" si="13"/>
        <v>10329.9</v>
      </c>
      <c r="L82" s="171"/>
    </row>
    <row r="83" spans="1:12" s="169" customFormat="1" ht="30" customHeight="1" x14ac:dyDescent="0.3">
      <c r="A83" s="169" t="s">
        <v>292</v>
      </c>
      <c r="B83" s="174">
        <f>'CNT (from FS Analysis)'!N231</f>
        <v>13386.65</v>
      </c>
      <c r="C83" s="174">
        <f>0</f>
        <v>0</v>
      </c>
      <c r="D83" s="174">
        <f>0</f>
        <v>0</v>
      </c>
      <c r="E83" s="174">
        <v>0</v>
      </c>
      <c r="F83" s="174">
        <v>0</v>
      </c>
      <c r="G83" s="174">
        <v>0</v>
      </c>
      <c r="H83" s="174">
        <v>0</v>
      </c>
      <c r="I83" s="174">
        <f t="shared" si="13"/>
        <v>13386.65</v>
      </c>
      <c r="L83" s="171"/>
    </row>
    <row r="84" spans="1:12" s="169" customFormat="1" ht="30" customHeight="1" x14ac:dyDescent="0.3">
      <c r="A84" s="169" t="s">
        <v>293</v>
      </c>
      <c r="B84" s="174">
        <f>'CNT (from FS Analysis)'!N232</f>
        <v>15545.550000000001</v>
      </c>
      <c r="C84" s="174">
        <v>0</v>
      </c>
      <c r="D84" s="174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f t="shared" si="13"/>
        <v>15545.550000000001</v>
      </c>
      <c r="L84" s="171"/>
    </row>
    <row r="85" spans="1:12" s="169" customFormat="1" ht="30" customHeight="1" x14ac:dyDescent="0.3">
      <c r="A85" s="169" t="s">
        <v>294</v>
      </c>
      <c r="B85" s="174">
        <f>'CNT (from FS Analysis)'!N233</f>
        <v>3295.27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f t="shared" si="13"/>
        <v>3295.27</v>
      </c>
      <c r="L85" s="171"/>
    </row>
    <row r="86" spans="1:12" s="169" customFormat="1" ht="30" customHeight="1" x14ac:dyDescent="0.3">
      <c r="A86" s="169" t="s">
        <v>295</v>
      </c>
      <c r="B86" s="174">
        <f>'CNT (from FS Analysis)'!N234</f>
        <v>8245.32</v>
      </c>
      <c r="C86" s="174">
        <v>0</v>
      </c>
      <c r="D86" s="174">
        <v>0</v>
      </c>
      <c r="E86" s="174">
        <v>0</v>
      </c>
      <c r="F86" s="174">
        <v>0</v>
      </c>
      <c r="G86" s="174">
        <v>0</v>
      </c>
      <c r="H86" s="174">
        <v>0</v>
      </c>
      <c r="I86" s="174">
        <f t="shared" si="13"/>
        <v>8245.32</v>
      </c>
      <c r="L86" s="171"/>
    </row>
    <row r="87" spans="1:12" s="169" customFormat="1" ht="30" customHeight="1" x14ac:dyDescent="0.3">
      <c r="A87" s="172" t="s">
        <v>297</v>
      </c>
      <c r="B87" s="175">
        <f>SUM(B69:B86)</f>
        <v>353006.2</v>
      </c>
      <c r="C87" s="175">
        <f t="shared" ref="C87:F87" si="14">SUM(C69:C86)</f>
        <v>37849.89</v>
      </c>
      <c r="D87" s="175">
        <f t="shared" si="14"/>
        <v>46813.159999999996</v>
      </c>
      <c r="E87" s="175">
        <f t="shared" si="14"/>
        <v>2450.81</v>
      </c>
      <c r="F87" s="175">
        <f t="shared" si="14"/>
        <v>30315</v>
      </c>
      <c r="G87" s="175">
        <f t="shared" ref="G87:H87" si="15">SUM(G69:G86)</f>
        <v>1325</v>
      </c>
      <c r="H87" s="175">
        <f t="shared" si="15"/>
        <v>402.15</v>
      </c>
      <c r="I87" s="175">
        <f t="shared" si="13"/>
        <v>472162.21</v>
      </c>
      <c r="L87" s="171"/>
    </row>
    <row r="88" spans="1:12" s="169" customFormat="1" ht="30" customHeight="1" x14ac:dyDescent="0.3">
      <c r="B88" s="174"/>
      <c r="C88" s="174"/>
      <c r="D88" s="174"/>
      <c r="E88" s="174"/>
      <c r="F88" s="174"/>
      <c r="G88" s="174"/>
      <c r="H88" s="174"/>
      <c r="I88" s="174">
        <f>SUM(B88:F88)</f>
        <v>0</v>
      </c>
      <c r="L88" s="171"/>
    </row>
    <row r="89" spans="1:12" s="169" customFormat="1" ht="30" customHeight="1" thickBot="1" x14ac:dyDescent="0.35">
      <c r="A89" s="172" t="s">
        <v>298</v>
      </c>
      <c r="B89" s="176">
        <f>B41+B66+B87</f>
        <v>3295673.0700000003</v>
      </c>
      <c r="C89" s="176">
        <f t="shared" ref="C89:F89" si="16">C41+C66+C87</f>
        <v>43394.58</v>
      </c>
      <c r="D89" s="176">
        <f t="shared" si="16"/>
        <v>579422.87999999989</v>
      </c>
      <c r="E89" s="176">
        <f t="shared" si="16"/>
        <v>2450.81</v>
      </c>
      <c r="F89" s="176">
        <f t="shared" si="16"/>
        <v>377633.56000000006</v>
      </c>
      <c r="G89" s="176">
        <f t="shared" ref="G89:H89" si="17">G41+G66+G87</f>
        <v>48101.350000000006</v>
      </c>
      <c r="H89" s="176">
        <f t="shared" si="17"/>
        <v>74416.709999999992</v>
      </c>
      <c r="I89" s="176">
        <f>SUM(B89:H89)</f>
        <v>4421092.96</v>
      </c>
      <c r="L89" s="171"/>
    </row>
    <row r="90" spans="1:12" s="169" customFormat="1" ht="30" customHeight="1" x14ac:dyDescent="0.3">
      <c r="B90" s="174"/>
      <c r="C90" s="174"/>
      <c r="D90" s="174"/>
      <c r="E90" s="174"/>
      <c r="F90" s="174"/>
      <c r="G90" s="174"/>
      <c r="H90" s="174"/>
      <c r="I90" s="174"/>
      <c r="L90" s="171"/>
    </row>
    <row r="91" spans="1:12" s="169" customFormat="1" ht="30" customHeight="1" x14ac:dyDescent="0.3">
      <c r="A91" s="172" t="s">
        <v>469</v>
      </c>
      <c r="B91" s="174"/>
      <c r="C91" s="174"/>
      <c r="D91" s="174"/>
      <c r="E91" s="174"/>
      <c r="F91" s="174"/>
      <c r="G91" s="174"/>
      <c r="H91" s="174"/>
      <c r="I91" s="174"/>
      <c r="L91" s="171"/>
    </row>
    <row r="92" spans="1:12" s="169" customFormat="1" ht="30" customHeight="1" x14ac:dyDescent="0.3">
      <c r="A92" s="169" t="s">
        <v>301</v>
      </c>
      <c r="B92" s="174">
        <f>'CNT (from FS Analysis)'!N245</f>
        <v>62500</v>
      </c>
      <c r="C92" s="174">
        <v>0</v>
      </c>
      <c r="D92" s="174">
        <f>DEP!G67</f>
        <v>62500</v>
      </c>
      <c r="E92" s="174">
        <v>0</v>
      </c>
      <c r="F92" s="174">
        <f>'BSC (Dome)'!G75+'BSC (Dome)'!G76</f>
        <v>29000</v>
      </c>
      <c r="G92" s="174">
        <f>'Oliari Co.'!G21+'Oliari Co.'!G22</f>
        <v>88500</v>
      </c>
      <c r="H92" s="174">
        <v>0</v>
      </c>
      <c r="I92" s="174">
        <f t="shared" ref="I92:I102" si="18">SUM(B92:H92)</f>
        <v>242500</v>
      </c>
      <c r="L92" s="171"/>
    </row>
    <row r="93" spans="1:12" s="169" customFormat="1" ht="30" customHeight="1" x14ac:dyDescent="0.3">
      <c r="A93" s="169" t="s">
        <v>302</v>
      </c>
      <c r="B93" s="174">
        <f>'CNT (from FS Analysis)'!N246</f>
        <v>172148.75</v>
      </c>
      <c r="C93" s="174">
        <v>0</v>
      </c>
      <c r="D93" s="174">
        <v>0</v>
      </c>
      <c r="E93" s="174">
        <v>0</v>
      </c>
      <c r="F93" s="174">
        <v>0</v>
      </c>
      <c r="G93" s="174">
        <v>0</v>
      </c>
      <c r="H93" s="174">
        <v>0</v>
      </c>
      <c r="I93" s="174">
        <f t="shared" si="18"/>
        <v>172148.75</v>
      </c>
      <c r="L93" s="171"/>
    </row>
    <row r="94" spans="1:12" s="169" customFormat="1" ht="30" customHeight="1" x14ac:dyDescent="0.3">
      <c r="A94" s="169" t="s">
        <v>363</v>
      </c>
      <c r="B94" s="174">
        <v>0</v>
      </c>
      <c r="C94" s="174">
        <f>-BPM!G52</f>
        <v>-172148.75</v>
      </c>
      <c r="D94" s="174">
        <v>0</v>
      </c>
      <c r="E94" s="174">
        <v>0</v>
      </c>
      <c r="F94" s="174">
        <v>0</v>
      </c>
      <c r="G94" s="174">
        <v>0</v>
      </c>
      <c r="H94" s="174">
        <v>0</v>
      </c>
      <c r="I94" s="174">
        <f t="shared" si="18"/>
        <v>-172148.75</v>
      </c>
      <c r="L94" s="171"/>
    </row>
    <row r="95" spans="1:12" s="169" customFormat="1" ht="30" customHeight="1" x14ac:dyDescent="0.3">
      <c r="A95" s="169" t="s">
        <v>425</v>
      </c>
      <c r="B95" s="174">
        <f>'CNT (from FS Analysis)'!N247</f>
        <v>31752.38</v>
      </c>
      <c r="C95" s="174">
        <f>-BPM!G53</f>
        <v>-31752.38</v>
      </c>
      <c r="D95" s="174">
        <v>0</v>
      </c>
      <c r="E95" s="174">
        <v>0</v>
      </c>
      <c r="F95" s="174">
        <v>0</v>
      </c>
      <c r="G95" s="174">
        <v>0</v>
      </c>
      <c r="H95" s="174">
        <v>0</v>
      </c>
      <c r="I95" s="174">
        <f t="shared" si="18"/>
        <v>0</v>
      </c>
      <c r="L95" s="171"/>
    </row>
    <row r="96" spans="1:12" s="169" customFormat="1" ht="30" customHeight="1" x14ac:dyDescent="0.3">
      <c r="A96" s="169" t="s">
        <v>303</v>
      </c>
      <c r="B96" s="174">
        <f>'CNT (from FS Analysis)'!N248</f>
        <v>65930</v>
      </c>
      <c r="C96" s="174">
        <v>0</v>
      </c>
      <c r="D96" s="174">
        <v>0</v>
      </c>
      <c r="E96" s="174">
        <v>0</v>
      </c>
      <c r="F96" s="174">
        <v>0</v>
      </c>
      <c r="G96" s="174">
        <v>0</v>
      </c>
      <c r="H96" s="174">
        <v>0</v>
      </c>
      <c r="I96" s="174">
        <f t="shared" si="18"/>
        <v>65930</v>
      </c>
      <c r="L96" s="171"/>
    </row>
    <row r="97" spans="1:12" s="169" customFormat="1" ht="30" customHeight="1" x14ac:dyDescent="0.3">
      <c r="A97" s="169" t="s">
        <v>304</v>
      </c>
      <c r="B97" s="174">
        <f>'CNT (from FS Analysis)'!N249</f>
        <v>118539.97</v>
      </c>
      <c r="C97" s="174">
        <f>-BPM!G54</f>
        <v>5253.0599999999995</v>
      </c>
      <c r="D97" s="174">
        <f>DEP!G68</f>
        <v>12791.05</v>
      </c>
      <c r="E97" s="174">
        <f>Lending!G14</f>
        <v>15650.05</v>
      </c>
      <c r="F97" s="174">
        <v>0</v>
      </c>
      <c r="G97" s="174">
        <f>'Oliari Co.'!G24</f>
        <v>18277.920000000002</v>
      </c>
      <c r="H97" s="174">
        <v>0</v>
      </c>
      <c r="I97" s="174">
        <f t="shared" si="18"/>
        <v>170512.05</v>
      </c>
      <c r="L97" s="171"/>
    </row>
    <row r="98" spans="1:12" s="169" customFormat="1" ht="30" customHeight="1" x14ac:dyDescent="0.3">
      <c r="A98" s="169" t="s">
        <v>305</v>
      </c>
      <c r="B98" s="174">
        <f>'CNT (from FS Analysis)'!N250</f>
        <v>-76457.739999999991</v>
      </c>
      <c r="C98" s="174">
        <v>0</v>
      </c>
      <c r="D98" s="174">
        <v>0</v>
      </c>
      <c r="E98" s="174">
        <f>Lending!G15</f>
        <v>-2772.08</v>
      </c>
      <c r="F98" s="174">
        <f>'BSC (Dome)'!G78+'BSC (Dome)'!G79</f>
        <v>-48571.47</v>
      </c>
      <c r="G98" s="174">
        <f>'Oliari Co.'!G25</f>
        <v>-4304.6499999999996</v>
      </c>
      <c r="H98" s="174">
        <v>0</v>
      </c>
      <c r="I98" s="174">
        <f t="shared" si="18"/>
        <v>-132105.94</v>
      </c>
      <c r="L98" s="171"/>
    </row>
    <row r="99" spans="1:12" s="169" customFormat="1" ht="30" customHeight="1" x14ac:dyDescent="0.3">
      <c r="A99" s="169" t="s">
        <v>306</v>
      </c>
      <c r="B99" s="174">
        <f>'CNT (from FS Analysis)'!N251</f>
        <v>0.1</v>
      </c>
      <c r="C99" s="174">
        <v>0</v>
      </c>
      <c r="D99" s="174">
        <v>0</v>
      </c>
      <c r="E99" s="174"/>
      <c r="F99" s="174">
        <f>'BSC (Dome)'!G77</f>
        <v>1833.08</v>
      </c>
      <c r="G99" s="174">
        <f>'Oliari Co.'!G23</f>
        <v>1.01</v>
      </c>
      <c r="H99" s="174">
        <v>0</v>
      </c>
      <c r="I99" s="174">
        <f t="shared" si="18"/>
        <v>1834.1899999999998</v>
      </c>
      <c r="L99" s="171"/>
    </row>
    <row r="100" spans="1:12" s="169" customFormat="1" ht="30" customHeight="1" x14ac:dyDescent="0.3">
      <c r="A100" s="169" t="s">
        <v>446</v>
      </c>
      <c r="B100" s="174">
        <f>'CNT (from FS Analysis)'!N252</f>
        <v>2087.77</v>
      </c>
      <c r="C100" s="174">
        <v>0</v>
      </c>
      <c r="D100" s="174">
        <v>0</v>
      </c>
      <c r="E100" s="174">
        <v>0</v>
      </c>
      <c r="F100" s="174">
        <v>0</v>
      </c>
      <c r="G100" s="174">
        <v>0</v>
      </c>
      <c r="H100" s="174">
        <v>0</v>
      </c>
      <c r="I100" s="174">
        <f t="shared" si="18"/>
        <v>2087.77</v>
      </c>
      <c r="L100" s="171"/>
    </row>
    <row r="101" spans="1:12" s="169" customFormat="1" ht="30" customHeight="1" x14ac:dyDescent="0.3">
      <c r="A101" s="169" t="s">
        <v>447</v>
      </c>
      <c r="B101" s="174">
        <f>'CNT (from FS Analysis)'!N253</f>
        <v>7848.21</v>
      </c>
      <c r="C101" s="174">
        <v>0</v>
      </c>
      <c r="D101" s="174">
        <v>0</v>
      </c>
      <c r="E101" s="174">
        <v>0</v>
      </c>
      <c r="F101" s="174">
        <v>0</v>
      </c>
      <c r="G101" s="174">
        <v>0</v>
      </c>
      <c r="H101" s="174">
        <v>0</v>
      </c>
      <c r="I101" s="174">
        <f t="shared" si="18"/>
        <v>7848.21</v>
      </c>
      <c r="L101" s="171"/>
    </row>
    <row r="102" spans="1:12" s="169" customFormat="1" ht="30" customHeight="1" x14ac:dyDescent="0.3">
      <c r="A102" s="172" t="s">
        <v>470</v>
      </c>
      <c r="B102" s="175">
        <f>SUM(B92:B101)</f>
        <v>384349.44</v>
      </c>
      <c r="C102" s="175">
        <f t="shared" ref="C102:F102" si="19">SUM(C92:C101)</f>
        <v>-198648.07</v>
      </c>
      <c r="D102" s="175">
        <f t="shared" si="19"/>
        <v>75291.05</v>
      </c>
      <c r="E102" s="175">
        <f t="shared" si="19"/>
        <v>12877.97</v>
      </c>
      <c r="F102" s="175">
        <f t="shared" si="19"/>
        <v>-17738.39</v>
      </c>
      <c r="G102" s="175">
        <f t="shared" ref="G102:H102" si="20">SUM(G92:G101)</f>
        <v>102474.28</v>
      </c>
      <c r="H102" s="175">
        <f t="shared" si="20"/>
        <v>0</v>
      </c>
      <c r="I102" s="175">
        <f t="shared" si="18"/>
        <v>358606.27999999991</v>
      </c>
      <c r="L102" s="171"/>
    </row>
    <row r="103" spans="1:12" s="169" customFormat="1" ht="30" customHeight="1" x14ac:dyDescent="0.3">
      <c r="A103" s="172"/>
      <c r="B103" s="174"/>
      <c r="C103" s="174"/>
      <c r="D103" s="174"/>
      <c r="E103" s="174"/>
      <c r="F103" s="174"/>
      <c r="G103" s="174"/>
      <c r="H103" s="174"/>
      <c r="I103" s="174">
        <f>SUM(B103:F103)</f>
        <v>0</v>
      </c>
      <c r="L103" s="171"/>
    </row>
    <row r="104" spans="1:12" s="169" customFormat="1" ht="30" customHeight="1" thickBot="1" x14ac:dyDescent="0.35">
      <c r="A104" s="172" t="s">
        <v>300</v>
      </c>
      <c r="B104" s="177">
        <f t="shared" ref="B104:H104" si="21">B27-B89+B102</f>
        <v>44839.90999948472</v>
      </c>
      <c r="C104" s="177">
        <f t="shared" si="21"/>
        <v>169575.52999999595</v>
      </c>
      <c r="D104" s="177">
        <f t="shared" si="21"/>
        <v>300509.56000000023</v>
      </c>
      <c r="E104" s="177">
        <f t="shared" si="21"/>
        <v>10427.16</v>
      </c>
      <c r="F104" s="177">
        <f t="shared" si="21"/>
        <v>109237.00999999997</v>
      </c>
      <c r="G104" s="177">
        <f t="shared" ref="G104" si="22">G27-G89+G102</f>
        <v>54372.929999999993</v>
      </c>
      <c r="H104" s="177">
        <f t="shared" si="21"/>
        <v>-74416.709999999992</v>
      </c>
      <c r="I104" s="177">
        <f>SUM(B104:H104)</f>
        <v>614545.38999948092</v>
      </c>
      <c r="L104" s="171"/>
    </row>
    <row r="105" spans="1:12" ht="15.75" thickTop="1" x14ac:dyDescent="0.25">
      <c r="B105" s="132"/>
      <c r="C105" s="132"/>
      <c r="D105" s="132"/>
      <c r="E105" s="132"/>
      <c r="F105" s="132"/>
      <c r="G105" s="132"/>
      <c r="H105" s="132"/>
      <c r="I105" s="132"/>
    </row>
    <row r="107" spans="1:12" x14ac:dyDescent="0.25">
      <c r="A107" t="s">
        <v>368</v>
      </c>
      <c r="B107" s="130">
        <v>44839.91</v>
      </c>
      <c r="C107" s="130">
        <v>169575.53</v>
      </c>
      <c r="D107" s="130">
        <v>300509.56</v>
      </c>
      <c r="E107" s="130">
        <v>10427.16</v>
      </c>
      <c r="F107" s="130">
        <v>109237.01</v>
      </c>
      <c r="G107" s="130">
        <v>54372.93</v>
      </c>
      <c r="H107" s="130">
        <v>-74416.710000000006</v>
      </c>
      <c r="I107" s="132">
        <f>SUM(B107:H107)</f>
        <v>614545.39000000013</v>
      </c>
    </row>
    <row r="108" spans="1:12" x14ac:dyDescent="0.25">
      <c r="B108" s="130">
        <f>B104-B107</f>
        <v>-5.1528331823647022E-7</v>
      </c>
      <c r="C108" s="130">
        <f t="shared" ref="C108:D108" si="23">C104-C107</f>
        <v>-4.0454324334859848E-9</v>
      </c>
      <c r="D108" s="130">
        <f t="shared" si="23"/>
        <v>0</v>
      </c>
      <c r="E108" s="130">
        <f>E104-E107</f>
        <v>0</v>
      </c>
      <c r="F108" s="130">
        <f>F104-F107</f>
        <v>0</v>
      </c>
      <c r="G108" s="130">
        <f>G104-G107</f>
        <v>0</v>
      </c>
      <c r="H108" s="130">
        <f>H104-H107</f>
        <v>0</v>
      </c>
      <c r="I108" s="130">
        <f>I104-I107</f>
        <v>-5.1921233534812927E-7</v>
      </c>
    </row>
    <row r="109" spans="1:12" x14ac:dyDescent="0.25">
      <c r="B109" s="130"/>
      <c r="C109" s="130"/>
      <c r="D109" s="130"/>
      <c r="E109" s="130"/>
      <c r="I109" s="132"/>
    </row>
    <row r="110" spans="1:12" x14ac:dyDescent="0.25">
      <c r="B110" s="130"/>
      <c r="C110" s="130"/>
      <c r="D110" s="130"/>
      <c r="E110" s="130"/>
    </row>
    <row r="111" spans="1:12" x14ac:dyDescent="0.25">
      <c r="B111" s="130"/>
      <c r="C111" s="130"/>
      <c r="D111" s="130"/>
      <c r="E111" s="130"/>
    </row>
    <row r="112" spans="1:12" x14ac:dyDescent="0.25">
      <c r="B112" s="130"/>
      <c r="C112" s="130"/>
      <c r="D112" s="130"/>
      <c r="E112" s="130"/>
    </row>
    <row r="113" spans="2:5" x14ac:dyDescent="0.25">
      <c r="B113" s="130"/>
      <c r="C113" s="130"/>
      <c r="D113" s="130"/>
      <c r="E113" s="130"/>
    </row>
    <row r="114" spans="2:5" x14ac:dyDescent="0.25">
      <c r="B114" s="130"/>
      <c r="C114" s="130"/>
      <c r="D114" s="130"/>
      <c r="E114" s="130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3" orientation="portrait" r:id="rId1"/>
  <headerFooter>
    <oddFooter>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862CA-8293-41C2-8C02-2E6A580214FE}">
  <sheetPr>
    <tabColor theme="9" tint="0.79998168889431442"/>
  </sheetPr>
  <dimension ref="A1:AF47"/>
  <sheetViews>
    <sheetView zoomScale="50" zoomScaleNormal="50" workbookViewId="0">
      <pane ySplit="18" topLeftCell="A22" activePane="bottomLeft" state="frozen"/>
      <selection pane="bottomLeft" activeCell="A36" sqref="A36"/>
    </sheetView>
  </sheetViews>
  <sheetFormatPr defaultRowHeight="15" x14ac:dyDescent="0.25"/>
  <cols>
    <col min="1" max="1" width="82.42578125" bestFit="1" customWidth="1"/>
    <col min="2" max="2" width="39.42578125" style="128" bestFit="1" customWidth="1"/>
    <col min="3" max="3" width="33.28515625" style="128" bestFit="1" customWidth="1"/>
    <col min="4" max="4" width="26.140625" style="128" bestFit="1" customWidth="1"/>
    <col min="5" max="5" width="24.42578125" style="128" bestFit="1" customWidth="1"/>
    <col min="6" max="6" width="27.5703125" style="128" bestFit="1" customWidth="1"/>
    <col min="7" max="8" width="26.140625" style="128" bestFit="1" customWidth="1"/>
    <col min="9" max="9" width="38.140625" style="128" bestFit="1" customWidth="1"/>
    <col min="10" max="10" width="11.42578125" style="128" customWidth="1"/>
    <col min="11" max="11" width="82.42578125" style="128" bestFit="1" customWidth="1"/>
    <col min="12" max="12" width="38.140625" style="128" bestFit="1" customWidth="1"/>
    <col min="13" max="13" width="33.28515625" style="128" bestFit="1" customWidth="1"/>
    <col min="14" max="14" width="27" style="128" bestFit="1" customWidth="1"/>
    <col min="15" max="15" width="24.7109375" style="128" customWidth="1"/>
    <col min="16" max="18" width="27" style="128" bestFit="1" customWidth="1"/>
    <col min="19" max="19" width="38.140625" style="128" bestFit="1" customWidth="1"/>
    <col min="20" max="20" width="11.28515625" style="128" customWidth="1"/>
    <col min="21" max="21" width="68" style="12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91" bestFit="1" customWidth="1"/>
    <col min="28" max="28" width="4.28515625" style="91" customWidth="1"/>
    <col min="29" max="29" width="21.140625" style="122" bestFit="1" customWidth="1"/>
    <col min="30" max="30" width="4.28515625" style="91" customWidth="1"/>
    <col min="31" max="31" width="23" style="122" bestFit="1" customWidth="1"/>
  </cols>
  <sheetData>
    <row r="1" spans="1:31" ht="24.95" customHeight="1" x14ac:dyDescent="0.25">
      <c r="A1" s="197" t="s">
        <v>456</v>
      </c>
      <c r="B1" s="197"/>
      <c r="C1" s="197"/>
      <c r="D1" s="197"/>
      <c r="E1" s="197"/>
      <c r="F1" s="197"/>
      <c r="G1" s="197"/>
      <c r="H1" s="197"/>
      <c r="I1" s="197"/>
    </row>
    <row r="2" spans="1:31" ht="24.95" customHeight="1" x14ac:dyDescent="0.25">
      <c r="A2" s="197"/>
      <c r="B2" s="197"/>
      <c r="C2" s="197"/>
      <c r="D2" s="197"/>
      <c r="E2" s="197"/>
      <c r="F2" s="197"/>
      <c r="G2" s="197"/>
      <c r="H2" s="197"/>
      <c r="I2" s="197"/>
    </row>
    <row r="3" spans="1:31" ht="24.9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</row>
    <row r="4" spans="1:31" ht="24.9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</row>
    <row r="5" spans="1:31" x14ac:dyDescent="0.25">
      <c r="A5" s="197"/>
      <c r="B5" s="197"/>
      <c r="C5" s="197"/>
      <c r="D5" s="197"/>
      <c r="E5" s="197"/>
      <c r="F5" s="197"/>
      <c r="G5" s="197"/>
      <c r="H5" s="197"/>
      <c r="I5" s="197"/>
    </row>
    <row r="6" spans="1:31" ht="40.5" customHeight="1" x14ac:dyDescent="0.7">
      <c r="A6" s="198" t="s">
        <v>384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</row>
    <row r="7" spans="1:31" ht="40.5" customHeight="1" x14ac:dyDescent="0.7">
      <c r="A7" s="198" t="s">
        <v>432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</row>
    <row r="8" spans="1:31" ht="14.25" customHeight="1" thickBot="1" x14ac:dyDescent="0.3"/>
    <row r="9" spans="1:31" s="127" customFormat="1" ht="55.5" customHeight="1" x14ac:dyDescent="0.7">
      <c r="A9" s="199">
        <v>2018</v>
      </c>
      <c r="B9" s="200"/>
      <c r="C9" s="200"/>
      <c r="D9" s="200"/>
      <c r="E9" s="200"/>
      <c r="F9" s="200"/>
      <c r="G9" s="200"/>
      <c r="H9" s="200"/>
      <c r="I9" s="201"/>
      <c r="J9" s="129"/>
      <c r="K9" s="199">
        <v>2017</v>
      </c>
      <c r="L9" s="200"/>
      <c r="M9" s="200"/>
      <c r="N9" s="200"/>
      <c r="O9" s="200"/>
      <c r="P9" s="200"/>
      <c r="Q9" s="200"/>
      <c r="R9" s="200"/>
      <c r="S9" s="201"/>
      <c r="T9" s="180"/>
      <c r="U9" s="202" t="s">
        <v>449</v>
      </c>
      <c r="V9" s="203"/>
      <c r="W9" s="203"/>
      <c r="X9" s="203"/>
      <c r="Y9" s="203"/>
      <c r="Z9" s="203"/>
      <c r="AA9" s="203"/>
      <c r="AB9" s="203"/>
      <c r="AC9" s="203"/>
      <c r="AD9" s="203"/>
      <c r="AE9" s="204"/>
    </row>
    <row r="10" spans="1:31" s="127" customFormat="1" ht="30" customHeight="1" x14ac:dyDescent="0.5">
      <c r="A10" s="211" t="s">
        <v>450</v>
      </c>
      <c r="B10" s="212"/>
      <c r="C10" s="212"/>
      <c r="D10" s="212"/>
      <c r="E10" s="212"/>
      <c r="F10" s="212"/>
      <c r="G10" s="212"/>
      <c r="H10" s="212"/>
      <c r="I10" s="213"/>
      <c r="J10" s="129"/>
      <c r="K10" s="211" t="s">
        <v>450</v>
      </c>
      <c r="L10" s="212"/>
      <c r="M10" s="212"/>
      <c r="N10" s="212"/>
      <c r="O10" s="212"/>
      <c r="P10" s="212"/>
      <c r="Q10" s="212"/>
      <c r="R10" s="212"/>
      <c r="S10" s="213"/>
      <c r="T10" s="179"/>
      <c r="U10" s="205"/>
      <c r="V10" s="206"/>
      <c r="W10" s="206"/>
      <c r="X10" s="206"/>
      <c r="Y10" s="206"/>
      <c r="Z10" s="206"/>
      <c r="AA10" s="206"/>
      <c r="AB10" s="206"/>
      <c r="AC10" s="206"/>
      <c r="AD10" s="206"/>
      <c r="AE10" s="207"/>
    </row>
    <row r="11" spans="1:31" s="127" customFormat="1" ht="30" customHeight="1" x14ac:dyDescent="0.5">
      <c r="A11" s="211" t="s">
        <v>383</v>
      </c>
      <c r="B11" s="212"/>
      <c r="C11" s="212"/>
      <c r="D11" s="212"/>
      <c r="E11" s="212"/>
      <c r="F11" s="212"/>
      <c r="G11" s="212"/>
      <c r="H11" s="212"/>
      <c r="I11" s="213"/>
      <c r="J11" s="129"/>
      <c r="K11" s="211" t="s">
        <v>383</v>
      </c>
      <c r="L11" s="212"/>
      <c r="M11" s="212"/>
      <c r="N11" s="212"/>
      <c r="O11" s="212"/>
      <c r="P11" s="212"/>
      <c r="Q11" s="212"/>
      <c r="R11" s="212"/>
      <c r="S11" s="213"/>
      <c r="T11" s="179"/>
      <c r="U11" s="205"/>
      <c r="V11" s="206"/>
      <c r="W11" s="206"/>
      <c r="X11" s="206"/>
      <c r="Y11" s="206"/>
      <c r="Z11" s="206"/>
      <c r="AA11" s="206"/>
      <c r="AB11" s="206"/>
      <c r="AC11" s="206"/>
      <c r="AD11" s="206"/>
      <c r="AE11" s="207"/>
    </row>
    <row r="12" spans="1:31" s="127" customFormat="1" ht="30" customHeight="1" thickBot="1" x14ac:dyDescent="0.55000000000000004">
      <c r="A12" s="194">
        <v>43251</v>
      </c>
      <c r="B12" s="195"/>
      <c r="C12" s="195"/>
      <c r="D12" s="195"/>
      <c r="E12" s="195"/>
      <c r="F12" s="195"/>
      <c r="G12" s="195"/>
      <c r="H12" s="195"/>
      <c r="I12" s="196"/>
      <c r="J12" s="129"/>
      <c r="K12" s="194">
        <v>42886</v>
      </c>
      <c r="L12" s="195"/>
      <c r="M12" s="195"/>
      <c r="N12" s="195"/>
      <c r="O12" s="195"/>
      <c r="P12" s="195"/>
      <c r="Q12" s="195"/>
      <c r="R12" s="195"/>
      <c r="S12" s="196"/>
      <c r="T12" s="179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10"/>
    </row>
    <row r="13" spans="1:31" s="136" customFormat="1" ht="24.75" customHeight="1" x14ac:dyDescent="0.5">
      <c r="A13" s="133"/>
      <c r="B13" s="134"/>
      <c r="C13" s="134"/>
      <c r="D13" s="134"/>
      <c r="E13" s="134"/>
      <c r="F13" s="134"/>
      <c r="G13" s="134"/>
      <c r="H13" s="134"/>
      <c r="I13" s="134"/>
      <c r="J13" s="135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W13" s="137"/>
      <c r="Y13" s="137"/>
      <c r="AA13" s="137"/>
      <c r="AB13" s="137"/>
      <c r="AC13" s="137"/>
      <c r="AD13" s="137"/>
      <c r="AE13" s="137"/>
    </row>
    <row r="14" spans="1:31" s="136" customFormat="1" ht="24.75" customHeight="1" x14ac:dyDescent="0.5">
      <c r="B14" s="135"/>
      <c r="C14" s="135"/>
      <c r="D14" s="135"/>
      <c r="E14" s="135"/>
      <c r="F14" s="135"/>
      <c r="G14" s="135"/>
      <c r="H14" s="135"/>
      <c r="I14" s="135"/>
      <c r="J14" s="134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3"/>
      <c r="W14" s="139"/>
      <c r="X14" s="133"/>
      <c r="Y14" s="139"/>
      <c r="Z14" s="133"/>
      <c r="AA14" s="139"/>
      <c r="AB14" s="139"/>
      <c r="AC14" s="140"/>
      <c r="AD14" s="139"/>
      <c r="AE14" s="140"/>
    </row>
    <row r="15" spans="1:31" s="136" customFormat="1" ht="24.75" customHeight="1" x14ac:dyDescent="0.5">
      <c r="B15" s="135"/>
      <c r="C15" s="135"/>
      <c r="D15" s="135"/>
      <c r="E15" s="135"/>
      <c r="F15" s="135"/>
      <c r="G15" s="135"/>
      <c r="H15" s="135"/>
      <c r="I15" s="135"/>
      <c r="J15" s="134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3"/>
      <c r="W15" s="139"/>
      <c r="X15" s="133"/>
      <c r="Y15" s="139"/>
      <c r="Z15" s="133"/>
      <c r="AA15" s="139"/>
      <c r="AB15" s="139"/>
      <c r="AC15" s="133" t="s">
        <v>377</v>
      </c>
      <c r="AD15" s="139"/>
      <c r="AE15" s="140"/>
    </row>
    <row r="16" spans="1:31" s="136" customFormat="1" ht="24.75" customHeight="1" x14ac:dyDescent="0.5">
      <c r="B16" s="135"/>
      <c r="C16" s="135"/>
      <c r="D16" s="135"/>
      <c r="E16" s="135"/>
      <c r="F16" s="135"/>
      <c r="G16" s="135"/>
      <c r="H16" s="135"/>
      <c r="I16" s="135"/>
      <c r="J16" s="134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3"/>
      <c r="W16" s="133"/>
      <c r="X16" s="133"/>
      <c r="Y16" s="133"/>
      <c r="Z16" s="133"/>
      <c r="AA16" s="133" t="s">
        <v>377</v>
      </c>
      <c r="AB16" s="179"/>
      <c r="AC16" s="140" t="s">
        <v>380</v>
      </c>
      <c r="AD16" s="133"/>
      <c r="AE16" s="133" t="s">
        <v>379</v>
      </c>
    </row>
    <row r="17" spans="1:31" s="136" customFormat="1" ht="24.75" customHeight="1" x14ac:dyDescent="0.5">
      <c r="B17" s="135"/>
      <c r="C17" s="135"/>
      <c r="D17" s="135"/>
      <c r="E17" s="135"/>
      <c r="F17" s="135"/>
      <c r="G17" s="135"/>
      <c r="H17" s="135"/>
      <c r="I17" s="134" t="s">
        <v>217</v>
      </c>
      <c r="J17" s="134"/>
      <c r="K17" s="135"/>
      <c r="L17" s="135"/>
      <c r="M17" s="135"/>
      <c r="N17" s="135"/>
      <c r="O17" s="135"/>
      <c r="P17" s="135"/>
      <c r="Q17" s="135"/>
      <c r="R17" s="135"/>
      <c r="S17" s="134" t="s">
        <v>217</v>
      </c>
      <c r="T17" s="134"/>
      <c r="U17" s="135"/>
      <c r="V17" s="133"/>
      <c r="W17" s="133">
        <v>2018</v>
      </c>
      <c r="X17" s="133"/>
      <c r="Y17" s="133">
        <v>2017</v>
      </c>
      <c r="Z17" s="133"/>
      <c r="AA17" s="133" t="s">
        <v>378</v>
      </c>
      <c r="AB17" s="179"/>
      <c r="AC17" s="133" t="s">
        <v>378</v>
      </c>
      <c r="AD17" s="133"/>
      <c r="AE17" s="133" t="s">
        <v>381</v>
      </c>
    </row>
    <row r="18" spans="1:31" s="136" customFormat="1" ht="24.75" customHeight="1" x14ac:dyDescent="0.5">
      <c r="B18" s="141" t="s">
        <v>243</v>
      </c>
      <c r="C18" s="141" t="s">
        <v>245</v>
      </c>
      <c r="D18" s="141" t="s">
        <v>244</v>
      </c>
      <c r="E18" s="141" t="s">
        <v>246</v>
      </c>
      <c r="F18" s="141" t="s">
        <v>247</v>
      </c>
      <c r="G18" s="141" t="s">
        <v>451</v>
      </c>
      <c r="H18" s="141" t="s">
        <v>464</v>
      </c>
      <c r="I18" s="141">
        <v>2018</v>
      </c>
      <c r="J18" s="142"/>
      <c r="K18" s="135"/>
      <c r="L18" s="141" t="s">
        <v>243</v>
      </c>
      <c r="M18" s="141" t="s">
        <v>245</v>
      </c>
      <c r="N18" s="141" t="s">
        <v>244</v>
      </c>
      <c r="O18" s="141" t="s">
        <v>246</v>
      </c>
      <c r="P18" s="141" t="s">
        <v>247</v>
      </c>
      <c r="Q18" s="141" t="s">
        <v>451</v>
      </c>
      <c r="R18" s="141" t="s">
        <v>464</v>
      </c>
      <c r="S18" s="141">
        <v>2017</v>
      </c>
      <c r="T18" s="142"/>
      <c r="U18" s="135"/>
      <c r="V18" s="142"/>
      <c r="W18" s="178"/>
      <c r="X18" s="142"/>
      <c r="Y18" s="178"/>
      <c r="Z18" s="142"/>
      <c r="AA18" s="178" t="s">
        <v>375</v>
      </c>
      <c r="AB18" s="179"/>
      <c r="AC18" s="178" t="s">
        <v>376</v>
      </c>
      <c r="AD18" s="178"/>
      <c r="AE18" s="178" t="s">
        <v>376</v>
      </c>
    </row>
    <row r="19" spans="1:31" s="136" customFormat="1" ht="30" customHeight="1" x14ac:dyDescent="0.5">
      <c r="A19" s="144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45" t="s">
        <v>63</v>
      </c>
      <c r="L19" s="135"/>
      <c r="M19" s="135"/>
      <c r="N19" s="135"/>
      <c r="O19" s="135"/>
      <c r="P19" s="135"/>
      <c r="Q19" s="135"/>
      <c r="R19" s="135"/>
      <c r="S19" s="135"/>
      <c r="T19" s="135"/>
      <c r="U19" s="145" t="s">
        <v>63</v>
      </c>
      <c r="AB19" s="183"/>
      <c r="AC19" s="140"/>
      <c r="AE19" s="140"/>
    </row>
    <row r="20" spans="1:31" s="136" customFormat="1" ht="30" customHeight="1" x14ac:dyDescent="0.5">
      <c r="A20" s="136" t="s">
        <v>454</v>
      </c>
      <c r="B20" s="146">
        <f>'Comparative YTD 2018-2017 May'!B23</f>
        <v>2678192192.04</v>
      </c>
      <c r="C20" s="146">
        <f>'Comparative YTD 2018-2017 May'!C23</f>
        <v>30848650.639999997</v>
      </c>
      <c r="D20" s="146">
        <f>'Comparative YTD 2018-2017 May'!D23</f>
        <v>910323.34000000008</v>
      </c>
      <c r="E20" s="146">
        <f>'Comparative YTD 2018-2017 May'!E23</f>
        <v>0</v>
      </c>
      <c r="F20" s="146">
        <f>'Comparative YTD 2018-2017 May'!F23</f>
        <v>505677.55000000005</v>
      </c>
      <c r="G20" s="146">
        <f>'Comparative YTD 2018-2017 May'!G23</f>
        <v>0</v>
      </c>
      <c r="H20" s="146">
        <f>'Comparative YTD 2018-2017 May'!H23</f>
        <v>0</v>
      </c>
      <c r="I20" s="146">
        <f>SUM(B20:H20)</f>
        <v>2710456843.5700002</v>
      </c>
      <c r="J20" s="147"/>
      <c r="K20" s="136" t="s">
        <v>454</v>
      </c>
      <c r="L20" s="146">
        <f>'Comparative YTD 2018-2017 May'!M23</f>
        <v>1809238865.3800001</v>
      </c>
      <c r="M20" s="146">
        <f>'Comparative YTD 2018-2017 May'!N23</f>
        <v>21391353.269999996</v>
      </c>
      <c r="N20" s="146">
        <f>'Comparative YTD 2018-2017 May'!O23</f>
        <v>954994.7</v>
      </c>
      <c r="O20" s="146">
        <f>'Comparative YTD 2018-2017 May'!P23</f>
        <v>0</v>
      </c>
      <c r="P20" s="146">
        <f>'Comparative YTD 2018-2017 May'!Q23</f>
        <v>558065.09</v>
      </c>
      <c r="Q20" s="146">
        <f>'Comparative YTD 2018-2017 May'!R23</f>
        <v>0</v>
      </c>
      <c r="R20" s="146">
        <f>'Comparative YTD 2018-2017 May'!S23</f>
        <v>0</v>
      </c>
      <c r="S20" s="146">
        <f>SUM(L20:R20)</f>
        <v>1832143278.4400001</v>
      </c>
      <c r="T20" s="146"/>
      <c r="U20" s="136" t="s">
        <v>454</v>
      </c>
      <c r="V20" s="148"/>
      <c r="W20" s="149">
        <f>I20</f>
        <v>2710456843.5700002</v>
      </c>
      <c r="X20" s="148"/>
      <c r="Y20" s="149">
        <f t="shared" ref="Y20:Y27" si="0">S20</f>
        <v>1832143278.4400001</v>
      </c>
      <c r="Z20" s="148"/>
      <c r="AA20" s="149">
        <f>I20-S20</f>
        <v>878313565.13000011</v>
      </c>
      <c r="AB20" s="184"/>
      <c r="AC20" s="148">
        <f>I20/S20</f>
        <v>1.4793913093291757</v>
      </c>
      <c r="AD20" s="149"/>
      <c r="AE20" s="148">
        <f>AC20-1</f>
        <v>0.47939130932917573</v>
      </c>
    </row>
    <row r="21" spans="1:31" s="136" customFormat="1" ht="30" customHeight="1" x14ac:dyDescent="0.5">
      <c r="A21" s="144" t="s">
        <v>255</v>
      </c>
      <c r="B21" s="151">
        <f t="shared" ref="B21:H21" si="1">SUM(B20:B20)</f>
        <v>2678192192.04</v>
      </c>
      <c r="C21" s="151">
        <f t="shared" si="1"/>
        <v>30848650.639999997</v>
      </c>
      <c r="D21" s="151">
        <f t="shared" si="1"/>
        <v>910323.34000000008</v>
      </c>
      <c r="E21" s="151">
        <f t="shared" si="1"/>
        <v>0</v>
      </c>
      <c r="F21" s="151">
        <f t="shared" si="1"/>
        <v>505677.55000000005</v>
      </c>
      <c r="G21" s="151">
        <f t="shared" si="1"/>
        <v>0</v>
      </c>
      <c r="H21" s="151">
        <f t="shared" si="1"/>
        <v>0</v>
      </c>
      <c r="I21" s="151">
        <f>SUM(B21:H21)</f>
        <v>2710456843.5700002</v>
      </c>
      <c r="J21" s="153"/>
      <c r="K21" s="145" t="s">
        <v>255</v>
      </c>
      <c r="L21" s="151">
        <f>SUM(L20:L20)</f>
        <v>1809238865.3800001</v>
      </c>
      <c r="M21" s="151">
        <f t="shared" ref="M21:R21" si="2">SUM(M20:M20)</f>
        <v>21391353.269999996</v>
      </c>
      <c r="N21" s="151">
        <f t="shared" si="2"/>
        <v>954994.7</v>
      </c>
      <c r="O21" s="151">
        <f t="shared" si="2"/>
        <v>0</v>
      </c>
      <c r="P21" s="151">
        <f t="shared" si="2"/>
        <v>558065.09</v>
      </c>
      <c r="Q21" s="151">
        <f t="shared" ref="Q21" si="3">SUM(Q20:Q20)</f>
        <v>0</v>
      </c>
      <c r="R21" s="151">
        <f t="shared" si="2"/>
        <v>0</v>
      </c>
      <c r="S21" s="151">
        <f>SUM(L21:R21)</f>
        <v>1832143278.4400001</v>
      </c>
      <c r="T21" s="181"/>
      <c r="U21" s="145" t="s">
        <v>255</v>
      </c>
      <c r="V21" s="155"/>
      <c r="W21" s="156">
        <f>I21</f>
        <v>2710456843.5700002</v>
      </c>
      <c r="X21" s="155"/>
      <c r="Y21" s="156">
        <f t="shared" si="0"/>
        <v>1832143278.4400001</v>
      </c>
      <c r="Z21" s="155"/>
      <c r="AA21" s="156">
        <f>I21-S21</f>
        <v>878313565.13000011</v>
      </c>
      <c r="AB21" s="184"/>
      <c r="AC21" s="154">
        <f>I21/S21</f>
        <v>1.4793913093291757</v>
      </c>
      <c r="AD21" s="156"/>
      <c r="AE21" s="154">
        <f t="shared" ref="AE21:AE27" si="4">AC21-1</f>
        <v>0.47939130932917573</v>
      </c>
    </row>
    <row r="22" spans="1:31" s="136" customFormat="1" ht="30" customHeight="1" x14ac:dyDescent="0.5">
      <c r="B22" s="146"/>
      <c r="C22" s="146"/>
      <c r="D22" s="146"/>
      <c r="E22" s="146"/>
      <c r="F22" s="146"/>
      <c r="G22" s="146"/>
      <c r="H22" s="146"/>
      <c r="I22" s="146">
        <f>SUM(B22:H22)</f>
        <v>0</v>
      </c>
      <c r="J22" s="135"/>
      <c r="K22" s="135"/>
      <c r="L22" s="146"/>
      <c r="M22" s="146"/>
      <c r="N22" s="146"/>
      <c r="O22" s="146"/>
      <c r="P22" s="146"/>
      <c r="Q22" s="146"/>
      <c r="R22" s="146"/>
      <c r="S22" s="146">
        <f t="shared" ref="S22:S26" si="5">SUM(L22:R22)</f>
        <v>0</v>
      </c>
      <c r="T22" s="146"/>
      <c r="U22" s="135"/>
      <c r="W22" s="149"/>
      <c r="Y22" s="149">
        <f t="shared" si="0"/>
        <v>0</v>
      </c>
      <c r="AA22" s="149"/>
      <c r="AB22" s="184"/>
      <c r="AC22" s="157"/>
      <c r="AD22" s="149"/>
      <c r="AE22" s="157"/>
    </row>
    <row r="23" spans="1:31" s="136" customFormat="1" ht="30" customHeight="1" x14ac:dyDescent="0.5">
      <c r="A23" s="144" t="s">
        <v>218</v>
      </c>
      <c r="B23" s="146"/>
      <c r="C23" s="146"/>
      <c r="D23" s="146"/>
      <c r="E23" s="146"/>
      <c r="F23" s="146"/>
      <c r="G23" s="146"/>
      <c r="H23" s="146"/>
      <c r="I23" s="146">
        <f>SUM(B23:H23)</f>
        <v>0</v>
      </c>
      <c r="J23" s="135"/>
      <c r="K23" s="145" t="s">
        <v>218</v>
      </c>
      <c r="L23" s="146"/>
      <c r="M23" s="146"/>
      <c r="N23" s="146"/>
      <c r="O23" s="146"/>
      <c r="P23" s="146"/>
      <c r="Q23" s="146"/>
      <c r="R23" s="146"/>
      <c r="S23" s="146">
        <f t="shared" si="5"/>
        <v>0</v>
      </c>
      <c r="T23" s="146"/>
      <c r="U23" s="145" t="s">
        <v>218</v>
      </c>
      <c r="W23" s="149"/>
      <c r="Y23" s="149">
        <f t="shared" si="0"/>
        <v>0</v>
      </c>
      <c r="AA23" s="149"/>
      <c r="AB23" s="184"/>
      <c r="AC23" s="157"/>
      <c r="AD23" s="149"/>
      <c r="AE23" s="157"/>
    </row>
    <row r="24" spans="1:31" s="136" customFormat="1" ht="30" customHeight="1" x14ac:dyDescent="0.5">
      <c r="A24" s="136" t="s">
        <v>455</v>
      </c>
      <c r="B24" s="146">
        <f>'Comparative YTD 2018-2017 May'!B33</f>
        <v>2675236028.5000005</v>
      </c>
      <c r="C24" s="146">
        <f>'Comparative YTD 2018-2017 May'!C33</f>
        <v>30437032.460000001</v>
      </c>
      <c r="D24" s="146">
        <f>'Comparative YTD 2018-2017 May'!D33</f>
        <v>105681.95</v>
      </c>
      <c r="E24" s="146">
        <f>'Comparative YTD 2018-2017 May'!E33</f>
        <v>0</v>
      </c>
      <c r="F24" s="146">
        <f>'Comparative YTD 2018-2017 May'!F33</f>
        <v>1068.5899999999999</v>
      </c>
      <c r="G24" s="146">
        <f>'Comparative YTD 2018-2017 May'!G33</f>
        <v>0</v>
      </c>
      <c r="H24" s="146">
        <f>'Comparative YTD 2018-2017 May'!H33</f>
        <v>0</v>
      </c>
      <c r="I24" s="146">
        <f>'Comparative YTD 2018-2017 May'!I33</f>
        <v>2705779811.5000005</v>
      </c>
      <c r="J24" s="147"/>
      <c r="K24" s="136" t="s">
        <v>455</v>
      </c>
      <c r="L24" s="146">
        <f>'Comparative YTD 2018-2017 May'!M33</f>
        <v>1806884293.05</v>
      </c>
      <c r="M24" s="146">
        <f>'Comparative YTD 2018-2017 May'!N33</f>
        <v>21143001.133999996</v>
      </c>
      <c r="N24" s="146">
        <f>'Comparative YTD 2018-2017 May'!O33</f>
        <v>15041.67</v>
      </c>
      <c r="O24" s="146">
        <f>'Comparative YTD 2018-2017 May'!P33</f>
        <v>0</v>
      </c>
      <c r="P24" s="146">
        <f>'Comparative YTD 2018-2017 May'!Q33</f>
        <v>918.27</v>
      </c>
      <c r="Q24" s="146">
        <f>'Comparative YTD 2018-2017 May'!R33</f>
        <v>0</v>
      </c>
      <c r="R24" s="146">
        <f>'Comparative YTD 2018-2017 May'!S33</f>
        <v>0</v>
      </c>
      <c r="S24" s="146">
        <f>SUM(L24:R24)</f>
        <v>1828043254.1240001</v>
      </c>
      <c r="T24" s="146"/>
      <c r="U24" s="136" t="s">
        <v>455</v>
      </c>
      <c r="V24" s="148"/>
      <c r="W24" s="149">
        <f>I24</f>
        <v>2705779811.5000005</v>
      </c>
      <c r="X24" s="148"/>
      <c r="Y24" s="149">
        <f t="shared" si="0"/>
        <v>1828043254.1240001</v>
      </c>
      <c r="Z24" s="148"/>
      <c r="AA24" s="149">
        <f>I24-S24</f>
        <v>877736557.3760004</v>
      </c>
      <c r="AB24" s="184"/>
      <c r="AC24" s="148">
        <f>I24/S24</f>
        <v>1.4801508691853205</v>
      </c>
      <c r="AD24" s="149"/>
      <c r="AE24" s="148">
        <f t="shared" si="4"/>
        <v>0.48015086918532046</v>
      </c>
    </row>
    <row r="25" spans="1:31" s="136" customFormat="1" ht="30" customHeight="1" x14ac:dyDescent="0.5">
      <c r="A25" s="144" t="s">
        <v>256</v>
      </c>
      <c r="B25" s="151">
        <f t="shared" ref="B25:H25" si="6">SUM(B24:B24)</f>
        <v>2675236028.5000005</v>
      </c>
      <c r="C25" s="151">
        <f t="shared" si="6"/>
        <v>30437032.460000001</v>
      </c>
      <c r="D25" s="151">
        <f t="shared" si="6"/>
        <v>105681.95</v>
      </c>
      <c r="E25" s="151">
        <f t="shared" si="6"/>
        <v>0</v>
      </c>
      <c r="F25" s="151">
        <f t="shared" si="6"/>
        <v>1068.5899999999999</v>
      </c>
      <c r="G25" s="151">
        <f t="shared" si="6"/>
        <v>0</v>
      </c>
      <c r="H25" s="151">
        <f t="shared" si="6"/>
        <v>0</v>
      </c>
      <c r="I25" s="151">
        <f t="shared" ref="I25:I31" si="7">SUM(B25:H25)</f>
        <v>2705779811.5000005</v>
      </c>
      <c r="J25" s="153"/>
      <c r="K25" s="145" t="s">
        <v>256</v>
      </c>
      <c r="L25" s="151">
        <f t="shared" ref="L25:R25" si="8">SUM(L24:L24)</f>
        <v>1806884293.05</v>
      </c>
      <c r="M25" s="151">
        <f t="shared" si="8"/>
        <v>21143001.133999996</v>
      </c>
      <c r="N25" s="151">
        <f t="shared" si="8"/>
        <v>15041.67</v>
      </c>
      <c r="O25" s="151">
        <f t="shared" si="8"/>
        <v>0</v>
      </c>
      <c r="P25" s="151">
        <f t="shared" si="8"/>
        <v>918.27</v>
      </c>
      <c r="Q25" s="151">
        <f t="shared" si="8"/>
        <v>0</v>
      </c>
      <c r="R25" s="151">
        <f t="shared" si="8"/>
        <v>0</v>
      </c>
      <c r="S25" s="151">
        <f>SUM(L25:R25)</f>
        <v>1828043254.1240001</v>
      </c>
      <c r="T25" s="181"/>
      <c r="U25" s="145" t="s">
        <v>256</v>
      </c>
      <c r="V25" s="155"/>
      <c r="W25" s="156">
        <f>I25</f>
        <v>2705779811.5000005</v>
      </c>
      <c r="X25" s="155"/>
      <c r="Y25" s="156">
        <f t="shared" si="0"/>
        <v>1828043254.1240001</v>
      </c>
      <c r="Z25" s="155"/>
      <c r="AA25" s="156">
        <f>SUM(AA24:AA24)</f>
        <v>877736557.3760004</v>
      </c>
      <c r="AB25" s="184"/>
      <c r="AC25" s="154">
        <f>I25/S25</f>
        <v>1.4801508691853205</v>
      </c>
      <c r="AD25" s="156"/>
      <c r="AE25" s="154">
        <f t="shared" si="4"/>
        <v>0.48015086918532046</v>
      </c>
    </row>
    <row r="26" spans="1:31" s="136" customFormat="1" ht="30" customHeight="1" x14ac:dyDescent="0.5">
      <c r="B26" s="146"/>
      <c r="C26" s="146"/>
      <c r="D26" s="146"/>
      <c r="E26" s="146"/>
      <c r="F26" s="146"/>
      <c r="G26" s="146"/>
      <c r="H26" s="146"/>
      <c r="I26" s="146">
        <f t="shared" si="7"/>
        <v>0</v>
      </c>
      <c r="J26" s="135"/>
      <c r="K26" s="135"/>
      <c r="L26" s="146"/>
      <c r="M26" s="146"/>
      <c r="N26" s="146"/>
      <c r="O26" s="146"/>
      <c r="P26" s="146"/>
      <c r="Q26" s="146"/>
      <c r="R26" s="146"/>
      <c r="S26" s="146">
        <f t="shared" si="5"/>
        <v>0</v>
      </c>
      <c r="T26" s="146"/>
      <c r="U26" s="135"/>
      <c r="W26" s="149">
        <f>I26</f>
        <v>0</v>
      </c>
      <c r="Y26" s="149">
        <f t="shared" si="0"/>
        <v>0</v>
      </c>
      <c r="AA26" s="149"/>
      <c r="AB26" s="184"/>
      <c r="AC26" s="148"/>
      <c r="AD26" s="149"/>
      <c r="AE26" s="148"/>
    </row>
    <row r="27" spans="1:31" s="136" customFormat="1" ht="30" customHeight="1" thickBot="1" x14ac:dyDescent="0.55000000000000004">
      <c r="A27" s="144" t="s">
        <v>242</v>
      </c>
      <c r="B27" s="158">
        <f t="shared" ref="B27:H27" si="9">B21-B25</f>
        <v>2956163.539999485</v>
      </c>
      <c r="C27" s="158">
        <f t="shared" si="9"/>
        <v>411618.17999999598</v>
      </c>
      <c r="D27" s="158">
        <f t="shared" si="9"/>
        <v>804641.39000000013</v>
      </c>
      <c r="E27" s="158">
        <f t="shared" si="9"/>
        <v>0</v>
      </c>
      <c r="F27" s="158">
        <f t="shared" si="9"/>
        <v>504608.96</v>
      </c>
      <c r="G27" s="158">
        <f t="shared" ref="G27" si="10">G21-G25</f>
        <v>0</v>
      </c>
      <c r="H27" s="158">
        <f t="shared" si="9"/>
        <v>0</v>
      </c>
      <c r="I27" s="158">
        <f t="shared" si="7"/>
        <v>4677032.0699994816</v>
      </c>
      <c r="J27" s="135"/>
      <c r="K27" s="145" t="s">
        <v>242</v>
      </c>
      <c r="L27" s="158">
        <f t="shared" ref="L27:R27" si="11">L21-L25</f>
        <v>2354572.3300001621</v>
      </c>
      <c r="M27" s="158">
        <f t="shared" si="11"/>
        <v>248352.13599999994</v>
      </c>
      <c r="N27" s="158">
        <f t="shared" si="11"/>
        <v>939953.02999999991</v>
      </c>
      <c r="O27" s="158">
        <f t="shared" si="11"/>
        <v>0</v>
      </c>
      <c r="P27" s="158">
        <f t="shared" si="11"/>
        <v>557146.81999999995</v>
      </c>
      <c r="Q27" s="158">
        <f t="shared" ref="Q27" si="12">Q21-Q25</f>
        <v>0</v>
      </c>
      <c r="R27" s="158">
        <f t="shared" si="11"/>
        <v>0</v>
      </c>
      <c r="S27" s="158">
        <f>SUM(L27:R27)</f>
        <v>4100024.3160001617</v>
      </c>
      <c r="T27" s="181"/>
      <c r="U27" s="145" t="s">
        <v>242</v>
      </c>
      <c r="W27" s="159">
        <f>I27</f>
        <v>4677032.0699994816</v>
      </c>
      <c r="Y27" s="159">
        <f t="shared" si="0"/>
        <v>4100024.3160001617</v>
      </c>
      <c r="AA27" s="159">
        <f>I27-S27</f>
        <v>577007.75399931986</v>
      </c>
      <c r="AB27" s="184"/>
      <c r="AC27" s="160">
        <f>I27/S27</f>
        <v>1.1407327638881488</v>
      </c>
      <c r="AD27" s="159"/>
      <c r="AE27" s="160">
        <f t="shared" si="4"/>
        <v>0.14073276388814882</v>
      </c>
    </row>
    <row r="28" spans="1:31" s="136" customFormat="1" ht="30" customHeight="1" x14ac:dyDescent="0.5">
      <c r="B28" s="146"/>
      <c r="C28" s="146"/>
      <c r="D28" s="146"/>
      <c r="E28" s="146"/>
      <c r="F28" s="146"/>
      <c r="G28" s="146"/>
      <c r="H28" s="146"/>
      <c r="I28" s="146">
        <f t="shared" si="7"/>
        <v>0</v>
      </c>
      <c r="J28" s="135"/>
      <c r="K28" s="135"/>
      <c r="L28" s="146"/>
      <c r="M28" s="146"/>
      <c r="N28" s="146"/>
      <c r="O28" s="146"/>
      <c r="P28" s="146"/>
      <c r="Q28" s="146"/>
      <c r="R28" s="146"/>
      <c r="S28" s="146"/>
      <c r="T28" s="146"/>
      <c r="U28" s="135"/>
      <c r="W28" s="149"/>
      <c r="Y28" s="149"/>
      <c r="AA28" s="149"/>
      <c r="AB28" s="184"/>
      <c r="AC28" s="157"/>
      <c r="AD28" s="149"/>
      <c r="AE28" s="157"/>
    </row>
    <row r="29" spans="1:31" s="136" customFormat="1" ht="30" customHeight="1" x14ac:dyDescent="0.5">
      <c r="A29" s="144" t="s">
        <v>240</v>
      </c>
      <c r="B29" s="146"/>
      <c r="C29" s="146"/>
      <c r="D29" s="146"/>
      <c r="E29" s="146"/>
      <c r="F29" s="146"/>
      <c r="G29" s="146"/>
      <c r="H29" s="146"/>
      <c r="I29" s="146">
        <f t="shared" si="7"/>
        <v>0</v>
      </c>
      <c r="J29" s="135"/>
      <c r="K29" s="145" t="s">
        <v>240</v>
      </c>
      <c r="L29" s="146"/>
      <c r="M29" s="146"/>
      <c r="N29" s="146"/>
      <c r="O29" s="146"/>
      <c r="P29" s="146"/>
      <c r="Q29" s="146"/>
      <c r="R29" s="146"/>
      <c r="S29" s="146"/>
      <c r="T29" s="146"/>
      <c r="U29" s="145" t="s">
        <v>240</v>
      </c>
      <c r="W29" s="149"/>
      <c r="Y29" s="149"/>
      <c r="AA29" s="149"/>
      <c r="AB29" s="184"/>
      <c r="AC29" s="157"/>
      <c r="AD29" s="149"/>
      <c r="AE29" s="157"/>
    </row>
    <row r="30" spans="1:31" s="136" customFormat="1" ht="30" customHeight="1" x14ac:dyDescent="0.5">
      <c r="A30" s="144" t="s">
        <v>257</v>
      </c>
      <c r="B30" s="146">
        <f>'Comparative YTD 2018-2017 May'!B49</f>
        <v>1890616.29</v>
      </c>
      <c r="C30" s="146">
        <f>'Comparative YTD 2018-2017 May'!C49</f>
        <v>0</v>
      </c>
      <c r="D30" s="146">
        <f>'Comparative YTD 2018-2017 May'!D49</f>
        <v>67789.64</v>
      </c>
      <c r="E30" s="146">
        <f>'Comparative YTD 2018-2017 May'!E49</f>
        <v>0</v>
      </c>
      <c r="F30" s="146">
        <f>'Comparative YTD 2018-2017 May'!F49</f>
        <v>190761.59</v>
      </c>
      <c r="G30" s="146">
        <f>'Comparative YTD 2018-2017 May'!G49</f>
        <v>0</v>
      </c>
      <c r="H30" s="146">
        <f>'Comparative YTD 2018-2017 May'!H49</f>
        <v>0</v>
      </c>
      <c r="I30" s="146">
        <f t="shared" si="7"/>
        <v>2149167.52</v>
      </c>
      <c r="J30" s="135"/>
      <c r="K30" s="145" t="s">
        <v>257</v>
      </c>
      <c r="L30" s="146">
        <f>'Comparative YTD 2018-2017 May'!M49</f>
        <v>2173792.14</v>
      </c>
      <c r="M30" s="146">
        <f>'Comparative YTD 2018-2017 May'!N49</f>
        <v>0</v>
      </c>
      <c r="N30" s="146">
        <f>'Comparative YTD 2018-2017 May'!O49</f>
        <v>116770.3</v>
      </c>
      <c r="O30" s="146">
        <f>'Comparative YTD 2018-2017 May'!P49</f>
        <v>0</v>
      </c>
      <c r="P30" s="146">
        <f>'Comparative YTD 2018-2017 May'!Q49</f>
        <v>192621.1</v>
      </c>
      <c r="Q30" s="146">
        <f>'Comparative YTD 2018-2017 May'!R49</f>
        <v>0</v>
      </c>
      <c r="R30" s="146">
        <f>'Comparative YTD 2018-2017 May'!S49</f>
        <v>0</v>
      </c>
      <c r="S30" s="146">
        <f>SUM(L30:R30)</f>
        <v>2483183.54</v>
      </c>
      <c r="T30" s="146"/>
      <c r="U30" s="145" t="s">
        <v>257</v>
      </c>
      <c r="W30" s="149">
        <f>I30</f>
        <v>2149167.52</v>
      </c>
      <c r="Y30" s="149">
        <f t="shared" ref="Y30:Y37" si="13">S30</f>
        <v>2483183.54</v>
      </c>
      <c r="AA30" s="149">
        <f>I30-S30</f>
        <v>-334016.02</v>
      </c>
      <c r="AB30" s="184"/>
      <c r="AC30" s="157">
        <f>I30/S30</f>
        <v>0.86548879105408372</v>
      </c>
      <c r="AD30" s="149"/>
      <c r="AE30" s="157">
        <f t="shared" ref="AE30:AE31" si="14">AC30-1</f>
        <v>-0.13451120894591628</v>
      </c>
    </row>
    <row r="31" spans="1:31" s="136" customFormat="1" ht="30" customHeight="1" x14ac:dyDescent="0.5">
      <c r="A31" s="144" t="s">
        <v>266</v>
      </c>
      <c r="B31" s="146">
        <f>'Comparative YTD 2018-2017 May'!B74</f>
        <v>1052050.58</v>
      </c>
      <c r="C31" s="146">
        <f>'Comparative YTD 2018-2017 May'!C74</f>
        <v>5544.6900000000005</v>
      </c>
      <c r="D31" s="146">
        <f>'Comparative YTD 2018-2017 May'!D74</f>
        <v>464820.0799999999</v>
      </c>
      <c r="E31" s="146">
        <f>'Comparative YTD 2018-2017 May'!E74</f>
        <v>109</v>
      </c>
      <c r="F31" s="146">
        <f>'Comparative YTD 2018-2017 May'!F74</f>
        <v>156556.97000000003</v>
      </c>
      <c r="G31" s="146">
        <f>'Comparative YTD 2018-2017 May'!G74</f>
        <v>46776.350000000006</v>
      </c>
      <c r="H31" s="146">
        <f>'Comparative YTD 2018-2017 May'!H74</f>
        <v>74014.559999999998</v>
      </c>
      <c r="I31" s="146">
        <f t="shared" si="7"/>
        <v>1799872.23</v>
      </c>
      <c r="J31" s="135"/>
      <c r="K31" s="145" t="s">
        <v>266</v>
      </c>
      <c r="L31" s="146">
        <f>'Comparative YTD 2018-2017 May'!M74</f>
        <v>731927.80000000016</v>
      </c>
      <c r="M31" s="146">
        <f>'Comparative YTD 2018-2017 May'!N74</f>
        <v>7705.0300000000007</v>
      </c>
      <c r="N31" s="146">
        <f>'Comparative YTD 2018-2017 May'!O74</f>
        <v>385318.3</v>
      </c>
      <c r="O31" s="146">
        <f>'Comparative YTD 2018-2017 May'!P74</f>
        <v>0</v>
      </c>
      <c r="P31" s="146">
        <f>'Comparative YTD 2018-2017 May'!Q74</f>
        <v>182583.67999999999</v>
      </c>
      <c r="Q31" s="146">
        <f>'Comparative YTD 2018-2017 May'!R74</f>
        <v>34050.04</v>
      </c>
      <c r="R31" s="146">
        <f>'Comparative YTD 2018-2017 May'!S74</f>
        <v>520</v>
      </c>
      <c r="S31" s="146">
        <f>SUM(L31:R31)</f>
        <v>1342104.8500000001</v>
      </c>
      <c r="T31" s="146"/>
      <c r="U31" s="145" t="s">
        <v>266</v>
      </c>
      <c r="W31" s="149">
        <f t="shared" ref="W31:W32" si="15">I31</f>
        <v>1799872.23</v>
      </c>
      <c r="Y31" s="149">
        <f t="shared" si="13"/>
        <v>1342104.8500000001</v>
      </c>
      <c r="AA31" s="149">
        <f t="shared" ref="AA31:AA32" si="16">I31-S31</f>
        <v>457767.37999999989</v>
      </c>
      <c r="AB31" s="184"/>
      <c r="AC31" s="157">
        <f t="shared" ref="AC31:AC32" si="17">I31/S31</f>
        <v>1.341081682254557</v>
      </c>
      <c r="AD31" s="149"/>
      <c r="AE31" s="157">
        <f t="shared" si="14"/>
        <v>0.34108168225455704</v>
      </c>
    </row>
    <row r="32" spans="1:31" s="136" customFormat="1" ht="30" customHeight="1" x14ac:dyDescent="0.5">
      <c r="A32" s="144" t="s">
        <v>284</v>
      </c>
      <c r="B32" s="146">
        <f>'Comparative YTD 2018-2017 May'!B96</f>
        <v>353006.2</v>
      </c>
      <c r="C32" s="146">
        <f>'Comparative YTD 2018-2017 May'!C96</f>
        <v>37849.89</v>
      </c>
      <c r="D32" s="146">
        <f>'Comparative YTD 2018-2017 May'!D96</f>
        <v>46813.159999999996</v>
      </c>
      <c r="E32" s="146">
        <f>'Comparative YTD 2018-2017 May'!E96</f>
        <v>2341.81</v>
      </c>
      <c r="F32" s="146">
        <f>'Comparative YTD 2018-2017 May'!F96</f>
        <v>30315</v>
      </c>
      <c r="G32" s="146">
        <f>'Comparative YTD 2018-2017 May'!G96</f>
        <v>1325</v>
      </c>
      <c r="H32" s="146">
        <f>'Comparative YTD 2018-2017 May'!H96</f>
        <v>402.15</v>
      </c>
      <c r="I32" s="146">
        <f>'Comparative YTD 2018-2017 May'!I96</f>
        <v>472053.21</v>
      </c>
      <c r="J32" s="135"/>
      <c r="K32" s="145" t="s">
        <v>284</v>
      </c>
      <c r="L32" s="146">
        <f>'Comparative YTD 2018-2017 May'!M96</f>
        <v>324798.8</v>
      </c>
      <c r="M32" s="146">
        <f>'Comparative YTD 2018-2017 May'!N96</f>
        <v>31512.870000000003</v>
      </c>
      <c r="N32" s="146">
        <f>'Comparative YTD 2018-2017 May'!O96</f>
        <v>43385.17</v>
      </c>
      <c r="O32" s="146">
        <f>'Comparative YTD 2018-2017 May'!P96</f>
        <v>3593.56</v>
      </c>
      <c r="P32" s="146">
        <f>'Comparative YTD 2018-2017 May'!Q96</f>
        <v>28405.96</v>
      </c>
      <c r="Q32" s="146">
        <f>'Comparative YTD 2018-2017 May'!R96</f>
        <v>13856</v>
      </c>
      <c r="R32" s="146">
        <f>'Comparative YTD 2018-2017 May'!S96</f>
        <v>2405.7200000000003</v>
      </c>
      <c r="S32" s="146">
        <f>SUM(L32:R32)</f>
        <v>447958.07999999996</v>
      </c>
      <c r="T32" s="146"/>
      <c r="U32" s="145" t="s">
        <v>284</v>
      </c>
      <c r="W32" s="149">
        <f t="shared" si="15"/>
        <v>472053.21</v>
      </c>
      <c r="Y32" s="149">
        <f t="shared" si="13"/>
        <v>447958.07999999996</v>
      </c>
      <c r="AA32" s="149">
        <f t="shared" si="16"/>
        <v>24095.130000000063</v>
      </c>
      <c r="AB32" s="184"/>
      <c r="AC32" s="157">
        <f t="shared" si="17"/>
        <v>1.0537888054167928</v>
      </c>
      <c r="AD32" s="149"/>
      <c r="AE32" s="157">
        <f>AC32-1</f>
        <v>5.3788805416792762E-2</v>
      </c>
    </row>
    <row r="33" spans="1:32" s="136" customFormat="1" ht="30" customHeight="1" thickBot="1" x14ac:dyDescent="0.55000000000000004">
      <c r="A33" s="144" t="s">
        <v>298</v>
      </c>
      <c r="B33" s="158">
        <f>SUM(B30:B32)</f>
        <v>3295673.0700000003</v>
      </c>
      <c r="C33" s="158">
        <f t="shared" ref="C33:I33" si="18">SUM(C30:C32)</f>
        <v>43394.58</v>
      </c>
      <c r="D33" s="158">
        <f t="shared" si="18"/>
        <v>579422.87999999989</v>
      </c>
      <c r="E33" s="158">
        <f t="shared" si="18"/>
        <v>2450.81</v>
      </c>
      <c r="F33" s="158">
        <f t="shared" si="18"/>
        <v>377633.56000000006</v>
      </c>
      <c r="G33" s="158">
        <f t="shared" ref="G33" si="19">SUM(G30:G32)</f>
        <v>48101.350000000006</v>
      </c>
      <c r="H33" s="158">
        <f t="shared" si="18"/>
        <v>74416.709999999992</v>
      </c>
      <c r="I33" s="158">
        <f t="shared" si="18"/>
        <v>4421092.96</v>
      </c>
      <c r="J33" s="135"/>
      <c r="K33" s="145" t="s">
        <v>298</v>
      </c>
      <c r="L33" s="158">
        <f>SUM(L30:L32)</f>
        <v>3230518.74</v>
      </c>
      <c r="M33" s="158">
        <f t="shared" ref="M33:R33" si="20">SUM(M30:M32)</f>
        <v>39217.9</v>
      </c>
      <c r="N33" s="158">
        <f t="shared" si="20"/>
        <v>545473.77</v>
      </c>
      <c r="O33" s="158">
        <f t="shared" si="20"/>
        <v>3593.56</v>
      </c>
      <c r="P33" s="158">
        <f t="shared" si="20"/>
        <v>403610.74000000005</v>
      </c>
      <c r="Q33" s="158">
        <f t="shared" ref="Q33" si="21">SUM(Q30:Q32)</f>
        <v>47906.04</v>
      </c>
      <c r="R33" s="158">
        <f t="shared" si="20"/>
        <v>2925.7200000000003</v>
      </c>
      <c r="S33" s="158">
        <f>SUM(S30:S32)</f>
        <v>4273246.47</v>
      </c>
      <c r="T33" s="181"/>
      <c r="U33" s="145" t="s">
        <v>298</v>
      </c>
      <c r="W33" s="159">
        <f>I33</f>
        <v>4421092.96</v>
      </c>
      <c r="Y33" s="159">
        <f t="shared" si="13"/>
        <v>4273246.47</v>
      </c>
      <c r="AA33" s="159">
        <f>I33-S33</f>
        <v>147846.49000000022</v>
      </c>
      <c r="AB33" s="184"/>
      <c r="AC33" s="164">
        <f>I33/S33</f>
        <v>1.0345981658296439</v>
      </c>
      <c r="AD33" s="159"/>
      <c r="AE33" s="164">
        <f>AC33-1</f>
        <v>3.4598165829643923E-2</v>
      </c>
    </row>
    <row r="34" spans="1:32" s="136" customFormat="1" ht="30" customHeight="1" x14ac:dyDescent="0.5">
      <c r="B34" s="146"/>
      <c r="C34" s="146"/>
      <c r="D34" s="146"/>
      <c r="E34" s="146"/>
      <c r="F34" s="146"/>
      <c r="G34" s="146"/>
      <c r="H34" s="146"/>
      <c r="I34" s="146"/>
      <c r="J34" s="135"/>
      <c r="K34" s="135"/>
      <c r="L34" s="146"/>
      <c r="M34" s="146"/>
      <c r="N34" s="146"/>
      <c r="O34" s="146"/>
      <c r="P34" s="146"/>
      <c r="Q34" s="146"/>
      <c r="R34" s="146"/>
      <c r="S34" s="146"/>
      <c r="T34" s="146"/>
      <c r="U34" s="135"/>
      <c r="W34" s="139"/>
      <c r="Y34" s="139">
        <f t="shared" si="13"/>
        <v>0</v>
      </c>
      <c r="AA34" s="139"/>
      <c r="AB34" s="185"/>
      <c r="AC34" s="157"/>
      <c r="AD34" s="139"/>
      <c r="AE34" s="157"/>
    </row>
    <row r="35" spans="1:32" s="136" customFormat="1" ht="30" customHeight="1" x14ac:dyDescent="0.5">
      <c r="A35" s="144" t="s">
        <v>469</v>
      </c>
      <c r="B35" s="146">
        <f>'Comparative YTD 2018-2017 May'!B111</f>
        <v>384349.44</v>
      </c>
      <c r="C35" s="146">
        <f>'Comparative YTD 2018-2017 May'!C111</f>
        <v>-198648.07</v>
      </c>
      <c r="D35" s="146">
        <f>'Comparative YTD 2018-2017 May'!D111</f>
        <v>75291.05</v>
      </c>
      <c r="E35" s="146">
        <f>'Comparative YTD 2018-2017 May'!E111</f>
        <v>12877.97</v>
      </c>
      <c r="F35" s="146">
        <f>'Comparative YTD 2018-2017 May'!F111</f>
        <v>-17738.39</v>
      </c>
      <c r="G35" s="146">
        <f>'Comparative YTD 2018-2017 May'!G111</f>
        <v>102474.28</v>
      </c>
      <c r="H35" s="146">
        <f>'Comparative YTD 2018-2017 May'!H111</f>
        <v>0</v>
      </c>
      <c r="I35" s="146">
        <f>SUM(B35:H35)</f>
        <v>358606.27999999991</v>
      </c>
      <c r="J35" s="135"/>
      <c r="K35" s="145" t="s">
        <v>308</v>
      </c>
      <c r="L35" s="146">
        <f>'Comparative YTD 2018-2017 May'!M111</f>
        <v>148085.96000000002</v>
      </c>
      <c r="M35" s="146">
        <f>'Comparative YTD 2018-2017 May'!N111</f>
        <v>-171710</v>
      </c>
      <c r="N35" s="146">
        <f>'Comparative YTD 2018-2017 May'!O111</f>
        <v>0</v>
      </c>
      <c r="O35" s="146">
        <f>'Comparative YTD 2018-2017 May'!P111</f>
        <v>49469.36</v>
      </c>
      <c r="P35" s="146">
        <f>'Comparative YTD 2018-2017 May'!Q111</f>
        <v>-47418.79</v>
      </c>
      <c r="Q35" s="146">
        <f>'Comparative YTD 2018-2017 May'!R111</f>
        <v>227928.66</v>
      </c>
      <c r="R35" s="146">
        <f>'Comparative YTD 2018-2017 May'!S111</f>
        <v>100000</v>
      </c>
      <c r="S35" s="146">
        <f>SUM(L35:R35)</f>
        <v>306355.19000000006</v>
      </c>
      <c r="T35" s="146"/>
      <c r="U35" s="145" t="s">
        <v>308</v>
      </c>
      <c r="W35" s="139">
        <f>I35</f>
        <v>358606.27999999991</v>
      </c>
      <c r="Y35" s="139">
        <f t="shared" si="13"/>
        <v>306355.19000000006</v>
      </c>
      <c r="AA35" s="139">
        <f>I35-S35</f>
        <v>52251.089999999851</v>
      </c>
      <c r="AB35" s="185"/>
      <c r="AC35" s="157">
        <f>I35/S35</f>
        <v>1.1705572215048807</v>
      </c>
      <c r="AD35" s="140"/>
      <c r="AE35" s="157">
        <f t="shared" ref="AE35" si="22">AC35-1</f>
        <v>0.17055722150488073</v>
      </c>
      <c r="AF35" s="140"/>
    </row>
    <row r="36" spans="1:32" s="136" customFormat="1" ht="30" customHeight="1" x14ac:dyDescent="0.5">
      <c r="A36" s="144"/>
      <c r="B36" s="146"/>
      <c r="C36" s="146"/>
      <c r="D36" s="146"/>
      <c r="E36" s="146"/>
      <c r="F36" s="146"/>
      <c r="G36" s="146"/>
      <c r="H36" s="146"/>
      <c r="I36" s="146">
        <f>SUM(B36:H36)</f>
        <v>0</v>
      </c>
      <c r="J36" s="147"/>
      <c r="K36" s="145"/>
      <c r="L36" s="146"/>
      <c r="M36" s="146"/>
      <c r="N36" s="146"/>
      <c r="O36" s="146"/>
      <c r="P36" s="146"/>
      <c r="Q36" s="146"/>
      <c r="R36" s="146"/>
      <c r="S36" s="146">
        <f t="shared" ref="S36:S37" si="23">SUM(L36:R36)</f>
        <v>0</v>
      </c>
      <c r="T36" s="146"/>
      <c r="U36" s="145"/>
      <c r="V36" s="148"/>
      <c r="W36" s="149"/>
      <c r="X36" s="148"/>
      <c r="Y36" s="149">
        <f t="shared" si="13"/>
        <v>0</v>
      </c>
      <c r="Z36" s="148"/>
      <c r="AA36" s="149"/>
      <c r="AB36" s="184"/>
      <c r="AC36" s="140"/>
      <c r="AD36" s="140"/>
      <c r="AE36" s="140"/>
      <c r="AF36" s="140"/>
    </row>
    <row r="37" spans="1:32" s="136" customFormat="1" ht="30" customHeight="1" thickBot="1" x14ac:dyDescent="0.55000000000000004">
      <c r="A37" s="144" t="s">
        <v>300</v>
      </c>
      <c r="B37" s="166">
        <f t="shared" ref="B37:I37" si="24">B27-B33+B35</f>
        <v>44839.90999948472</v>
      </c>
      <c r="C37" s="166">
        <f t="shared" si="24"/>
        <v>169575.52999999595</v>
      </c>
      <c r="D37" s="166">
        <f t="shared" si="24"/>
        <v>300509.56000000023</v>
      </c>
      <c r="E37" s="166">
        <f t="shared" si="24"/>
        <v>10427.16</v>
      </c>
      <c r="F37" s="166">
        <f t="shared" si="24"/>
        <v>109237.00999999997</v>
      </c>
      <c r="G37" s="166">
        <f t="shared" ref="G37" si="25">G27-G33+G35</f>
        <v>54372.929999999993</v>
      </c>
      <c r="H37" s="166">
        <f t="shared" si="24"/>
        <v>-74416.709999999992</v>
      </c>
      <c r="I37" s="166">
        <f t="shared" si="24"/>
        <v>614545.3899994815</v>
      </c>
      <c r="J37" s="135"/>
      <c r="K37" s="145" t="s">
        <v>300</v>
      </c>
      <c r="L37" s="166">
        <f t="shared" ref="L37:R37" si="26">L27-L33+L35</f>
        <v>-727860.44999983814</v>
      </c>
      <c r="M37" s="166">
        <f t="shared" si="26"/>
        <v>37424.235999999946</v>
      </c>
      <c r="N37" s="166">
        <f t="shared" si="26"/>
        <v>394479.25999999989</v>
      </c>
      <c r="O37" s="166">
        <f t="shared" si="26"/>
        <v>45875.8</v>
      </c>
      <c r="P37" s="166">
        <f t="shared" si="26"/>
        <v>106117.28999999989</v>
      </c>
      <c r="Q37" s="166">
        <f t="shared" ref="Q37" si="27">Q27-Q33+Q35</f>
        <v>180022.62</v>
      </c>
      <c r="R37" s="166">
        <f t="shared" si="26"/>
        <v>97074.28</v>
      </c>
      <c r="S37" s="166">
        <f t="shared" si="23"/>
        <v>133133.03600016155</v>
      </c>
      <c r="T37" s="182"/>
      <c r="U37" s="145" t="s">
        <v>300</v>
      </c>
      <c r="W37" s="167">
        <f>W27-W33+W35</f>
        <v>614545.3899994815</v>
      </c>
      <c r="Y37" s="167">
        <f t="shared" si="13"/>
        <v>133133.03600016155</v>
      </c>
      <c r="AA37" s="167">
        <f>I37-S37</f>
        <v>481412.35399931995</v>
      </c>
      <c r="AB37" s="186"/>
      <c r="AC37" s="160">
        <f>I37/S37</f>
        <v>4.6160247558595131</v>
      </c>
      <c r="AD37" s="159"/>
      <c r="AE37" s="160">
        <f>AC37-1</f>
        <v>3.6160247558595131</v>
      </c>
      <c r="AF37" s="140"/>
    </row>
    <row r="38" spans="1:32" ht="30" customHeight="1" thickTop="1" x14ac:dyDescent="0.25">
      <c r="B38" s="132"/>
      <c r="C38" s="132"/>
      <c r="D38" s="132"/>
      <c r="E38" s="132"/>
      <c r="F38" s="132"/>
      <c r="G38" s="132"/>
      <c r="H38" s="132"/>
      <c r="I38" s="132"/>
      <c r="AB38" s="187"/>
      <c r="AD38" s="122"/>
      <c r="AF38" s="122"/>
    </row>
    <row r="39" spans="1:32" ht="30" customHeight="1" x14ac:dyDescent="0.25">
      <c r="AB39" s="187"/>
      <c r="AD39" s="122"/>
      <c r="AF39" s="122"/>
    </row>
    <row r="40" spans="1:32" s="136" customFormat="1" ht="30" customHeight="1" x14ac:dyDescent="0.5">
      <c r="A40" s="136" t="s">
        <v>368</v>
      </c>
      <c r="B40" s="146">
        <v>44839.91</v>
      </c>
      <c r="C40" s="146">
        <v>169575.53</v>
      </c>
      <c r="D40" s="146">
        <v>300509.56</v>
      </c>
      <c r="E40" s="146">
        <v>10427.16</v>
      </c>
      <c r="F40" s="146">
        <v>109237.01</v>
      </c>
      <c r="G40" s="146">
        <v>54372.93</v>
      </c>
      <c r="H40" s="146">
        <v>-74416.710000000006</v>
      </c>
      <c r="I40" s="146">
        <f>SUM(B40:H40)</f>
        <v>614545.39000000013</v>
      </c>
      <c r="J40" s="147"/>
      <c r="K40" s="135"/>
      <c r="L40" s="146">
        <v>-727860.45</v>
      </c>
      <c r="M40" s="146">
        <v>37424.239999999998</v>
      </c>
      <c r="N40" s="146">
        <v>394479.26</v>
      </c>
      <c r="O40" s="146">
        <v>45875.8</v>
      </c>
      <c r="P40" s="146">
        <v>106117.29</v>
      </c>
      <c r="Q40" s="146">
        <v>180022.62</v>
      </c>
      <c r="R40" s="146">
        <v>97074.28</v>
      </c>
      <c r="S40" s="146">
        <f>SUM(L40:R40)</f>
        <v>133133.04</v>
      </c>
      <c r="T40" s="146"/>
      <c r="U40" s="135"/>
      <c r="V40" s="148"/>
      <c r="W40" s="149"/>
      <c r="X40" s="148"/>
      <c r="Y40" s="149"/>
      <c r="Z40" s="148"/>
      <c r="AA40" s="149"/>
      <c r="AB40" s="149"/>
      <c r="AC40" s="140"/>
      <c r="AD40" s="140"/>
      <c r="AE40" s="140"/>
      <c r="AF40" s="140"/>
    </row>
    <row r="41" spans="1:32" s="136" customFormat="1" ht="30" customHeight="1" x14ac:dyDescent="0.5">
      <c r="B41" s="146">
        <f t="shared" ref="B41:D41" si="28">B37-B40</f>
        <v>-5.1528331823647022E-7</v>
      </c>
      <c r="C41" s="146">
        <f t="shared" si="28"/>
        <v>-4.0454324334859848E-9</v>
      </c>
      <c r="D41" s="146">
        <f t="shared" si="28"/>
        <v>0</v>
      </c>
      <c r="E41" s="146">
        <f>E37-E40</f>
        <v>0</v>
      </c>
      <c r="F41" s="146">
        <f>F37-F40</f>
        <v>0</v>
      </c>
      <c r="G41" s="146">
        <f>G37-G40</f>
        <v>0</v>
      </c>
      <c r="H41" s="146">
        <f>H37-H40</f>
        <v>0</v>
      </c>
      <c r="I41" s="146">
        <f>I37-I40</f>
        <v>-5.186302587389946E-7</v>
      </c>
      <c r="J41" s="147"/>
      <c r="K41" s="135"/>
      <c r="L41" s="146">
        <f>L37-L40</f>
        <v>1.6181729733943939E-7</v>
      </c>
      <c r="M41" s="146">
        <f t="shared" ref="M41:R41" si="29">M37-M40</f>
        <v>-4.0000000517466106E-3</v>
      </c>
      <c r="N41" s="146">
        <f t="shared" si="29"/>
        <v>0</v>
      </c>
      <c r="O41" s="146">
        <f t="shared" si="29"/>
        <v>0</v>
      </c>
      <c r="P41" s="146">
        <f t="shared" si="29"/>
        <v>0</v>
      </c>
      <c r="Q41" s="146">
        <f t="shared" ref="Q41" si="30">Q37-Q40</f>
        <v>0</v>
      </c>
      <c r="R41" s="146">
        <f t="shared" si="29"/>
        <v>0</v>
      </c>
      <c r="S41" s="146">
        <f>S37-S40</f>
        <v>-3.9998384600039572E-3</v>
      </c>
      <c r="T41" s="146"/>
      <c r="U41" s="135"/>
      <c r="V41" s="148"/>
      <c r="W41" s="149">
        <f>I37-W37</f>
        <v>0</v>
      </c>
      <c r="X41" s="148"/>
      <c r="Y41" s="149">
        <f>Y37-S37</f>
        <v>0</v>
      </c>
      <c r="Z41" s="148"/>
      <c r="AA41" s="149">
        <f>AA21-AA25-AA33+AA35-AA37</f>
        <v>3.8975849747657776E-7</v>
      </c>
      <c r="AB41" s="149"/>
      <c r="AC41" s="140"/>
      <c r="AD41" s="140"/>
      <c r="AE41" s="140"/>
      <c r="AF41" s="140"/>
    </row>
    <row r="42" spans="1:32" s="136" customFormat="1" ht="30" customHeight="1" x14ac:dyDescent="0.5">
      <c r="B42" s="146"/>
      <c r="C42" s="146"/>
      <c r="D42" s="146"/>
      <c r="E42" s="146"/>
      <c r="F42" s="146"/>
      <c r="G42" s="146"/>
      <c r="H42" s="146"/>
      <c r="I42" s="146"/>
      <c r="J42" s="147"/>
      <c r="K42" s="135"/>
      <c r="L42" s="146"/>
      <c r="M42" s="146"/>
      <c r="N42" s="146"/>
      <c r="O42" s="146"/>
      <c r="P42" s="146"/>
      <c r="Q42" s="146"/>
      <c r="R42" s="146"/>
      <c r="S42" s="146"/>
      <c r="T42" s="146"/>
      <c r="U42" s="135"/>
      <c r="V42" s="148"/>
      <c r="W42" s="149"/>
      <c r="X42" s="148"/>
      <c r="Y42" s="149"/>
      <c r="Z42" s="148"/>
      <c r="AA42" s="149"/>
      <c r="AB42" s="149"/>
      <c r="AC42" s="140"/>
      <c r="AD42" s="140"/>
      <c r="AE42" s="140"/>
      <c r="AF42" s="140"/>
    </row>
    <row r="43" spans="1:32" x14ac:dyDescent="0.25">
      <c r="B43" s="130"/>
      <c r="C43" s="130"/>
      <c r="D43" s="130"/>
      <c r="E43" s="130"/>
    </row>
    <row r="44" spans="1:32" x14ac:dyDescent="0.25">
      <c r="B44" s="130"/>
      <c r="C44" s="130"/>
      <c r="D44" s="130"/>
      <c r="E44" s="130"/>
    </row>
    <row r="45" spans="1:32" x14ac:dyDescent="0.25">
      <c r="B45" s="130"/>
      <c r="C45" s="130"/>
      <c r="D45" s="130"/>
      <c r="E45" s="130"/>
    </row>
    <row r="46" spans="1:32" x14ac:dyDescent="0.25">
      <c r="B46" s="130"/>
      <c r="C46" s="130"/>
      <c r="D46" s="130"/>
      <c r="E46" s="130"/>
    </row>
    <row r="47" spans="1:32" x14ac:dyDescent="0.25">
      <c r="B47" s="130"/>
      <c r="C47" s="130"/>
      <c r="D47" s="130"/>
      <c r="E47" s="130"/>
    </row>
  </sheetData>
  <mergeCells count="12"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  <mergeCell ref="K11:S11"/>
    <mergeCell ref="A12:I12"/>
  </mergeCells>
  <pageMargins left="0.7" right="0.7" top="0.75" bottom="0.75" header="0.3" footer="0.3"/>
  <pageSetup scale="31" orientation="portrait" r:id="rId1"/>
  <headerFooter>
    <oddFooter>Page &amp;P of &amp;N</oddFooter>
  </headerFooter>
  <rowBreaks count="1" manualBreakCount="1">
    <brk id="31" max="27" man="1"/>
  </rowBreaks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C7F1F-A714-4459-863D-98E5F818960D}">
  <sheetPr>
    <tabColor theme="9" tint="0.79998168889431442"/>
  </sheetPr>
  <dimension ref="A2:AG123"/>
  <sheetViews>
    <sheetView zoomScale="50" zoomScaleNormal="50" workbookViewId="0">
      <pane ySplit="14" topLeftCell="A93" activePane="bottomLeft" state="frozen"/>
      <selection pane="bottomLeft" activeCell="D107" sqref="D107"/>
    </sheetView>
  </sheetViews>
  <sheetFormatPr defaultRowHeight="15" x14ac:dyDescent="0.25"/>
  <cols>
    <col min="1" max="1" width="82.42578125" bestFit="1" customWidth="1"/>
    <col min="2" max="2" width="39.42578125" style="128" bestFit="1" customWidth="1"/>
    <col min="3" max="3" width="33.28515625" style="128" bestFit="1" customWidth="1"/>
    <col min="4" max="4" width="26.140625" style="128" bestFit="1" customWidth="1"/>
    <col min="5" max="5" width="24.42578125" style="128" bestFit="1" customWidth="1"/>
    <col min="6" max="6" width="27.5703125" style="128" bestFit="1" customWidth="1"/>
    <col min="7" max="8" width="26.140625" style="128" bestFit="1" customWidth="1"/>
    <col min="9" max="9" width="38.140625" style="128" bestFit="1" customWidth="1"/>
    <col min="10" max="10" width="18.7109375" style="128" bestFit="1" customWidth="1"/>
    <col min="11" max="11" width="11.42578125" style="128" customWidth="1"/>
    <col min="12" max="12" width="82.42578125" style="128" bestFit="1" customWidth="1"/>
    <col min="13" max="13" width="38.140625" style="128" bestFit="1" customWidth="1"/>
    <col min="14" max="14" width="33.28515625" style="128" bestFit="1" customWidth="1"/>
    <col min="15" max="15" width="27" style="128" bestFit="1" customWidth="1"/>
    <col min="16" max="16" width="24.7109375" style="128" customWidth="1"/>
    <col min="17" max="19" width="27" style="128" bestFit="1" customWidth="1"/>
    <col min="20" max="20" width="38.140625" style="128" bestFit="1" customWidth="1"/>
    <col min="21" max="21" width="22.5703125" bestFit="1" customWidth="1"/>
    <col min="22" max="22" width="68" style="128" bestFit="1" customWidth="1"/>
    <col min="23" max="23" width="11.42578125" customWidth="1"/>
    <col min="24" max="24" width="39.42578125" bestFit="1" customWidth="1"/>
    <col min="25" max="25" width="11.42578125" customWidth="1"/>
    <col min="26" max="26" width="39.42578125" bestFit="1" customWidth="1"/>
    <col min="27" max="27" width="11.42578125" customWidth="1"/>
    <col min="28" max="28" width="39.42578125" style="91" bestFit="1" customWidth="1"/>
    <col min="29" max="29" width="4.28515625" style="91" customWidth="1"/>
    <col min="30" max="30" width="21.140625" style="122" bestFit="1" customWidth="1"/>
    <col min="31" max="31" width="4.28515625" style="91" customWidth="1"/>
    <col min="32" max="32" width="23" style="122" bestFit="1" customWidth="1"/>
  </cols>
  <sheetData>
    <row r="2" spans="1:32" ht="40.5" customHeight="1" x14ac:dyDescent="0.7">
      <c r="A2" s="198" t="s">
        <v>384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</row>
    <row r="3" spans="1:32" ht="40.5" customHeight="1" x14ac:dyDescent="0.7">
      <c r="A3" s="198" t="s">
        <v>432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</row>
    <row r="4" spans="1:32" ht="14.25" customHeight="1" thickBot="1" x14ac:dyDescent="0.3"/>
    <row r="5" spans="1:32" s="127" customFormat="1" ht="55.5" customHeight="1" x14ac:dyDescent="0.7">
      <c r="A5" s="199">
        <v>2018</v>
      </c>
      <c r="B5" s="200"/>
      <c r="C5" s="200"/>
      <c r="D5" s="200"/>
      <c r="E5" s="200"/>
      <c r="F5" s="200"/>
      <c r="G5" s="200"/>
      <c r="H5" s="200"/>
      <c r="I5" s="200"/>
      <c r="J5" s="201"/>
      <c r="K5" s="129"/>
      <c r="L5" s="199">
        <v>2017</v>
      </c>
      <c r="M5" s="200"/>
      <c r="N5" s="200"/>
      <c r="O5" s="200"/>
      <c r="P5" s="200"/>
      <c r="Q5" s="200"/>
      <c r="R5" s="200"/>
      <c r="S5" s="200"/>
      <c r="T5" s="200"/>
      <c r="U5" s="201"/>
      <c r="V5" s="202" t="s">
        <v>449</v>
      </c>
      <c r="W5" s="203"/>
      <c r="X5" s="203"/>
      <c r="Y5" s="203"/>
      <c r="Z5" s="203"/>
      <c r="AA5" s="203"/>
      <c r="AB5" s="203"/>
      <c r="AC5" s="203"/>
      <c r="AD5" s="203"/>
      <c r="AE5" s="203"/>
      <c r="AF5" s="204"/>
    </row>
    <row r="6" spans="1:32" s="127" customFormat="1" ht="30" customHeight="1" x14ac:dyDescent="0.5">
      <c r="A6" s="211" t="s">
        <v>450</v>
      </c>
      <c r="B6" s="212"/>
      <c r="C6" s="212"/>
      <c r="D6" s="212"/>
      <c r="E6" s="212"/>
      <c r="F6" s="212"/>
      <c r="G6" s="212"/>
      <c r="H6" s="212"/>
      <c r="I6" s="212"/>
      <c r="J6" s="213"/>
      <c r="K6" s="129"/>
      <c r="L6" s="211" t="s">
        <v>450</v>
      </c>
      <c r="M6" s="212"/>
      <c r="N6" s="212"/>
      <c r="O6" s="212"/>
      <c r="P6" s="212"/>
      <c r="Q6" s="212"/>
      <c r="R6" s="212"/>
      <c r="S6" s="212"/>
      <c r="T6" s="212"/>
      <c r="U6" s="213"/>
      <c r="V6" s="205"/>
      <c r="W6" s="206"/>
      <c r="X6" s="206"/>
      <c r="Y6" s="206"/>
      <c r="Z6" s="206"/>
      <c r="AA6" s="206"/>
      <c r="AB6" s="206"/>
      <c r="AC6" s="206"/>
      <c r="AD6" s="206"/>
      <c r="AE6" s="206"/>
      <c r="AF6" s="207"/>
    </row>
    <row r="7" spans="1:32" s="127" customFormat="1" ht="30" customHeight="1" x14ac:dyDescent="0.5">
      <c r="A7" s="211" t="s">
        <v>383</v>
      </c>
      <c r="B7" s="212"/>
      <c r="C7" s="212"/>
      <c r="D7" s="212"/>
      <c r="E7" s="212"/>
      <c r="F7" s="212"/>
      <c r="G7" s="212"/>
      <c r="H7" s="212"/>
      <c r="I7" s="212"/>
      <c r="J7" s="213"/>
      <c r="K7" s="129"/>
      <c r="L7" s="211" t="s">
        <v>383</v>
      </c>
      <c r="M7" s="212"/>
      <c r="N7" s="212"/>
      <c r="O7" s="212"/>
      <c r="P7" s="212"/>
      <c r="Q7" s="212"/>
      <c r="R7" s="212"/>
      <c r="S7" s="212"/>
      <c r="T7" s="212"/>
      <c r="U7" s="213"/>
      <c r="V7" s="205"/>
      <c r="W7" s="206"/>
      <c r="X7" s="206"/>
      <c r="Y7" s="206"/>
      <c r="Z7" s="206"/>
      <c r="AA7" s="206"/>
      <c r="AB7" s="206"/>
      <c r="AC7" s="206"/>
      <c r="AD7" s="206"/>
      <c r="AE7" s="206"/>
      <c r="AF7" s="207"/>
    </row>
    <row r="8" spans="1:32" s="127" customFormat="1" ht="30" customHeight="1" thickBot="1" x14ac:dyDescent="0.55000000000000004">
      <c r="A8" s="194">
        <v>43251</v>
      </c>
      <c r="B8" s="195"/>
      <c r="C8" s="195"/>
      <c r="D8" s="195"/>
      <c r="E8" s="195"/>
      <c r="F8" s="195"/>
      <c r="G8" s="195"/>
      <c r="H8" s="195"/>
      <c r="I8" s="195"/>
      <c r="J8" s="196"/>
      <c r="K8" s="129"/>
      <c r="L8" s="194">
        <v>42886</v>
      </c>
      <c r="M8" s="195"/>
      <c r="N8" s="195"/>
      <c r="O8" s="195"/>
      <c r="P8" s="195"/>
      <c r="Q8" s="195"/>
      <c r="R8" s="195"/>
      <c r="S8" s="195"/>
      <c r="T8" s="195"/>
      <c r="U8" s="196"/>
      <c r="V8" s="208"/>
      <c r="W8" s="209"/>
      <c r="X8" s="209"/>
      <c r="Y8" s="209"/>
      <c r="Z8" s="209"/>
      <c r="AA8" s="209"/>
      <c r="AB8" s="209"/>
      <c r="AC8" s="209"/>
      <c r="AD8" s="209"/>
      <c r="AE8" s="209"/>
      <c r="AF8" s="210"/>
    </row>
    <row r="9" spans="1:32" s="136" customFormat="1" ht="24.75" customHeight="1" x14ac:dyDescent="0.5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5"/>
      <c r="L9" s="134"/>
      <c r="M9" s="134"/>
      <c r="N9" s="134"/>
      <c r="O9" s="134"/>
      <c r="P9" s="134"/>
      <c r="Q9" s="134"/>
      <c r="R9" s="134"/>
      <c r="S9" s="134"/>
      <c r="T9" s="134"/>
      <c r="U9" s="133"/>
      <c r="V9" s="134"/>
      <c r="X9" s="137"/>
      <c r="Z9" s="137"/>
      <c r="AB9" s="137"/>
      <c r="AC9" s="137"/>
      <c r="AD9" s="137"/>
      <c r="AE9" s="137"/>
      <c r="AF9" s="137"/>
    </row>
    <row r="10" spans="1:32" s="136" customFormat="1" ht="24.75" customHeight="1" x14ac:dyDescent="0.5">
      <c r="B10" s="135"/>
      <c r="C10" s="135"/>
      <c r="D10" s="135"/>
      <c r="E10" s="135"/>
      <c r="F10" s="135"/>
      <c r="G10" s="135"/>
      <c r="H10" s="135"/>
      <c r="I10" s="135"/>
      <c r="J10" s="134">
        <v>2018</v>
      </c>
      <c r="K10" s="134"/>
      <c r="L10" s="138"/>
      <c r="M10" s="138"/>
      <c r="N10" s="138"/>
      <c r="O10" s="138"/>
      <c r="P10" s="138"/>
      <c r="Q10" s="138"/>
      <c r="R10" s="138"/>
      <c r="S10" s="138"/>
      <c r="T10" s="138"/>
      <c r="U10" s="133">
        <v>2017</v>
      </c>
      <c r="V10" s="138"/>
      <c r="W10" s="133"/>
      <c r="X10" s="139"/>
      <c r="Y10" s="133"/>
      <c r="Z10" s="139"/>
      <c r="AA10" s="133"/>
      <c r="AB10" s="139"/>
      <c r="AC10" s="139"/>
      <c r="AD10" s="140"/>
      <c r="AE10" s="139"/>
      <c r="AF10" s="140"/>
    </row>
    <row r="11" spans="1:32" s="136" customFormat="1" ht="24.75" customHeight="1" x14ac:dyDescent="0.5">
      <c r="B11" s="135"/>
      <c r="C11" s="135"/>
      <c r="D11" s="135"/>
      <c r="E11" s="135"/>
      <c r="F11" s="135"/>
      <c r="G11" s="135"/>
      <c r="H11" s="135"/>
      <c r="I11" s="135"/>
      <c r="J11" s="134" t="s">
        <v>382</v>
      </c>
      <c r="K11" s="134"/>
      <c r="L11" s="138"/>
      <c r="M11" s="138"/>
      <c r="N11" s="138"/>
      <c r="O11" s="138"/>
      <c r="P11" s="138"/>
      <c r="Q11" s="138"/>
      <c r="R11" s="138"/>
      <c r="S11" s="138"/>
      <c r="T11" s="138"/>
      <c r="U11" s="133" t="s">
        <v>382</v>
      </c>
      <c r="V11" s="138"/>
      <c r="W11" s="133"/>
      <c r="X11" s="139"/>
      <c r="Y11" s="133"/>
      <c r="Z11" s="139"/>
      <c r="AA11" s="133"/>
      <c r="AB11" s="139"/>
      <c r="AC11" s="139"/>
      <c r="AD11" s="133" t="s">
        <v>377</v>
      </c>
      <c r="AE11" s="139"/>
      <c r="AF11" s="140"/>
    </row>
    <row r="12" spans="1:32" s="136" customFormat="1" ht="24.75" customHeight="1" x14ac:dyDescent="0.5">
      <c r="B12" s="135"/>
      <c r="C12" s="135"/>
      <c r="D12" s="135"/>
      <c r="E12" s="135"/>
      <c r="F12" s="135"/>
      <c r="G12" s="135"/>
      <c r="H12" s="135"/>
      <c r="I12" s="135"/>
      <c r="J12" s="134" t="s">
        <v>380</v>
      </c>
      <c r="K12" s="134"/>
      <c r="L12" s="135"/>
      <c r="M12" s="135"/>
      <c r="N12" s="135"/>
      <c r="O12" s="135"/>
      <c r="P12" s="135"/>
      <c r="Q12" s="135"/>
      <c r="R12" s="135"/>
      <c r="S12" s="135"/>
      <c r="T12" s="135"/>
      <c r="U12" s="133" t="s">
        <v>380</v>
      </c>
      <c r="V12" s="135"/>
      <c r="W12" s="133"/>
      <c r="X12" s="133"/>
      <c r="Y12" s="133"/>
      <c r="Z12" s="133"/>
      <c r="AA12" s="133"/>
      <c r="AB12" s="133" t="s">
        <v>377</v>
      </c>
      <c r="AC12" s="133"/>
      <c r="AD12" s="140" t="s">
        <v>380</v>
      </c>
      <c r="AE12" s="133"/>
      <c r="AF12" s="133" t="s">
        <v>379</v>
      </c>
    </row>
    <row r="13" spans="1:32" s="136" customFormat="1" ht="24.75" customHeight="1" x14ac:dyDescent="0.5">
      <c r="B13" s="135"/>
      <c r="C13" s="135"/>
      <c r="D13" s="135"/>
      <c r="E13" s="135"/>
      <c r="F13" s="135"/>
      <c r="G13" s="135"/>
      <c r="H13" s="135"/>
      <c r="I13" s="134" t="s">
        <v>217</v>
      </c>
      <c r="J13" s="134" t="s">
        <v>217</v>
      </c>
      <c r="K13" s="134"/>
      <c r="L13" s="135"/>
      <c r="M13" s="135"/>
      <c r="N13" s="135"/>
      <c r="O13" s="135"/>
      <c r="P13" s="135"/>
      <c r="Q13" s="135"/>
      <c r="R13" s="135"/>
      <c r="S13" s="135"/>
      <c r="T13" s="134" t="s">
        <v>217</v>
      </c>
      <c r="U13" s="133" t="s">
        <v>217</v>
      </c>
      <c r="V13" s="135"/>
      <c r="W13" s="133"/>
      <c r="X13" s="133">
        <v>2018</v>
      </c>
      <c r="Y13" s="133"/>
      <c r="Z13" s="133">
        <v>2017</v>
      </c>
      <c r="AA13" s="133"/>
      <c r="AB13" s="133" t="s">
        <v>378</v>
      </c>
      <c r="AC13" s="133"/>
      <c r="AD13" s="133" t="s">
        <v>378</v>
      </c>
      <c r="AE13" s="133"/>
      <c r="AF13" s="133" t="s">
        <v>381</v>
      </c>
    </row>
    <row r="14" spans="1:32" s="136" customFormat="1" ht="24.75" customHeight="1" x14ac:dyDescent="0.5">
      <c r="B14" s="141" t="s">
        <v>243</v>
      </c>
      <c r="C14" s="141" t="s">
        <v>245</v>
      </c>
      <c r="D14" s="141" t="s">
        <v>244</v>
      </c>
      <c r="E14" s="141" t="s">
        <v>246</v>
      </c>
      <c r="F14" s="141" t="s">
        <v>247</v>
      </c>
      <c r="G14" s="141" t="s">
        <v>451</v>
      </c>
      <c r="H14" s="141" t="s">
        <v>464</v>
      </c>
      <c r="I14" s="141">
        <v>2018</v>
      </c>
      <c r="J14" s="142" t="s">
        <v>376</v>
      </c>
      <c r="K14" s="142"/>
      <c r="L14" s="135"/>
      <c r="M14" s="141" t="s">
        <v>243</v>
      </c>
      <c r="N14" s="141" t="s">
        <v>245</v>
      </c>
      <c r="O14" s="141" t="s">
        <v>244</v>
      </c>
      <c r="P14" s="141" t="s">
        <v>246</v>
      </c>
      <c r="Q14" s="141" t="s">
        <v>247</v>
      </c>
      <c r="R14" s="141" t="s">
        <v>451</v>
      </c>
      <c r="S14" s="141" t="s">
        <v>464</v>
      </c>
      <c r="T14" s="141">
        <v>2017</v>
      </c>
      <c r="U14" s="142" t="s">
        <v>376</v>
      </c>
      <c r="V14" s="135"/>
      <c r="W14" s="142"/>
      <c r="X14" s="143"/>
      <c r="Y14" s="142"/>
      <c r="Z14" s="143"/>
      <c r="AA14" s="142"/>
      <c r="AB14" s="143" t="s">
        <v>375</v>
      </c>
      <c r="AC14" s="143"/>
      <c r="AD14" s="143" t="s">
        <v>376</v>
      </c>
      <c r="AE14" s="143"/>
      <c r="AF14" s="143" t="s">
        <v>376</v>
      </c>
    </row>
    <row r="15" spans="1:32" s="136" customFormat="1" ht="30" customHeight="1" x14ac:dyDescent="0.5">
      <c r="A15" s="144" t="s">
        <v>63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45" t="s">
        <v>63</v>
      </c>
      <c r="M15" s="135"/>
      <c r="N15" s="135"/>
      <c r="O15" s="135"/>
      <c r="P15" s="135"/>
      <c r="Q15" s="135"/>
      <c r="R15" s="135"/>
      <c r="S15" s="135"/>
      <c r="T15" s="135"/>
      <c r="V15" s="145" t="s">
        <v>63</v>
      </c>
      <c r="AD15" s="140"/>
      <c r="AF15" s="140"/>
    </row>
    <row r="16" spans="1:32" s="136" customFormat="1" ht="30" customHeight="1" x14ac:dyDescent="0.5">
      <c r="A16" s="136" t="s">
        <v>248</v>
      </c>
      <c r="B16" s="146">
        <f>'CNT (from FS Analysis)'!N103+'CNT (from FS Analysis)'!N114</f>
        <v>552165320.73000002</v>
      </c>
      <c r="C16" s="146">
        <f>BPM!G8+BPM!G14</f>
        <v>27599240.669999998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f t="shared" ref="I16:I49" si="0">SUM(B16:H16)</f>
        <v>579764561.39999998</v>
      </c>
      <c r="J16" s="147">
        <f>I16/$I$23</f>
        <v>0.2138992040310001</v>
      </c>
      <c r="K16" s="147"/>
      <c r="L16" s="135" t="s">
        <v>248</v>
      </c>
      <c r="M16" s="146">
        <f>1053567099.19-2512649.44</f>
        <v>1051054449.75</v>
      </c>
      <c r="N16" s="146">
        <v>15189900.039999999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146">
        <f>SUM(M16:S16)</f>
        <v>1066244349.79</v>
      </c>
      <c r="U16" s="148">
        <f>T16/$T$23</f>
        <v>0.58196559315921315</v>
      </c>
      <c r="V16" s="135" t="s">
        <v>248</v>
      </c>
      <c r="W16" s="148"/>
      <c r="X16" s="149">
        <f>I16</f>
        <v>579764561.39999998</v>
      </c>
      <c r="Y16" s="148"/>
      <c r="Z16" s="149">
        <f>T16</f>
        <v>1066244349.79</v>
      </c>
      <c r="AA16" s="148"/>
      <c r="AB16" s="149">
        <f>I16-T16</f>
        <v>-486479788.38999999</v>
      </c>
      <c r="AC16" s="149"/>
      <c r="AD16" s="148">
        <f>I16/T16</f>
        <v>0.54374455678399269</v>
      </c>
      <c r="AE16" s="149"/>
      <c r="AF16" s="148">
        <f>AD16-1</f>
        <v>-0.45625544321600731</v>
      </c>
    </row>
    <row r="17" spans="1:32" s="136" customFormat="1" ht="30" customHeight="1" x14ac:dyDescent="0.5">
      <c r="A17" s="136" t="s">
        <v>249</v>
      </c>
      <c r="B17" s="146">
        <f>'CNT (from FS Analysis)'!N104+'CNT (from FS Analysis)'!N115</f>
        <v>2104162210.24</v>
      </c>
      <c r="C17" s="146">
        <f>BPM!G9</f>
        <v>1739278.6099999999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f t="shared" si="0"/>
        <v>2105901488.8499999</v>
      </c>
      <c r="J17" s="147">
        <f t="shared" ref="J17:J22" si="1">I17/$I$23</f>
        <v>0.77695444361928023</v>
      </c>
      <c r="K17" s="147"/>
      <c r="L17" s="135" t="s">
        <v>249</v>
      </c>
      <c r="M17" s="146">
        <f>779139504.6-45754697.93</f>
        <v>733384806.67000008</v>
      </c>
      <c r="N17" s="146">
        <f>4330105.5-525.3</f>
        <v>4329580.2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f t="shared" ref="T17:T93" si="2">SUM(M17:S17)</f>
        <v>737714386.87000012</v>
      </c>
      <c r="U17" s="148">
        <f t="shared" ref="U17:U22" si="3">T17/$T$23</f>
        <v>0.40265103474774949</v>
      </c>
      <c r="V17" s="135" t="s">
        <v>249</v>
      </c>
      <c r="W17" s="148"/>
      <c r="X17" s="149">
        <f t="shared" ref="X17:X80" si="4">I17</f>
        <v>2105901488.8499999</v>
      </c>
      <c r="Y17" s="148"/>
      <c r="Z17" s="149">
        <f t="shared" ref="Z17:Z80" si="5">T17</f>
        <v>737714386.87000012</v>
      </c>
      <c r="AA17" s="148"/>
      <c r="AB17" s="149">
        <f t="shared" ref="AB17:AB23" si="6">I17-T17</f>
        <v>1368187101.9799998</v>
      </c>
      <c r="AC17" s="149"/>
      <c r="AD17" s="148">
        <f t="shared" ref="AD17:AD22" si="7">I17/T17</f>
        <v>2.854629821962658</v>
      </c>
      <c r="AE17" s="149"/>
      <c r="AF17" s="148">
        <f t="shared" ref="AF17:AF89" si="8">AD17-1</f>
        <v>1.854629821962658</v>
      </c>
    </row>
    <row r="18" spans="1:32" s="136" customFormat="1" ht="30" customHeight="1" x14ac:dyDescent="0.5">
      <c r="A18" s="136" t="s">
        <v>250</v>
      </c>
      <c r="B18" s="146">
        <f>'CNT (from FS Analysis)'!N105+'CNT (from FS Analysis)'!N116</f>
        <v>9977331.6099999994</v>
      </c>
      <c r="C18" s="146">
        <f>BPM!G10</f>
        <v>197806.81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f t="shared" si="0"/>
        <v>10175138.42</v>
      </c>
      <c r="J18" s="147">
        <f t="shared" si="1"/>
        <v>3.7540307805078756E-3</v>
      </c>
      <c r="K18" s="147"/>
      <c r="L18" s="135" t="s">
        <v>250</v>
      </c>
      <c r="M18" s="146">
        <f>12886601.71-11691.5</f>
        <v>12874910.210000001</v>
      </c>
      <c r="N18" s="146">
        <v>1144189.8999999999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f t="shared" si="2"/>
        <v>14019100.110000001</v>
      </c>
      <c r="U18" s="148">
        <f t="shared" si="3"/>
        <v>7.6517487878659408E-3</v>
      </c>
      <c r="V18" s="135" t="s">
        <v>250</v>
      </c>
      <c r="W18" s="148"/>
      <c r="X18" s="149">
        <f t="shared" si="4"/>
        <v>10175138.42</v>
      </c>
      <c r="Y18" s="148"/>
      <c r="Z18" s="149">
        <f t="shared" si="5"/>
        <v>14019100.110000001</v>
      </c>
      <c r="AA18" s="148"/>
      <c r="AB18" s="149">
        <f t="shared" si="6"/>
        <v>-3843961.6900000013</v>
      </c>
      <c r="AC18" s="149"/>
      <c r="AD18" s="148">
        <f t="shared" si="7"/>
        <v>0.72580538980115739</v>
      </c>
      <c r="AE18" s="149"/>
      <c r="AF18" s="148">
        <f t="shared" si="8"/>
        <v>-0.27419461019884261</v>
      </c>
    </row>
    <row r="19" spans="1:32" s="136" customFormat="1" ht="30" customHeight="1" x14ac:dyDescent="0.5">
      <c r="A19" s="136" t="s">
        <v>251</v>
      </c>
      <c r="B19" s="146">
        <f>'CNT (from FS Analysis)'!N106+'CNT (from FS Analysis)'!N117</f>
        <v>9160247.4700000007</v>
      </c>
      <c r="C19" s="146">
        <f>BPM!G11</f>
        <v>3310.3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f t="shared" si="0"/>
        <v>9163557.7700000014</v>
      </c>
      <c r="J19" s="147">
        <f t="shared" si="1"/>
        <v>3.380816703183691E-3</v>
      </c>
      <c r="K19" s="147"/>
      <c r="L19" s="135" t="s">
        <v>251</v>
      </c>
      <c r="M19" s="146">
        <f>9799621.79-860</f>
        <v>9798761.7899999991</v>
      </c>
      <c r="N19" s="146">
        <v>11928.98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f t="shared" si="2"/>
        <v>9810690.7699999996</v>
      </c>
      <c r="U19" s="148">
        <f t="shared" si="3"/>
        <v>5.3547617620568555E-3</v>
      </c>
      <c r="V19" s="135" t="s">
        <v>251</v>
      </c>
      <c r="W19" s="148"/>
      <c r="X19" s="149">
        <f t="shared" si="4"/>
        <v>9163557.7700000014</v>
      </c>
      <c r="Y19" s="148"/>
      <c r="Z19" s="149">
        <f t="shared" si="5"/>
        <v>9810690.7699999996</v>
      </c>
      <c r="AA19" s="148"/>
      <c r="AB19" s="149">
        <f t="shared" si="6"/>
        <v>-647132.99999999814</v>
      </c>
      <c r="AC19" s="149"/>
      <c r="AD19" s="148">
        <f t="shared" si="7"/>
        <v>0.93403797804137723</v>
      </c>
      <c r="AE19" s="149"/>
      <c r="AF19" s="148">
        <f t="shared" si="8"/>
        <v>-6.5962021958622774E-2</v>
      </c>
    </row>
    <row r="20" spans="1:32" s="136" customFormat="1" ht="30" customHeight="1" x14ac:dyDescent="0.5">
      <c r="A20" s="136" t="s">
        <v>252</v>
      </c>
      <c r="B20" s="146">
        <f>'CNT (from FS Analysis)'!N110+'CNT (from FS Analysis)'!N120</f>
        <v>1988324.9900000002</v>
      </c>
      <c r="C20" s="146">
        <f>0</f>
        <v>0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f t="shared" si="0"/>
        <v>1988324.9900000002</v>
      </c>
      <c r="J20" s="147">
        <f t="shared" si="1"/>
        <v>7.3357559435668245E-4</v>
      </c>
      <c r="K20" s="147"/>
      <c r="L20" s="135" t="s">
        <v>252</v>
      </c>
      <c r="M20" s="146">
        <f>889273-4425</f>
        <v>884848</v>
      </c>
      <c r="N20" s="146">
        <v>22760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f t="shared" si="2"/>
        <v>907608</v>
      </c>
      <c r="U20" s="148">
        <f t="shared" si="3"/>
        <v>4.9538047088369284E-4</v>
      </c>
      <c r="V20" s="135" t="s">
        <v>252</v>
      </c>
      <c r="W20" s="148"/>
      <c r="X20" s="149">
        <f t="shared" si="4"/>
        <v>1988324.9900000002</v>
      </c>
      <c r="Y20" s="148"/>
      <c r="Z20" s="149">
        <f t="shared" si="5"/>
        <v>907608</v>
      </c>
      <c r="AA20" s="148"/>
      <c r="AB20" s="149">
        <f t="shared" si="6"/>
        <v>1080716.9900000002</v>
      </c>
      <c r="AC20" s="149"/>
      <c r="AD20" s="148">
        <f t="shared" si="7"/>
        <v>2.1907310094225703</v>
      </c>
      <c r="AE20" s="149"/>
      <c r="AF20" s="148">
        <f t="shared" si="8"/>
        <v>1.1907310094225703</v>
      </c>
    </row>
    <row r="21" spans="1:32" s="136" customFormat="1" ht="30" customHeight="1" x14ac:dyDescent="0.5">
      <c r="A21" s="136" t="s">
        <v>253</v>
      </c>
      <c r="B21" s="146">
        <f>'CNT (from FS Analysis)'!N121+'CNT (from FS Analysis)'!N122</f>
        <v>292312.5</v>
      </c>
      <c r="C21" s="146">
        <v>0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f t="shared" si="0"/>
        <v>292312.5</v>
      </c>
      <c r="J21" s="147">
        <f t="shared" si="1"/>
        <v>1.0784621075722017E-4</v>
      </c>
      <c r="K21" s="147"/>
      <c r="L21" s="135" t="s">
        <v>253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f t="shared" si="2"/>
        <v>0</v>
      </c>
      <c r="U21" s="148">
        <f t="shared" si="3"/>
        <v>0</v>
      </c>
      <c r="V21" s="135" t="s">
        <v>253</v>
      </c>
      <c r="W21" s="148"/>
      <c r="X21" s="149">
        <f t="shared" si="4"/>
        <v>292312.5</v>
      </c>
      <c r="Y21" s="148"/>
      <c r="Z21" s="149">
        <f t="shared" si="5"/>
        <v>0</v>
      </c>
      <c r="AA21" s="148"/>
      <c r="AB21" s="149">
        <f t="shared" si="6"/>
        <v>292312.5</v>
      </c>
      <c r="AC21" s="149"/>
      <c r="AD21" s="150">
        <v>0</v>
      </c>
      <c r="AE21" s="149"/>
      <c r="AF21" s="150">
        <v>0</v>
      </c>
    </row>
    <row r="22" spans="1:32" s="136" customFormat="1" ht="30" customHeight="1" x14ac:dyDescent="0.5">
      <c r="A22" s="136" t="s">
        <v>254</v>
      </c>
      <c r="B22" s="146">
        <f>'CNT (from FS Analysis)'!N108+'CNT (from FS Analysis)'!N109+'CNT (from FS Analysis)'!N111+'CNT (from FS Analysis)'!N112+'CNT (from FS Analysis)'!N113+'CNT (from FS Analysis)'!N107</f>
        <v>446444.5</v>
      </c>
      <c r="C22" s="146">
        <f>BPM!G12+BPM!G13</f>
        <v>1309014.25</v>
      </c>
      <c r="D22" s="146">
        <f>DEP!G15</f>
        <v>910323.34000000008</v>
      </c>
      <c r="E22" s="146">
        <v>0</v>
      </c>
      <c r="F22" s="146">
        <f>'BSC (Dome)'!G14</f>
        <v>505677.55000000005</v>
      </c>
      <c r="G22" s="146">
        <v>0</v>
      </c>
      <c r="H22" s="146">
        <v>0</v>
      </c>
      <c r="I22" s="146">
        <f t="shared" si="0"/>
        <v>3171459.6399999997</v>
      </c>
      <c r="J22" s="147">
        <f t="shared" si="1"/>
        <v>1.1700830609141161E-3</v>
      </c>
      <c r="K22" s="147"/>
      <c r="L22" s="135" t="s">
        <v>254</v>
      </c>
      <c r="M22" s="146">
        <f>330+829860.48+263995.92+35948.64+112042.92-1089</f>
        <v>1241088.9599999997</v>
      </c>
      <c r="N22" s="146">
        <f>192+44660.07+648142.08</f>
        <v>692994.14999999991</v>
      </c>
      <c r="O22" s="146">
        <v>954994.7</v>
      </c>
      <c r="P22" s="146">
        <v>0</v>
      </c>
      <c r="Q22" s="146">
        <v>558065.09</v>
      </c>
      <c r="R22" s="146">
        <v>0</v>
      </c>
      <c r="S22" s="146">
        <v>0</v>
      </c>
      <c r="T22" s="146">
        <f t="shared" si="2"/>
        <v>3447142.8999999994</v>
      </c>
      <c r="U22" s="148">
        <f t="shared" si="3"/>
        <v>1.8814810722309391E-3</v>
      </c>
      <c r="V22" s="135" t="s">
        <v>254</v>
      </c>
      <c r="W22" s="148"/>
      <c r="X22" s="149">
        <f t="shared" si="4"/>
        <v>3171459.6399999997</v>
      </c>
      <c r="Y22" s="148"/>
      <c r="Z22" s="149">
        <f t="shared" si="5"/>
        <v>3447142.8999999994</v>
      </c>
      <c r="AA22" s="148"/>
      <c r="AB22" s="149">
        <f t="shared" si="6"/>
        <v>-275683.25999999978</v>
      </c>
      <c r="AC22" s="149"/>
      <c r="AD22" s="148">
        <f t="shared" si="7"/>
        <v>0.92002557828397546</v>
      </c>
      <c r="AE22" s="149"/>
      <c r="AF22" s="148">
        <f t="shared" si="8"/>
        <v>-7.9974421716024535E-2</v>
      </c>
    </row>
    <row r="23" spans="1:32" s="136" customFormat="1" ht="30" customHeight="1" x14ac:dyDescent="0.5">
      <c r="A23" s="144" t="s">
        <v>255</v>
      </c>
      <c r="B23" s="151">
        <f>SUM(B16:B22)</f>
        <v>2678192192.04</v>
      </c>
      <c r="C23" s="151">
        <f t="shared" ref="C23:H23" si="9">SUM(C16:C22)</f>
        <v>30848650.639999997</v>
      </c>
      <c r="D23" s="151">
        <f t="shared" si="9"/>
        <v>910323.34000000008</v>
      </c>
      <c r="E23" s="151">
        <f t="shared" si="9"/>
        <v>0</v>
      </c>
      <c r="F23" s="151">
        <f t="shared" ref="F23:G23" si="10">SUM(F16:F22)</f>
        <v>505677.55000000005</v>
      </c>
      <c r="G23" s="151">
        <f t="shared" si="10"/>
        <v>0</v>
      </c>
      <c r="H23" s="151">
        <f t="shared" si="9"/>
        <v>0</v>
      </c>
      <c r="I23" s="151">
        <f t="shared" si="0"/>
        <v>2710456843.5700002</v>
      </c>
      <c r="J23" s="152">
        <f>SUM(J16:J22)</f>
        <v>0.99999999999999989</v>
      </c>
      <c r="K23" s="153"/>
      <c r="L23" s="145" t="s">
        <v>255</v>
      </c>
      <c r="M23" s="151">
        <f>SUM(M16:M22)</f>
        <v>1809238865.3800001</v>
      </c>
      <c r="N23" s="151">
        <f t="shared" ref="N23:S23" si="11">SUM(N16:N22)</f>
        <v>21391353.269999996</v>
      </c>
      <c r="O23" s="151">
        <f t="shared" si="11"/>
        <v>954994.7</v>
      </c>
      <c r="P23" s="151">
        <f t="shared" si="11"/>
        <v>0</v>
      </c>
      <c r="Q23" s="151">
        <f t="shared" ref="Q23:R23" si="12">SUM(Q16:Q22)</f>
        <v>558065.09</v>
      </c>
      <c r="R23" s="151">
        <f t="shared" si="12"/>
        <v>0</v>
      </c>
      <c r="S23" s="151">
        <f t="shared" si="11"/>
        <v>0</v>
      </c>
      <c r="T23" s="151">
        <f t="shared" si="2"/>
        <v>1832143278.4400001</v>
      </c>
      <c r="U23" s="154">
        <f>SUM(U16:U22)</f>
        <v>1</v>
      </c>
      <c r="V23" s="145" t="s">
        <v>255</v>
      </c>
      <c r="W23" s="155"/>
      <c r="X23" s="156">
        <f t="shared" si="4"/>
        <v>2710456843.5700002</v>
      </c>
      <c r="Y23" s="155"/>
      <c r="Z23" s="156">
        <f t="shared" si="5"/>
        <v>1832143278.4400001</v>
      </c>
      <c r="AA23" s="155"/>
      <c r="AB23" s="156">
        <f t="shared" si="6"/>
        <v>878313565.13000011</v>
      </c>
      <c r="AC23" s="156"/>
      <c r="AD23" s="154">
        <f>I23/T23</f>
        <v>1.4793913093291757</v>
      </c>
      <c r="AE23" s="156"/>
      <c r="AF23" s="154">
        <f t="shared" si="8"/>
        <v>0.47939130932917573</v>
      </c>
    </row>
    <row r="24" spans="1:32" s="136" customFormat="1" ht="30" customHeight="1" x14ac:dyDescent="0.5">
      <c r="B24" s="146"/>
      <c r="C24" s="146"/>
      <c r="D24" s="146"/>
      <c r="E24" s="146"/>
      <c r="F24" s="146"/>
      <c r="G24" s="146"/>
      <c r="H24" s="146"/>
      <c r="I24" s="146">
        <f t="shared" si="0"/>
        <v>0</v>
      </c>
      <c r="J24" s="135"/>
      <c r="K24" s="135"/>
      <c r="L24" s="135"/>
      <c r="M24" s="146"/>
      <c r="N24" s="146"/>
      <c r="O24" s="146"/>
      <c r="P24" s="146"/>
      <c r="Q24" s="146"/>
      <c r="R24" s="146"/>
      <c r="S24" s="146"/>
      <c r="T24" s="146">
        <f t="shared" si="2"/>
        <v>0</v>
      </c>
      <c r="V24" s="135"/>
      <c r="X24" s="149"/>
      <c r="Z24" s="149">
        <f t="shared" si="5"/>
        <v>0</v>
      </c>
      <c r="AB24" s="149"/>
      <c r="AC24" s="149"/>
      <c r="AD24" s="157"/>
      <c r="AE24" s="149"/>
      <c r="AF24" s="157"/>
    </row>
    <row r="25" spans="1:32" s="136" customFormat="1" ht="30" customHeight="1" x14ac:dyDescent="0.5">
      <c r="A25" s="144" t="s">
        <v>218</v>
      </c>
      <c r="B25" s="146"/>
      <c r="C25" s="146"/>
      <c r="D25" s="146"/>
      <c r="E25" s="146"/>
      <c r="F25" s="146"/>
      <c r="G25" s="146"/>
      <c r="H25" s="146"/>
      <c r="I25" s="146">
        <f t="shared" si="0"/>
        <v>0</v>
      </c>
      <c r="J25" s="135"/>
      <c r="K25" s="135"/>
      <c r="L25" s="145" t="s">
        <v>218</v>
      </c>
      <c r="M25" s="146"/>
      <c r="N25" s="146"/>
      <c r="O25" s="146"/>
      <c r="P25" s="146"/>
      <c r="Q25" s="146"/>
      <c r="R25" s="146"/>
      <c r="S25" s="146"/>
      <c r="T25" s="146">
        <f t="shared" si="2"/>
        <v>0</v>
      </c>
      <c r="V25" s="145" t="s">
        <v>218</v>
      </c>
      <c r="X25" s="149"/>
      <c r="Z25" s="149">
        <f t="shared" si="5"/>
        <v>0</v>
      </c>
      <c r="AB25" s="149"/>
      <c r="AC25" s="149"/>
      <c r="AD25" s="157"/>
      <c r="AE25" s="149"/>
      <c r="AF25" s="157"/>
    </row>
    <row r="26" spans="1:32" s="136" customFormat="1" ht="30" customHeight="1" x14ac:dyDescent="0.5">
      <c r="A26" s="136" t="s">
        <v>248</v>
      </c>
      <c r="B26" s="146">
        <f>'CNT (from FS Analysis)'!N127+'CNT (from FS Analysis)'!N139+'CNT (from FS Analysis)'!N144+'CNT (from FS Analysis)'!N143+'CNT (from FS Analysis)'!N148+'CNT (from FS Analysis)'!N152+'CNT (from FS Analysis)'!N158</f>
        <v>548018078.07999992</v>
      </c>
      <c r="C26" s="146">
        <f>BPM!G18+BPM!G27</f>
        <v>27521127.590000004</v>
      </c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f t="shared" si="0"/>
        <v>575539205.66999996</v>
      </c>
      <c r="J26" s="147">
        <f>I26/$I$33</f>
        <v>0.21270733236454256</v>
      </c>
      <c r="K26" s="147"/>
      <c r="L26" s="135" t="s">
        <v>248</v>
      </c>
      <c r="M26" s="146">
        <f>1047415195.52+148026537.84+-1686132727.4+-148018201.82+1681441659.05+54413.59+1115198</f>
        <v>1043902074.7799999</v>
      </c>
      <c r="N26" s="146">
        <f>14991019.13+606.81+6847.2</f>
        <v>14998473.140000001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f t="shared" si="2"/>
        <v>1058900547.9199998</v>
      </c>
      <c r="U26" s="148">
        <f>T26/$T$33</f>
        <v>0.57925355186818372</v>
      </c>
      <c r="V26" s="135" t="s">
        <v>248</v>
      </c>
      <c r="W26" s="148"/>
      <c r="X26" s="149">
        <f t="shared" si="4"/>
        <v>575539205.66999996</v>
      </c>
      <c r="Y26" s="148"/>
      <c r="Z26" s="149">
        <f t="shared" si="5"/>
        <v>1058900547.9199998</v>
      </c>
      <c r="AA26" s="148"/>
      <c r="AB26" s="149">
        <f>I26-T26</f>
        <v>-483361342.24999988</v>
      </c>
      <c r="AC26" s="149"/>
      <c r="AD26" s="148">
        <f>I26/T26</f>
        <v>0.54352526948874713</v>
      </c>
      <c r="AE26" s="149"/>
      <c r="AF26" s="148">
        <f t="shared" si="8"/>
        <v>-0.45647473051125287</v>
      </c>
    </row>
    <row r="27" spans="1:32" s="136" customFormat="1" ht="30" customHeight="1" x14ac:dyDescent="0.5">
      <c r="A27" s="136" t="s">
        <v>249</v>
      </c>
      <c r="B27" s="146">
        <f>'CNT (from FS Analysis)'!N128+'CNT (from FS Analysis)'!N140+'CNT (from FS Analysis)'!N145+'CNT (from FS Analysis)'!N149+'CNT (from FS Analysis)'!N153+'CNT (from FS Analysis)'!N156+'CNT (from FS Analysis)'!N159</f>
        <v>2101989550.5800004</v>
      </c>
      <c r="C27" s="146">
        <f>BPM!G19+BPM!G28</f>
        <v>1648455.5400000003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f t="shared" si="0"/>
        <v>2103638006.1200004</v>
      </c>
      <c r="J27" s="147">
        <f t="shared" ref="J27:J32" si="13">I27/$I$33</f>
        <v>0.77746089950823039</v>
      </c>
      <c r="K27" s="147"/>
      <c r="L27" s="135" t="s">
        <v>249</v>
      </c>
      <c r="M27" s="146">
        <f>736568302.5+425902550.27+-422276750.96+2913128916.78+-133066.11+-2912932218.89+-2618218.46</f>
        <v>737639515.13000011</v>
      </c>
      <c r="N27" s="146">
        <f>4339181.29-93017.65+156.76</f>
        <v>4246320.3999999994</v>
      </c>
      <c r="O27" s="146">
        <v>0</v>
      </c>
      <c r="P27" s="146">
        <v>0</v>
      </c>
      <c r="Q27" s="146">
        <v>0</v>
      </c>
      <c r="R27" s="146">
        <v>0</v>
      </c>
      <c r="S27" s="146">
        <v>0</v>
      </c>
      <c r="T27" s="146">
        <f t="shared" si="2"/>
        <v>741885835.53000009</v>
      </c>
      <c r="U27" s="148">
        <f t="shared" ref="U27:U32" si="14">T27/$T$33</f>
        <v>0.40583604017920921</v>
      </c>
      <c r="V27" s="135" t="s">
        <v>249</v>
      </c>
      <c r="W27" s="148"/>
      <c r="X27" s="149">
        <f t="shared" si="4"/>
        <v>2103638006.1200004</v>
      </c>
      <c r="Y27" s="148"/>
      <c r="Z27" s="149">
        <f t="shared" si="5"/>
        <v>741885835.53000009</v>
      </c>
      <c r="AA27" s="148"/>
      <c r="AB27" s="149">
        <f t="shared" ref="AB27:AB32" si="15">I27-T27</f>
        <v>1361752170.5900002</v>
      </c>
      <c r="AC27" s="149"/>
      <c r="AD27" s="148">
        <f t="shared" ref="AD27:AD32" si="16">I27/T27</f>
        <v>2.8355279281173638</v>
      </c>
      <c r="AE27" s="149"/>
      <c r="AF27" s="148">
        <f t="shared" si="8"/>
        <v>1.8355279281173638</v>
      </c>
    </row>
    <row r="28" spans="1:32" s="136" customFormat="1" ht="30" customHeight="1" x14ac:dyDescent="0.5">
      <c r="A28" s="136" t="s">
        <v>250</v>
      </c>
      <c r="B28" s="146">
        <f>'CNT (from FS Analysis)'!N129+'CNT (from FS Analysis)'!N141+'CNT (from FS Analysis)'!N146+'CNT (from FS Analysis)'!N150+'CNT (from FS Analysis)'!N154+'CNT (from FS Analysis)'!N157+'CNT (from FS Analysis)'!N160</f>
        <v>9867506.4600000028</v>
      </c>
      <c r="C28" s="146">
        <f>BPM!G20+BPM!G29</f>
        <v>187214.56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f t="shared" si="0"/>
        <v>10054721.020000003</v>
      </c>
      <c r="J28" s="147">
        <f t="shared" si="13"/>
        <v>3.7160159807778214E-3</v>
      </c>
      <c r="K28" s="147"/>
      <c r="L28" s="135" t="s">
        <v>250</v>
      </c>
      <c r="M28" s="146">
        <f>12798551.82+6064045+-6150825+3221030.3+819.87+-3256642.5+-71209.61</f>
        <v>12605769.880000001</v>
      </c>
      <c r="N28" s="146">
        <f>1096757.49+2880.85</f>
        <v>1099638.3400000001</v>
      </c>
      <c r="O28" s="146">
        <v>0</v>
      </c>
      <c r="P28" s="146">
        <v>0</v>
      </c>
      <c r="Q28" s="146">
        <v>0</v>
      </c>
      <c r="R28" s="146">
        <v>0</v>
      </c>
      <c r="S28" s="146">
        <v>0</v>
      </c>
      <c r="T28" s="146">
        <f t="shared" si="2"/>
        <v>13705408.220000001</v>
      </c>
      <c r="U28" s="148">
        <f t="shared" si="14"/>
        <v>7.4973106840229798E-3</v>
      </c>
      <c r="V28" s="135" t="s">
        <v>250</v>
      </c>
      <c r="W28" s="148"/>
      <c r="X28" s="149">
        <f t="shared" si="4"/>
        <v>10054721.020000003</v>
      </c>
      <c r="Y28" s="148"/>
      <c r="Z28" s="149">
        <f t="shared" si="5"/>
        <v>13705408.220000001</v>
      </c>
      <c r="AA28" s="148"/>
      <c r="AB28" s="149">
        <f>I28-T28</f>
        <v>-3650687.1999999974</v>
      </c>
      <c r="AC28" s="149"/>
      <c r="AD28" s="148">
        <f t="shared" si="16"/>
        <v>0.7336316334837345</v>
      </c>
      <c r="AE28" s="149"/>
      <c r="AF28" s="148">
        <f t="shared" si="8"/>
        <v>-0.2663683665162655</v>
      </c>
    </row>
    <row r="29" spans="1:32" s="136" customFormat="1" ht="30" customHeight="1" x14ac:dyDescent="0.5">
      <c r="A29" s="136" t="s">
        <v>251</v>
      </c>
      <c r="B29" s="146">
        <f>'CNT (from FS Analysis)'!N130+'CNT (from FS Analysis)'!N151+'CNT (from FS Analysis)'!N155+'CNT (from FS Analysis)'!N161+'CNT (from FS Analysis)'!N162</f>
        <v>9832119.5999999996</v>
      </c>
      <c r="C29" s="146">
        <f>BPM!G21</f>
        <v>2079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f t="shared" si="0"/>
        <v>9834198.5999999996</v>
      </c>
      <c r="J29" s="147">
        <f t="shared" si="13"/>
        <v>3.6345154761681163E-3</v>
      </c>
      <c r="K29" s="147"/>
      <c r="L29" s="135" t="s">
        <v>251</v>
      </c>
      <c r="M29" s="146">
        <f>9790098.14+153873.75+-157755+1947987.48+-67981.31+852587.99+-2283878.5</f>
        <v>10234932.550000001</v>
      </c>
      <c r="N29" s="146">
        <f>11092.65-65</f>
        <v>11027.65</v>
      </c>
      <c r="O29" s="146">
        <v>0</v>
      </c>
      <c r="P29" s="146">
        <v>0</v>
      </c>
      <c r="Q29" s="146">
        <v>0</v>
      </c>
      <c r="R29" s="146">
        <v>0</v>
      </c>
      <c r="S29" s="146">
        <v>0</v>
      </c>
      <c r="T29" s="146">
        <f t="shared" si="2"/>
        <v>10245960.200000001</v>
      </c>
      <c r="U29" s="148">
        <f t="shared" si="14"/>
        <v>5.6048784277316641E-3</v>
      </c>
      <c r="V29" s="135" t="s">
        <v>251</v>
      </c>
      <c r="W29" s="148"/>
      <c r="X29" s="149">
        <f t="shared" si="4"/>
        <v>9834198.5999999996</v>
      </c>
      <c r="Y29" s="148"/>
      <c r="Z29" s="149">
        <f t="shared" si="5"/>
        <v>10245960.200000001</v>
      </c>
      <c r="AA29" s="148"/>
      <c r="AB29" s="149">
        <f t="shared" si="15"/>
        <v>-411761.60000000149</v>
      </c>
      <c r="AC29" s="149"/>
      <c r="AD29" s="148">
        <f t="shared" si="16"/>
        <v>0.95981229753361708</v>
      </c>
      <c r="AE29" s="149"/>
      <c r="AF29" s="148">
        <f t="shared" si="8"/>
        <v>-4.0187702466382924E-2</v>
      </c>
    </row>
    <row r="30" spans="1:32" s="136" customFormat="1" ht="30" customHeight="1" x14ac:dyDescent="0.5">
      <c r="A30" s="136" t="s">
        <v>252</v>
      </c>
      <c r="B30" s="146">
        <f>'CNT (from FS Analysis)'!N133</f>
        <v>1944419.51</v>
      </c>
      <c r="C30" s="146">
        <f>0</f>
        <v>0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f t="shared" si="0"/>
        <v>1944419.51</v>
      </c>
      <c r="J30" s="147">
        <f t="shared" si="13"/>
        <v>7.1861705144517067E-4</v>
      </c>
      <c r="K30" s="147"/>
      <c r="L30" s="135" t="s">
        <v>252</v>
      </c>
      <c r="M30" s="146">
        <f>835340.47+21000</f>
        <v>856340.47</v>
      </c>
      <c r="N30" s="146">
        <v>21025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f t="shared" si="2"/>
        <v>877365.47</v>
      </c>
      <c r="U30" s="148">
        <f t="shared" si="14"/>
        <v>4.7994787214180787E-4</v>
      </c>
      <c r="V30" s="135" t="s">
        <v>252</v>
      </c>
      <c r="W30" s="148"/>
      <c r="X30" s="149">
        <f t="shared" si="4"/>
        <v>1944419.51</v>
      </c>
      <c r="Y30" s="148"/>
      <c r="Z30" s="149">
        <f t="shared" si="5"/>
        <v>877365.47</v>
      </c>
      <c r="AA30" s="148"/>
      <c r="AB30" s="149">
        <f t="shared" si="15"/>
        <v>1067054.04</v>
      </c>
      <c r="AC30" s="149"/>
      <c r="AD30" s="148">
        <f t="shared" si="16"/>
        <v>2.2162024566569736</v>
      </c>
      <c r="AE30" s="149"/>
      <c r="AF30" s="148">
        <f t="shared" si="8"/>
        <v>1.2162024566569736</v>
      </c>
    </row>
    <row r="31" spans="1:32" s="136" customFormat="1" ht="30" customHeight="1" x14ac:dyDescent="0.5">
      <c r="A31" s="136" t="s">
        <v>253</v>
      </c>
      <c r="B31" s="146">
        <f>'CNT (from FS Analysis)'!N178+'CNT (from FS Analysis)'!N179</f>
        <v>180989.69</v>
      </c>
      <c r="C31" s="146">
        <f>0</f>
        <v>0</v>
      </c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f t="shared" si="0"/>
        <v>180989.69</v>
      </c>
      <c r="J31" s="147">
        <f t="shared" si="13"/>
        <v>6.6890028978250428E-5</v>
      </c>
      <c r="K31" s="147"/>
      <c r="L31" s="135" t="s">
        <v>253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f t="shared" si="2"/>
        <v>0</v>
      </c>
      <c r="U31" s="148">
        <f t="shared" si="14"/>
        <v>0</v>
      </c>
      <c r="V31" s="135" t="s">
        <v>253</v>
      </c>
      <c r="W31" s="148"/>
      <c r="X31" s="149">
        <f t="shared" si="4"/>
        <v>180989.69</v>
      </c>
      <c r="Y31" s="148"/>
      <c r="Z31" s="149">
        <f t="shared" si="5"/>
        <v>0</v>
      </c>
      <c r="AA31" s="148"/>
      <c r="AB31" s="149">
        <f t="shared" si="15"/>
        <v>180989.69</v>
      </c>
      <c r="AC31" s="149"/>
      <c r="AD31" s="150">
        <v>0</v>
      </c>
      <c r="AE31" s="149"/>
      <c r="AF31" s="150">
        <v>0</v>
      </c>
    </row>
    <row r="32" spans="1:32" s="136" customFormat="1" ht="30" customHeight="1" x14ac:dyDescent="0.5">
      <c r="A32" s="136" t="s">
        <v>254</v>
      </c>
      <c r="B32" s="146">
        <f>'CNT (from FS Analysis)'!N125+'CNT (from FS Analysis)'!N132+'CNT (from FS Analysis)'!N134+'CNT (from FS Analysis)'!N135+'CNT (from FS Analysis)'!N137+'CNT (from FS Analysis)'!N138+'CNT (from FS Analysis)'!N163+'CNT (from FS Analysis)'!N164+'CNT (from FS Analysis)'!N165+'CNT (from FS Analysis)'!N167+'CNT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Analysis)'!N177+'CNT (from FS Analysis)'!N166+'CNT (from FS Analysis)'!N19</f>
        <v>3403364.58</v>
      </c>
      <c r="C32" s="146">
        <f>BPM!G22+BPM!G23+BPM!G24+BPM!G30+BPM!G31+BPM!G25+BPM!G26</f>
        <v>1078155.77</v>
      </c>
      <c r="D32" s="146">
        <f>DEP!G20</f>
        <v>105681.95</v>
      </c>
      <c r="E32" s="146">
        <v>0</v>
      </c>
      <c r="F32" s="146">
        <f>'BSC (Dome)'!G18</f>
        <v>1068.5899999999999</v>
      </c>
      <c r="G32" s="146">
        <v>0</v>
      </c>
      <c r="H32" s="146">
        <v>0</v>
      </c>
      <c r="I32" s="146">
        <f t="shared" si="0"/>
        <v>4588270.8899999997</v>
      </c>
      <c r="J32" s="147">
        <f t="shared" si="13"/>
        <v>1.695729589857648E-3</v>
      </c>
      <c r="K32" s="147"/>
      <c r="L32" s="135" t="s">
        <v>254</v>
      </c>
      <c r="M32" s="146">
        <f>-6536.88+740758.86+744183.74+18615.11+1250+9+33016.02+153077.84+-241533+3807+14411.83+69657.72+277.16+-1266.32+-4017.86+119950.02</f>
        <v>1645660.24</v>
      </c>
      <c r="N32" s="146">
        <f>44313.444+114007.26+-2299.9+2738.02+820.8+391500.42+215436.56</f>
        <v>766516.60400000005</v>
      </c>
      <c r="O32" s="146">
        <v>15041.67</v>
      </c>
      <c r="P32" s="146">
        <v>0</v>
      </c>
      <c r="Q32" s="146">
        <v>918.27</v>
      </c>
      <c r="R32" s="146">
        <v>0</v>
      </c>
      <c r="S32" s="146">
        <v>0</v>
      </c>
      <c r="T32" s="146">
        <f t="shared" si="2"/>
        <v>2428136.784</v>
      </c>
      <c r="U32" s="148">
        <f t="shared" si="14"/>
        <v>1.3282709687105108E-3</v>
      </c>
      <c r="V32" s="135" t="s">
        <v>254</v>
      </c>
      <c r="W32" s="148"/>
      <c r="X32" s="149">
        <f t="shared" si="4"/>
        <v>4588270.8899999997</v>
      </c>
      <c r="Y32" s="148"/>
      <c r="Z32" s="149">
        <f t="shared" si="5"/>
        <v>2428136.784</v>
      </c>
      <c r="AA32" s="148"/>
      <c r="AB32" s="149">
        <f t="shared" si="15"/>
        <v>2160134.1059999997</v>
      </c>
      <c r="AC32" s="149"/>
      <c r="AD32" s="148">
        <f t="shared" si="16"/>
        <v>1.8896262023762496</v>
      </c>
      <c r="AE32" s="149"/>
      <c r="AF32" s="148">
        <f t="shared" si="8"/>
        <v>0.88962620237624956</v>
      </c>
    </row>
    <row r="33" spans="1:32" s="136" customFormat="1" ht="30" customHeight="1" x14ac:dyDescent="0.5">
      <c r="A33" s="144" t="s">
        <v>256</v>
      </c>
      <c r="B33" s="151">
        <f>SUM(B26:B32)</f>
        <v>2675236028.5000005</v>
      </c>
      <c r="C33" s="151">
        <f t="shared" ref="C33:H33" si="17">SUM(C26:C32)</f>
        <v>30437032.460000001</v>
      </c>
      <c r="D33" s="151">
        <f t="shared" si="17"/>
        <v>105681.95</v>
      </c>
      <c r="E33" s="151">
        <f t="shared" si="17"/>
        <v>0</v>
      </c>
      <c r="F33" s="151">
        <f t="shared" ref="F33:G33" si="18">SUM(F26:F32)</f>
        <v>1068.5899999999999</v>
      </c>
      <c r="G33" s="151">
        <f t="shared" si="18"/>
        <v>0</v>
      </c>
      <c r="H33" s="151">
        <f t="shared" si="17"/>
        <v>0</v>
      </c>
      <c r="I33" s="151">
        <f t="shared" si="0"/>
        <v>2705779811.5000005</v>
      </c>
      <c r="J33" s="152">
        <f>SUM(J26:J32)</f>
        <v>1</v>
      </c>
      <c r="K33" s="153"/>
      <c r="L33" s="145" t="s">
        <v>256</v>
      </c>
      <c r="M33" s="151">
        <f>SUM(M26:M32)</f>
        <v>1806884293.05</v>
      </c>
      <c r="N33" s="151">
        <f t="shared" ref="N33:S33" si="19">SUM(N26:N32)</f>
        <v>21143001.133999996</v>
      </c>
      <c r="O33" s="151">
        <f t="shared" si="19"/>
        <v>15041.67</v>
      </c>
      <c r="P33" s="151">
        <f t="shared" si="19"/>
        <v>0</v>
      </c>
      <c r="Q33" s="151">
        <f t="shared" ref="Q33:R33" si="20">SUM(Q26:Q32)</f>
        <v>918.27</v>
      </c>
      <c r="R33" s="151">
        <f t="shared" si="20"/>
        <v>0</v>
      </c>
      <c r="S33" s="151">
        <f t="shared" si="19"/>
        <v>0</v>
      </c>
      <c r="T33" s="151">
        <f t="shared" si="2"/>
        <v>1828043254.1240001</v>
      </c>
      <c r="U33" s="154">
        <f>SUM(U26:U32)</f>
        <v>0.99999999999999989</v>
      </c>
      <c r="V33" s="145" t="s">
        <v>256</v>
      </c>
      <c r="W33" s="155"/>
      <c r="X33" s="156">
        <f t="shared" si="4"/>
        <v>2705779811.5000005</v>
      </c>
      <c r="Y33" s="155"/>
      <c r="Z33" s="156">
        <f t="shared" si="5"/>
        <v>1828043254.1240001</v>
      </c>
      <c r="AA33" s="155"/>
      <c r="AB33" s="156">
        <f>SUM(AB26:AB32)</f>
        <v>877736557.37600017</v>
      </c>
      <c r="AC33" s="156"/>
      <c r="AD33" s="154">
        <f>I33/T33</f>
        <v>1.4801508691853205</v>
      </c>
      <c r="AE33" s="156"/>
      <c r="AF33" s="154">
        <f t="shared" si="8"/>
        <v>0.48015086918532046</v>
      </c>
    </row>
    <row r="34" spans="1:32" s="136" customFormat="1" ht="30" customHeight="1" x14ac:dyDescent="0.5">
      <c r="B34" s="146"/>
      <c r="C34" s="146"/>
      <c r="D34" s="146"/>
      <c r="E34" s="146"/>
      <c r="F34" s="146"/>
      <c r="G34" s="146"/>
      <c r="H34" s="146"/>
      <c r="I34" s="146">
        <f t="shared" si="0"/>
        <v>0</v>
      </c>
      <c r="J34" s="135"/>
      <c r="K34" s="135"/>
      <c r="L34" s="135"/>
      <c r="M34" s="146"/>
      <c r="N34" s="146"/>
      <c r="O34" s="146"/>
      <c r="P34" s="146"/>
      <c r="Q34" s="146"/>
      <c r="R34" s="146"/>
      <c r="S34" s="146"/>
      <c r="T34" s="146">
        <f t="shared" si="2"/>
        <v>0</v>
      </c>
      <c r="V34" s="135"/>
      <c r="X34" s="149">
        <f t="shared" si="4"/>
        <v>0</v>
      </c>
      <c r="Z34" s="149">
        <f t="shared" si="5"/>
        <v>0</v>
      </c>
      <c r="AB34" s="149"/>
      <c r="AC34" s="149"/>
      <c r="AD34" s="148"/>
      <c r="AE34" s="149"/>
      <c r="AF34" s="148"/>
    </row>
    <row r="35" spans="1:32" s="136" customFormat="1" ht="30" customHeight="1" thickBot="1" x14ac:dyDescent="0.55000000000000004">
      <c r="A35" s="144" t="s">
        <v>242</v>
      </c>
      <c r="B35" s="158">
        <f>B23-B33</f>
        <v>2956163.539999485</v>
      </c>
      <c r="C35" s="158">
        <f t="shared" ref="C35:H35" si="21">C23-C33</f>
        <v>411618.17999999598</v>
      </c>
      <c r="D35" s="158">
        <f t="shared" si="21"/>
        <v>804641.39000000013</v>
      </c>
      <c r="E35" s="158">
        <f t="shared" si="21"/>
        <v>0</v>
      </c>
      <c r="F35" s="158">
        <f t="shared" ref="F35:G35" si="22">F23-F33</f>
        <v>504608.96</v>
      </c>
      <c r="G35" s="158">
        <f t="shared" si="22"/>
        <v>0</v>
      </c>
      <c r="H35" s="158">
        <f t="shared" si="21"/>
        <v>0</v>
      </c>
      <c r="I35" s="158">
        <f t="shared" si="0"/>
        <v>4677032.0699994816</v>
      </c>
      <c r="J35" s="135"/>
      <c r="K35" s="135"/>
      <c r="L35" s="145" t="s">
        <v>242</v>
      </c>
      <c r="M35" s="158">
        <f>M23-M33</f>
        <v>2354572.3300001621</v>
      </c>
      <c r="N35" s="158">
        <f t="shared" ref="N35:S35" si="23">N23-N33</f>
        <v>248352.13599999994</v>
      </c>
      <c r="O35" s="158">
        <f t="shared" si="23"/>
        <v>939953.02999999991</v>
      </c>
      <c r="P35" s="158">
        <f t="shared" si="23"/>
        <v>0</v>
      </c>
      <c r="Q35" s="158">
        <f t="shared" ref="Q35:R35" si="24">Q23-Q33</f>
        <v>557146.81999999995</v>
      </c>
      <c r="R35" s="158">
        <f t="shared" si="24"/>
        <v>0</v>
      </c>
      <c r="S35" s="158">
        <f t="shared" si="23"/>
        <v>0</v>
      </c>
      <c r="T35" s="158">
        <f t="shared" si="2"/>
        <v>4100024.3160001617</v>
      </c>
      <c r="V35" s="145" t="s">
        <v>242</v>
      </c>
      <c r="X35" s="159">
        <f t="shared" si="4"/>
        <v>4677032.0699994816</v>
      </c>
      <c r="Z35" s="159">
        <f t="shared" si="5"/>
        <v>4100024.3160001617</v>
      </c>
      <c r="AB35" s="159">
        <f>I35-T35</f>
        <v>577007.75399931986</v>
      </c>
      <c r="AC35" s="159"/>
      <c r="AD35" s="160">
        <f>I35/T35</f>
        <v>1.1407327638881488</v>
      </c>
      <c r="AE35" s="159"/>
      <c r="AF35" s="160">
        <f t="shared" si="8"/>
        <v>0.14073276388814882</v>
      </c>
    </row>
    <row r="36" spans="1:32" s="136" customFormat="1" ht="30" customHeight="1" x14ac:dyDescent="0.5">
      <c r="B36" s="146"/>
      <c r="C36" s="146"/>
      <c r="D36" s="146"/>
      <c r="E36" s="146"/>
      <c r="F36" s="146"/>
      <c r="G36" s="146"/>
      <c r="H36" s="146"/>
      <c r="I36" s="146">
        <f t="shared" si="0"/>
        <v>0</v>
      </c>
      <c r="J36" s="135"/>
      <c r="K36" s="135"/>
      <c r="L36" s="135"/>
      <c r="M36" s="146"/>
      <c r="N36" s="146"/>
      <c r="O36" s="146"/>
      <c r="P36" s="146"/>
      <c r="Q36" s="146"/>
      <c r="R36" s="146"/>
      <c r="S36" s="146"/>
      <c r="T36" s="146">
        <f t="shared" si="2"/>
        <v>0</v>
      </c>
      <c r="V36" s="135"/>
      <c r="X36" s="149"/>
      <c r="Z36" s="149">
        <f t="shared" si="5"/>
        <v>0</v>
      </c>
      <c r="AB36" s="149"/>
      <c r="AC36" s="149"/>
      <c r="AD36" s="157"/>
      <c r="AE36" s="149"/>
      <c r="AF36" s="157"/>
    </row>
    <row r="37" spans="1:32" s="136" customFormat="1" ht="30" customHeight="1" x14ac:dyDescent="0.5">
      <c r="A37" s="144" t="s">
        <v>240</v>
      </c>
      <c r="B37" s="146"/>
      <c r="C37" s="146"/>
      <c r="D37" s="146"/>
      <c r="E37" s="146"/>
      <c r="F37" s="146"/>
      <c r="G37" s="146"/>
      <c r="H37" s="146"/>
      <c r="I37" s="146">
        <f t="shared" si="0"/>
        <v>0</v>
      </c>
      <c r="J37" s="135"/>
      <c r="K37" s="135"/>
      <c r="L37" s="145" t="s">
        <v>240</v>
      </c>
      <c r="M37" s="146"/>
      <c r="N37" s="146"/>
      <c r="O37" s="146"/>
      <c r="P37" s="146"/>
      <c r="Q37" s="146"/>
      <c r="R37" s="146"/>
      <c r="S37" s="146"/>
      <c r="T37" s="146">
        <f t="shared" si="2"/>
        <v>0</v>
      </c>
      <c r="V37" s="145" t="s">
        <v>240</v>
      </c>
      <c r="X37" s="149"/>
      <c r="Z37" s="149">
        <f t="shared" si="5"/>
        <v>0</v>
      </c>
      <c r="AB37" s="149"/>
      <c r="AC37" s="149"/>
      <c r="AD37" s="157"/>
      <c r="AE37" s="149"/>
      <c r="AF37" s="157"/>
    </row>
    <row r="38" spans="1:32" s="136" customFormat="1" ht="30" customHeight="1" x14ac:dyDescent="0.5">
      <c r="B38" s="146"/>
      <c r="C38" s="146"/>
      <c r="D38" s="146"/>
      <c r="E38" s="146"/>
      <c r="F38" s="146"/>
      <c r="G38" s="146"/>
      <c r="H38" s="146"/>
      <c r="I38" s="146">
        <f t="shared" si="0"/>
        <v>0</v>
      </c>
      <c r="J38" s="135"/>
      <c r="K38" s="135"/>
      <c r="L38" s="135"/>
      <c r="M38" s="146"/>
      <c r="N38" s="146"/>
      <c r="O38" s="146"/>
      <c r="P38" s="146"/>
      <c r="Q38" s="146"/>
      <c r="R38" s="146"/>
      <c r="S38" s="146"/>
      <c r="T38" s="146">
        <f t="shared" si="2"/>
        <v>0</v>
      </c>
      <c r="V38" s="135"/>
      <c r="X38" s="149"/>
      <c r="Z38" s="149">
        <f t="shared" si="5"/>
        <v>0</v>
      </c>
      <c r="AB38" s="149"/>
      <c r="AC38" s="149"/>
      <c r="AD38" s="157"/>
      <c r="AE38" s="149"/>
      <c r="AF38" s="157"/>
    </row>
    <row r="39" spans="1:32" s="136" customFormat="1" ht="30" customHeight="1" x14ac:dyDescent="0.5">
      <c r="A39" s="144" t="s">
        <v>257</v>
      </c>
      <c r="B39" s="146"/>
      <c r="C39" s="146"/>
      <c r="D39" s="146"/>
      <c r="E39" s="146"/>
      <c r="F39" s="146"/>
      <c r="G39" s="146"/>
      <c r="H39" s="146"/>
      <c r="I39" s="146">
        <f t="shared" si="0"/>
        <v>0</v>
      </c>
      <c r="J39" s="135"/>
      <c r="K39" s="135"/>
      <c r="L39" s="145" t="s">
        <v>257</v>
      </c>
      <c r="M39" s="146"/>
      <c r="N39" s="146"/>
      <c r="O39" s="146"/>
      <c r="P39" s="146"/>
      <c r="Q39" s="146"/>
      <c r="R39" s="146"/>
      <c r="S39" s="146"/>
      <c r="T39" s="146">
        <f t="shared" si="2"/>
        <v>0</v>
      </c>
      <c r="V39" s="145" t="s">
        <v>257</v>
      </c>
      <c r="X39" s="149"/>
      <c r="Z39" s="149">
        <f t="shared" si="5"/>
        <v>0</v>
      </c>
      <c r="AB39" s="149"/>
      <c r="AC39" s="149"/>
      <c r="AD39" s="157"/>
      <c r="AE39" s="149"/>
      <c r="AF39" s="157"/>
    </row>
    <row r="40" spans="1:32" s="136" customFormat="1" ht="30" customHeight="1" x14ac:dyDescent="0.5">
      <c r="A40" s="136" t="s">
        <v>258</v>
      </c>
      <c r="B40" s="146">
        <f>'CNT (from FS Analysis)'!N183</f>
        <v>1497290.1500000001</v>
      </c>
      <c r="C40" s="146">
        <v>0</v>
      </c>
      <c r="D40" s="146">
        <f>DEP!G26</f>
        <v>42790.85</v>
      </c>
      <c r="E40" s="146">
        <v>0</v>
      </c>
      <c r="F40" s="146">
        <f>'BSC (Dome)'!G24+'BSC (Dome)'!G31</f>
        <v>150452.51</v>
      </c>
      <c r="G40" s="146">
        <v>0</v>
      </c>
      <c r="H40" s="146">
        <v>0</v>
      </c>
      <c r="I40" s="146">
        <f t="shared" si="0"/>
        <v>1690533.5100000002</v>
      </c>
      <c r="J40" s="147">
        <f>I40/$I$49</f>
        <v>0.78659922703466145</v>
      </c>
      <c r="K40" s="147"/>
      <c r="L40" s="135" t="s">
        <v>258</v>
      </c>
      <c r="M40" s="146">
        <v>1704030.86</v>
      </c>
      <c r="N40" s="146">
        <v>0</v>
      </c>
      <c r="O40" s="146">
        <v>79199.69</v>
      </c>
      <c r="P40" s="146">
        <v>0</v>
      </c>
      <c r="Q40" s="146">
        <f>111883.82+39723</f>
        <v>151606.82</v>
      </c>
      <c r="R40" s="146">
        <v>0</v>
      </c>
      <c r="S40" s="146">
        <v>0</v>
      </c>
      <c r="T40" s="146">
        <f t="shared" si="2"/>
        <v>1934837.37</v>
      </c>
      <c r="U40" s="148">
        <f>T40/$T$49</f>
        <v>0.77917614176840111</v>
      </c>
      <c r="V40" s="135" t="s">
        <v>258</v>
      </c>
      <c r="W40" s="148"/>
      <c r="X40" s="149">
        <f t="shared" si="4"/>
        <v>1690533.5100000002</v>
      </c>
      <c r="Y40" s="148"/>
      <c r="Z40" s="149">
        <f t="shared" si="5"/>
        <v>1934837.37</v>
      </c>
      <c r="AA40" s="148"/>
      <c r="AB40" s="149">
        <f>I40-T40</f>
        <v>-244303.85999999987</v>
      </c>
      <c r="AC40" s="149"/>
      <c r="AD40" s="148">
        <f>I40/T40</f>
        <v>0.87373416299066009</v>
      </c>
      <c r="AE40" s="149"/>
      <c r="AF40" s="148">
        <f t="shared" si="8"/>
        <v>-0.12626583700933991</v>
      </c>
    </row>
    <row r="41" spans="1:32" s="136" customFormat="1" ht="30" customHeight="1" x14ac:dyDescent="0.5">
      <c r="A41" s="136" t="s">
        <v>259</v>
      </c>
      <c r="B41" s="146">
        <f>'CNT (from FS Analysis)'!N185</f>
        <v>16352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f t="shared" si="0"/>
        <v>16352</v>
      </c>
      <c r="J41" s="147">
        <f t="shared" ref="J41:J48" si="25">I41/$I$49</f>
        <v>7.6085274171647631E-3</v>
      </c>
      <c r="K41" s="147"/>
      <c r="L41" s="135" t="s">
        <v>259</v>
      </c>
      <c r="M41" s="146">
        <v>10549</v>
      </c>
      <c r="N41" s="146">
        <v>0</v>
      </c>
      <c r="O41" s="146">
        <v>0</v>
      </c>
      <c r="P41" s="146">
        <v>0</v>
      </c>
      <c r="Q41" s="146">
        <v>0</v>
      </c>
      <c r="R41" s="146">
        <v>0</v>
      </c>
      <c r="S41" s="146">
        <v>0</v>
      </c>
      <c r="T41" s="146">
        <f t="shared" si="2"/>
        <v>10549</v>
      </c>
      <c r="U41" s="148">
        <f t="shared" ref="U41:U48" si="26">T41/$T$49</f>
        <v>4.2481757107652217E-3</v>
      </c>
      <c r="V41" s="135" t="s">
        <v>259</v>
      </c>
      <c r="W41" s="148"/>
      <c r="X41" s="149">
        <f t="shared" si="4"/>
        <v>16352</v>
      </c>
      <c r="Y41" s="148"/>
      <c r="Z41" s="149">
        <f t="shared" si="5"/>
        <v>10549</v>
      </c>
      <c r="AA41" s="148"/>
      <c r="AB41" s="149">
        <f t="shared" ref="AB41:AB48" si="27">I41-T41</f>
        <v>5803</v>
      </c>
      <c r="AC41" s="149"/>
      <c r="AD41" s="148">
        <f t="shared" ref="AD41:AD48" si="28">I41/T41</f>
        <v>1.5500995355009954</v>
      </c>
      <c r="AE41" s="149"/>
      <c r="AF41" s="148">
        <f t="shared" si="8"/>
        <v>0.55009953550099544</v>
      </c>
    </row>
    <row r="42" spans="1:32" s="136" customFormat="1" ht="30" customHeight="1" x14ac:dyDescent="0.5">
      <c r="A42" s="136" t="s">
        <v>260</v>
      </c>
      <c r="B42" s="146">
        <f>'CNT (from FS Analysis)'!N186</f>
        <v>139863.54999999999</v>
      </c>
      <c r="C42" s="146">
        <v>0</v>
      </c>
      <c r="D42" s="146">
        <f>DEP!G27</f>
        <v>5394.6100000000006</v>
      </c>
      <c r="E42" s="146">
        <v>0</v>
      </c>
      <c r="F42" s="146">
        <f>'BSC (Dome)'!G25</f>
        <v>9856.2099999999991</v>
      </c>
      <c r="G42" s="146">
        <v>0</v>
      </c>
      <c r="H42" s="146">
        <v>0</v>
      </c>
      <c r="I42" s="146">
        <f t="shared" si="0"/>
        <v>155114.36999999997</v>
      </c>
      <c r="J42" s="147">
        <f t="shared" si="25"/>
        <v>7.2174164441122748E-2</v>
      </c>
      <c r="K42" s="147"/>
      <c r="L42" s="135" t="s">
        <v>260</v>
      </c>
      <c r="M42" s="146">
        <v>149186.79999999999</v>
      </c>
      <c r="N42" s="146">
        <v>0</v>
      </c>
      <c r="O42" s="146">
        <v>6666.31</v>
      </c>
      <c r="P42" s="146">
        <v>0</v>
      </c>
      <c r="Q42" s="146">
        <v>9889.56</v>
      </c>
      <c r="R42" s="146">
        <v>0</v>
      </c>
      <c r="S42" s="146">
        <v>0</v>
      </c>
      <c r="T42" s="146">
        <f t="shared" si="2"/>
        <v>165742.66999999998</v>
      </c>
      <c r="U42" s="148">
        <f t="shared" si="26"/>
        <v>6.6746040850447969E-2</v>
      </c>
      <c r="V42" s="135" t="s">
        <v>260</v>
      </c>
      <c r="W42" s="148"/>
      <c r="X42" s="149">
        <f t="shared" si="4"/>
        <v>155114.36999999997</v>
      </c>
      <c r="Y42" s="148"/>
      <c r="Z42" s="149">
        <f t="shared" si="5"/>
        <v>165742.66999999998</v>
      </c>
      <c r="AA42" s="148"/>
      <c r="AB42" s="149">
        <f t="shared" si="27"/>
        <v>-10628.300000000017</v>
      </c>
      <c r="AC42" s="149"/>
      <c r="AD42" s="148">
        <f t="shared" si="28"/>
        <v>0.93587469056700956</v>
      </c>
      <c r="AE42" s="149"/>
      <c r="AF42" s="148">
        <f t="shared" si="8"/>
        <v>-6.4125309432990441E-2</v>
      </c>
    </row>
    <row r="43" spans="1:32" s="136" customFormat="1" ht="30" customHeight="1" x14ac:dyDescent="0.5">
      <c r="A43" s="136" t="s">
        <v>261</v>
      </c>
      <c r="B43" s="146">
        <f>'CNT (from FS Analysis)'!N187</f>
        <v>137194.44</v>
      </c>
      <c r="C43" s="146">
        <v>0</v>
      </c>
      <c r="D43" s="146">
        <f>DEP!G28</f>
        <v>15839.27</v>
      </c>
      <c r="E43" s="146">
        <v>0</v>
      </c>
      <c r="F43" s="146">
        <f>'BSC (Dome)'!G26</f>
        <v>26095.66</v>
      </c>
      <c r="G43" s="146">
        <v>0</v>
      </c>
      <c r="H43" s="146">
        <v>0</v>
      </c>
      <c r="I43" s="146">
        <f t="shared" si="0"/>
        <v>179129.37</v>
      </c>
      <c r="J43" s="147">
        <f t="shared" si="25"/>
        <v>8.3348258492199803E-2</v>
      </c>
      <c r="K43" s="147"/>
      <c r="L43" s="135" t="s">
        <v>261</v>
      </c>
      <c r="M43" s="146">
        <v>184075.64</v>
      </c>
      <c r="N43" s="146">
        <v>0</v>
      </c>
      <c r="O43" s="146">
        <v>25795.919999999998</v>
      </c>
      <c r="P43" s="146">
        <v>0</v>
      </c>
      <c r="Q43" s="146">
        <v>19509.72</v>
      </c>
      <c r="R43" s="146">
        <v>0</v>
      </c>
      <c r="S43" s="146">
        <v>0</v>
      </c>
      <c r="T43" s="146">
        <f t="shared" si="2"/>
        <v>229381.28</v>
      </c>
      <c r="U43" s="148">
        <f t="shared" si="26"/>
        <v>9.237387261354027E-2</v>
      </c>
      <c r="V43" s="135" t="s">
        <v>261</v>
      </c>
      <c r="W43" s="148"/>
      <c r="X43" s="149">
        <f t="shared" si="4"/>
        <v>179129.37</v>
      </c>
      <c r="Y43" s="148"/>
      <c r="Z43" s="149">
        <f t="shared" si="5"/>
        <v>229381.28</v>
      </c>
      <c r="AA43" s="148"/>
      <c r="AB43" s="149">
        <f t="shared" si="27"/>
        <v>-50251.91</v>
      </c>
      <c r="AC43" s="149"/>
      <c r="AD43" s="148">
        <f t="shared" si="28"/>
        <v>0.78092410156574243</v>
      </c>
      <c r="AE43" s="149"/>
      <c r="AF43" s="148">
        <f t="shared" si="8"/>
        <v>-0.21907589843425757</v>
      </c>
    </row>
    <row r="44" spans="1:32" s="136" customFormat="1" ht="30" customHeight="1" x14ac:dyDescent="0.5">
      <c r="A44" s="136" t="s">
        <v>262</v>
      </c>
      <c r="B44" s="146">
        <f>'CNT (from FS Analysis)'!N188</f>
        <v>18482.510000000002</v>
      </c>
      <c r="C44" s="146">
        <v>0</v>
      </c>
      <c r="D44" s="146">
        <f>DEP!G29</f>
        <v>1084.8999999999999</v>
      </c>
      <c r="E44" s="146">
        <v>0</v>
      </c>
      <c r="F44" s="146">
        <f>'BSC (Dome)'!G27</f>
        <v>1451.16</v>
      </c>
      <c r="G44" s="146">
        <v>0</v>
      </c>
      <c r="H44" s="146">
        <v>0</v>
      </c>
      <c r="I44" s="146">
        <f t="shared" si="0"/>
        <v>21018.570000000003</v>
      </c>
      <c r="J44" s="147">
        <f t="shared" si="25"/>
        <v>9.7798658338182978E-3</v>
      </c>
      <c r="K44" s="147"/>
      <c r="L44" s="135" t="s">
        <v>262</v>
      </c>
      <c r="M44" s="146">
        <v>30358</v>
      </c>
      <c r="N44" s="146">
        <v>0</v>
      </c>
      <c r="O44" s="146">
        <v>2833.38</v>
      </c>
      <c r="P44" s="146">
        <v>0</v>
      </c>
      <c r="Q44" s="146">
        <v>0</v>
      </c>
      <c r="R44" s="146">
        <v>0</v>
      </c>
      <c r="S44" s="146">
        <v>0</v>
      </c>
      <c r="T44" s="146">
        <f t="shared" si="2"/>
        <v>33191.379999999997</v>
      </c>
      <c r="U44" s="148">
        <f t="shared" si="26"/>
        <v>1.3366462633688365E-2</v>
      </c>
      <c r="V44" s="135" t="s">
        <v>262</v>
      </c>
      <c r="W44" s="148"/>
      <c r="X44" s="149">
        <f t="shared" si="4"/>
        <v>21018.570000000003</v>
      </c>
      <c r="Y44" s="148"/>
      <c r="Z44" s="149">
        <f t="shared" si="5"/>
        <v>33191.379999999997</v>
      </c>
      <c r="AA44" s="148"/>
      <c r="AB44" s="149">
        <f t="shared" si="27"/>
        <v>-12172.809999999994</v>
      </c>
      <c r="AC44" s="149"/>
      <c r="AD44" s="148">
        <f t="shared" si="28"/>
        <v>0.63325387495187013</v>
      </c>
      <c r="AE44" s="149"/>
      <c r="AF44" s="148">
        <f t="shared" si="8"/>
        <v>-0.36674612504812987</v>
      </c>
    </row>
    <row r="45" spans="1:32" s="136" customFormat="1" ht="30" customHeight="1" x14ac:dyDescent="0.5">
      <c r="A45" s="136" t="s">
        <v>263</v>
      </c>
      <c r="B45" s="146">
        <f>'CNT (from FS Analysis)'!N189</f>
        <v>45835</v>
      </c>
      <c r="C45" s="146">
        <v>0</v>
      </c>
      <c r="D45" s="146">
        <f>DEP!G30</f>
        <v>2000</v>
      </c>
      <c r="E45" s="146">
        <v>0</v>
      </c>
      <c r="F45" s="146">
        <f>'BSC (Dome)'!G29</f>
        <v>2250</v>
      </c>
      <c r="G45" s="146">
        <v>0</v>
      </c>
      <c r="H45" s="146">
        <v>0</v>
      </c>
      <c r="I45" s="146">
        <f t="shared" si="0"/>
        <v>50085</v>
      </c>
      <c r="J45" s="147">
        <f t="shared" si="25"/>
        <v>2.3304372290160053E-2</v>
      </c>
      <c r="K45" s="147"/>
      <c r="L45" s="135" t="s">
        <v>263</v>
      </c>
      <c r="M45" s="146">
        <v>57340</v>
      </c>
      <c r="N45" s="146">
        <v>0</v>
      </c>
      <c r="O45" s="146">
        <v>2275</v>
      </c>
      <c r="P45" s="146">
        <v>0</v>
      </c>
      <c r="Q45" s="146">
        <v>11615</v>
      </c>
      <c r="R45" s="146">
        <v>0</v>
      </c>
      <c r="S45" s="146">
        <v>0</v>
      </c>
      <c r="T45" s="146">
        <f t="shared" si="2"/>
        <v>71230</v>
      </c>
      <c r="U45" s="148">
        <f t="shared" si="26"/>
        <v>2.8684951737397549E-2</v>
      </c>
      <c r="V45" s="135" t="s">
        <v>263</v>
      </c>
      <c r="W45" s="148"/>
      <c r="X45" s="149">
        <f t="shared" si="4"/>
        <v>50085</v>
      </c>
      <c r="Y45" s="148"/>
      <c r="Z45" s="149">
        <f t="shared" si="5"/>
        <v>71230</v>
      </c>
      <c r="AA45" s="148"/>
      <c r="AB45" s="149">
        <f t="shared" si="27"/>
        <v>-21145</v>
      </c>
      <c r="AC45" s="149"/>
      <c r="AD45" s="148">
        <f t="shared" si="28"/>
        <v>0.70314474238382707</v>
      </c>
      <c r="AE45" s="149"/>
      <c r="AF45" s="148">
        <f t="shared" si="8"/>
        <v>-0.29685525761617293</v>
      </c>
    </row>
    <row r="46" spans="1:32" s="136" customFormat="1" ht="30" customHeight="1" x14ac:dyDescent="0.5">
      <c r="A46" s="136" t="s">
        <v>344</v>
      </c>
      <c r="B46" s="146">
        <f>'CNT (from FS Analysis)'!N191+'CNT (from FS Analysis)'!N190</f>
        <v>6840.4400000000005</v>
      </c>
      <c r="C46" s="146">
        <v>0</v>
      </c>
      <c r="D46" s="146">
        <f>DEP!G31</f>
        <v>680.01</v>
      </c>
      <c r="E46" s="146">
        <v>0</v>
      </c>
      <c r="F46" s="146">
        <f>'BSC (Dome)'!G28</f>
        <v>656.05</v>
      </c>
      <c r="G46" s="146">
        <v>0</v>
      </c>
      <c r="H46" s="146">
        <v>0</v>
      </c>
      <c r="I46" s="146">
        <f t="shared" si="0"/>
        <v>8176.5000000000009</v>
      </c>
      <c r="J46" s="147">
        <f t="shared" si="25"/>
        <v>3.8044963568033079E-3</v>
      </c>
      <c r="K46" s="147"/>
      <c r="L46" s="135" t="s">
        <v>344</v>
      </c>
      <c r="M46" s="146">
        <f>987.74+11023.26</f>
        <v>12011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f t="shared" si="2"/>
        <v>12011</v>
      </c>
      <c r="U46" s="148">
        <f t="shared" si="26"/>
        <v>4.8369360566879399E-3</v>
      </c>
      <c r="V46" s="135" t="s">
        <v>344</v>
      </c>
      <c r="W46" s="148"/>
      <c r="X46" s="149">
        <f t="shared" si="4"/>
        <v>8176.5000000000009</v>
      </c>
      <c r="Y46" s="148"/>
      <c r="Z46" s="149">
        <f t="shared" si="5"/>
        <v>12011</v>
      </c>
      <c r="AA46" s="148"/>
      <c r="AB46" s="149">
        <f t="shared" si="27"/>
        <v>-3834.4999999999991</v>
      </c>
      <c r="AC46" s="149"/>
      <c r="AD46" s="148">
        <f t="shared" si="28"/>
        <v>0.68075097826991937</v>
      </c>
      <c r="AE46" s="149"/>
      <c r="AF46" s="148">
        <f t="shared" si="8"/>
        <v>-0.31924902173008063</v>
      </c>
    </row>
    <row r="47" spans="1:32" s="136" customFormat="1" ht="30" customHeight="1" x14ac:dyDescent="0.5">
      <c r="A47" s="136" t="s">
        <v>264</v>
      </c>
      <c r="B47" s="146">
        <f>'CNT (from FS Analysis)'!N192+'CNT (from FS Analysis)'!N193</f>
        <v>3109.48</v>
      </c>
      <c r="C47" s="146">
        <v>0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146">
        <f t="shared" si="0"/>
        <v>3109.48</v>
      </c>
      <c r="J47" s="147">
        <f t="shared" si="25"/>
        <v>1.4468299800101203E-3</v>
      </c>
      <c r="K47" s="147"/>
      <c r="L47" s="135" t="s">
        <v>264</v>
      </c>
      <c r="M47" s="146">
        <v>0</v>
      </c>
      <c r="N47" s="146">
        <v>0</v>
      </c>
      <c r="O47" s="146">
        <v>0</v>
      </c>
      <c r="P47" s="146">
        <v>0</v>
      </c>
      <c r="Q47" s="146">
        <v>0</v>
      </c>
      <c r="R47" s="146">
        <v>0</v>
      </c>
      <c r="S47" s="146">
        <v>0</v>
      </c>
      <c r="T47" s="146">
        <f t="shared" si="2"/>
        <v>0</v>
      </c>
      <c r="U47" s="148">
        <f t="shared" si="26"/>
        <v>0</v>
      </c>
      <c r="V47" s="135" t="s">
        <v>264</v>
      </c>
      <c r="W47" s="148"/>
      <c r="X47" s="149">
        <f t="shared" si="4"/>
        <v>3109.48</v>
      </c>
      <c r="Y47" s="148"/>
      <c r="Z47" s="149">
        <f t="shared" si="5"/>
        <v>0</v>
      </c>
      <c r="AA47" s="148"/>
      <c r="AB47" s="149">
        <f t="shared" si="27"/>
        <v>3109.48</v>
      </c>
      <c r="AC47" s="149"/>
      <c r="AD47" s="148" t="e">
        <f t="shared" si="28"/>
        <v>#DIV/0!</v>
      </c>
      <c r="AE47" s="149"/>
      <c r="AF47" s="148" t="e">
        <f t="shared" si="8"/>
        <v>#DIV/0!</v>
      </c>
    </row>
    <row r="48" spans="1:32" s="136" customFormat="1" ht="30" customHeight="1" x14ac:dyDescent="0.5">
      <c r="A48" s="136" t="s">
        <v>280</v>
      </c>
      <c r="B48" s="146">
        <f>'CNT (from FS Analysis)'!N216</f>
        <v>25648.720000000001</v>
      </c>
      <c r="C48" s="146">
        <v>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f t="shared" si="0"/>
        <v>25648.720000000001</v>
      </c>
      <c r="J48" s="147">
        <f t="shared" si="25"/>
        <v>1.1934258154059577E-2</v>
      </c>
      <c r="K48" s="147"/>
      <c r="L48" s="135" t="s">
        <v>280</v>
      </c>
      <c r="M48" s="146">
        <v>26240.84</v>
      </c>
      <c r="N48" s="146">
        <v>0</v>
      </c>
      <c r="O48" s="146">
        <v>0</v>
      </c>
      <c r="P48" s="146">
        <v>0</v>
      </c>
      <c r="Q48" s="146">
        <v>0</v>
      </c>
      <c r="R48" s="146">
        <v>0</v>
      </c>
      <c r="S48" s="146">
        <v>0</v>
      </c>
      <c r="T48" s="146">
        <f t="shared" si="2"/>
        <v>26240.84</v>
      </c>
      <c r="U48" s="148">
        <f t="shared" si="26"/>
        <v>1.0567418629071615E-2</v>
      </c>
      <c r="V48" s="135" t="s">
        <v>280</v>
      </c>
      <c r="W48" s="148"/>
      <c r="X48" s="149">
        <f t="shared" si="4"/>
        <v>25648.720000000001</v>
      </c>
      <c r="Y48" s="148"/>
      <c r="Z48" s="149">
        <f t="shared" si="5"/>
        <v>26240.84</v>
      </c>
      <c r="AA48" s="148"/>
      <c r="AB48" s="149">
        <f t="shared" si="27"/>
        <v>-592.11999999999898</v>
      </c>
      <c r="AC48" s="149"/>
      <c r="AD48" s="148">
        <f t="shared" si="28"/>
        <v>0.97743517356913878</v>
      </c>
      <c r="AE48" s="149"/>
      <c r="AF48" s="148">
        <f t="shared" si="8"/>
        <v>-2.2564826430861218E-2</v>
      </c>
    </row>
    <row r="49" spans="1:32" s="136" customFormat="1" ht="30" customHeight="1" x14ac:dyDescent="0.5">
      <c r="A49" s="144" t="s">
        <v>265</v>
      </c>
      <c r="B49" s="151">
        <f t="shared" ref="B49:H49" si="29">SUM(B40:B48)</f>
        <v>1890616.29</v>
      </c>
      <c r="C49" s="151">
        <f t="shared" si="29"/>
        <v>0</v>
      </c>
      <c r="D49" s="151">
        <f t="shared" si="29"/>
        <v>67789.64</v>
      </c>
      <c r="E49" s="151">
        <f t="shared" si="29"/>
        <v>0</v>
      </c>
      <c r="F49" s="151">
        <f t="shared" si="29"/>
        <v>190761.59</v>
      </c>
      <c r="G49" s="151">
        <f t="shared" si="29"/>
        <v>0</v>
      </c>
      <c r="H49" s="151">
        <f t="shared" si="29"/>
        <v>0</v>
      </c>
      <c r="I49" s="151">
        <f t="shared" si="0"/>
        <v>2149167.52</v>
      </c>
      <c r="J49" s="152">
        <f>SUM(J40:J48)</f>
        <v>1.0000000000000002</v>
      </c>
      <c r="K49" s="153"/>
      <c r="L49" s="145" t="s">
        <v>265</v>
      </c>
      <c r="M49" s="151">
        <f t="shared" ref="M49:S49" si="30">SUM(M40:M48)</f>
        <v>2173792.14</v>
      </c>
      <c r="N49" s="151">
        <f t="shared" si="30"/>
        <v>0</v>
      </c>
      <c r="O49" s="151">
        <f t="shared" si="30"/>
        <v>116770.3</v>
      </c>
      <c r="P49" s="151">
        <f t="shared" si="30"/>
        <v>0</v>
      </c>
      <c r="Q49" s="151">
        <f t="shared" si="30"/>
        <v>192621.1</v>
      </c>
      <c r="R49" s="151">
        <f t="shared" si="30"/>
        <v>0</v>
      </c>
      <c r="S49" s="151">
        <f t="shared" si="30"/>
        <v>0</v>
      </c>
      <c r="T49" s="151">
        <f t="shared" si="2"/>
        <v>2483183.54</v>
      </c>
      <c r="U49" s="154">
        <f>SUM(U40:U48)</f>
        <v>1</v>
      </c>
      <c r="V49" s="145" t="s">
        <v>265</v>
      </c>
      <c r="W49" s="155"/>
      <c r="X49" s="156">
        <f t="shared" si="4"/>
        <v>2149167.52</v>
      </c>
      <c r="Y49" s="155"/>
      <c r="Z49" s="156">
        <f t="shared" si="5"/>
        <v>2483183.54</v>
      </c>
      <c r="AA49" s="155"/>
      <c r="AB49" s="156">
        <f>I49-T49</f>
        <v>-334016.02</v>
      </c>
      <c r="AC49" s="156"/>
      <c r="AD49" s="154">
        <f>I49/T49</f>
        <v>0.86548879105408372</v>
      </c>
      <c r="AE49" s="156"/>
      <c r="AF49" s="154">
        <f t="shared" si="8"/>
        <v>-0.13451120894591628</v>
      </c>
    </row>
    <row r="50" spans="1:32" s="136" customFormat="1" ht="30" customHeight="1" x14ac:dyDescent="0.5">
      <c r="B50" s="146"/>
      <c r="C50" s="146"/>
      <c r="D50" s="146"/>
      <c r="E50" s="146"/>
      <c r="F50" s="146"/>
      <c r="G50" s="146"/>
      <c r="H50" s="146"/>
      <c r="I50" s="146"/>
      <c r="J50" s="135"/>
      <c r="K50" s="135"/>
      <c r="L50" s="135"/>
      <c r="M50" s="146"/>
      <c r="N50" s="146"/>
      <c r="O50" s="146"/>
      <c r="P50" s="146"/>
      <c r="Q50" s="146"/>
      <c r="R50" s="146"/>
      <c r="S50" s="146"/>
      <c r="T50" s="146"/>
      <c r="V50" s="135"/>
      <c r="X50" s="149"/>
      <c r="Z50" s="149">
        <f t="shared" si="5"/>
        <v>0</v>
      </c>
      <c r="AB50" s="149"/>
      <c r="AC50" s="149"/>
      <c r="AD50" s="157"/>
      <c r="AE50" s="149"/>
      <c r="AF50" s="157"/>
    </row>
    <row r="51" spans="1:32" s="136" customFormat="1" ht="30" customHeight="1" x14ac:dyDescent="0.5">
      <c r="A51" s="144" t="s">
        <v>266</v>
      </c>
      <c r="B51" s="146"/>
      <c r="C51" s="146"/>
      <c r="D51" s="146"/>
      <c r="E51" s="146"/>
      <c r="F51" s="146"/>
      <c r="G51" s="146"/>
      <c r="H51" s="146"/>
      <c r="I51" s="146"/>
      <c r="J51" s="135"/>
      <c r="K51" s="135"/>
      <c r="L51" s="145" t="s">
        <v>266</v>
      </c>
      <c r="M51" s="146"/>
      <c r="N51" s="146"/>
      <c r="O51" s="146"/>
      <c r="P51" s="146"/>
      <c r="Q51" s="146"/>
      <c r="R51" s="146"/>
      <c r="S51" s="146"/>
      <c r="T51" s="146"/>
      <c r="V51" s="145" t="s">
        <v>266</v>
      </c>
      <c r="X51" s="149"/>
      <c r="Z51" s="149">
        <f t="shared" si="5"/>
        <v>0</v>
      </c>
      <c r="AB51" s="149"/>
      <c r="AC51" s="149"/>
      <c r="AD51" s="157"/>
      <c r="AE51" s="149"/>
      <c r="AF51" s="157"/>
    </row>
    <row r="52" spans="1:32" s="136" customFormat="1" ht="30" customHeight="1" x14ac:dyDescent="0.5">
      <c r="A52" s="136" t="s">
        <v>267</v>
      </c>
      <c r="B52" s="146">
        <f>'CNT (from FS Analysis)'!N196+'CNT (from FS Analysis)'!N197</f>
        <v>171000</v>
      </c>
      <c r="C52" s="146">
        <v>0</v>
      </c>
      <c r="D52" s="146">
        <f>DEP!G35</f>
        <v>187500</v>
      </c>
      <c r="E52" s="146">
        <v>0</v>
      </c>
      <c r="F52" s="146">
        <f>'BSC (Dome)'!G35</f>
        <v>5000</v>
      </c>
      <c r="G52" s="146">
        <v>0</v>
      </c>
      <c r="H52" s="146">
        <v>0</v>
      </c>
      <c r="I52" s="146">
        <f t="shared" ref="I52:I74" si="31">SUM(B52:H52)</f>
        <v>363500</v>
      </c>
      <c r="J52" s="147">
        <f t="shared" ref="J52:J73" si="32">I52/$I$74</f>
        <v>0.20195878015185556</v>
      </c>
      <c r="K52" s="147"/>
      <c r="L52" s="135" t="s">
        <v>267</v>
      </c>
      <c r="M52" s="146">
        <v>178500</v>
      </c>
      <c r="N52" s="146">
        <v>0</v>
      </c>
      <c r="O52" s="146">
        <f>125000</f>
        <v>125000</v>
      </c>
      <c r="P52" s="146">
        <v>0</v>
      </c>
      <c r="Q52" s="146">
        <v>5000</v>
      </c>
      <c r="R52" s="146">
        <v>0</v>
      </c>
      <c r="S52" s="146">
        <v>0</v>
      </c>
      <c r="T52" s="146">
        <f t="shared" si="2"/>
        <v>308500</v>
      </c>
      <c r="U52" s="148">
        <f t="shared" ref="U52:U69" si="33">T52/$T$74</f>
        <v>0.22986281585972956</v>
      </c>
      <c r="V52" s="135" t="s">
        <v>267</v>
      </c>
      <c r="W52" s="148"/>
      <c r="X52" s="149">
        <f t="shared" si="4"/>
        <v>363500</v>
      </c>
      <c r="Y52" s="148"/>
      <c r="Z52" s="149">
        <f t="shared" si="5"/>
        <v>308500</v>
      </c>
      <c r="AA52" s="148"/>
      <c r="AB52" s="149">
        <f>I52-T52</f>
        <v>55000</v>
      </c>
      <c r="AC52" s="149"/>
      <c r="AD52" s="148">
        <f>I52/T52</f>
        <v>1.1782820097244733</v>
      </c>
      <c r="AE52" s="149"/>
      <c r="AF52" s="148">
        <f t="shared" si="8"/>
        <v>0.17828200972447328</v>
      </c>
    </row>
    <row r="53" spans="1:32" s="136" customFormat="1" ht="30" customHeight="1" x14ac:dyDescent="0.5">
      <c r="A53" s="136" t="s">
        <v>268</v>
      </c>
      <c r="B53" s="146">
        <f>'CNT (from FS Analysis)'!N198</f>
        <v>15853.150000000001</v>
      </c>
      <c r="C53" s="146">
        <v>0</v>
      </c>
      <c r="D53" s="146">
        <f>DEP!G36</f>
        <v>33450.199999999997</v>
      </c>
      <c r="E53" s="146">
        <v>0</v>
      </c>
      <c r="F53" s="146">
        <f>'BSC (Dome)'!G37</f>
        <v>3703.5</v>
      </c>
      <c r="G53" s="146">
        <v>0</v>
      </c>
      <c r="H53" s="146">
        <v>0</v>
      </c>
      <c r="I53" s="146">
        <f t="shared" si="31"/>
        <v>53006.85</v>
      </c>
      <c r="J53" s="147">
        <f t="shared" si="32"/>
        <v>2.9450340483335308E-2</v>
      </c>
      <c r="K53" s="147"/>
      <c r="L53" s="135" t="s">
        <v>268</v>
      </c>
      <c r="M53" s="146">
        <v>34178.32</v>
      </c>
      <c r="N53" s="146">
        <v>0</v>
      </c>
      <c r="O53" s="146">
        <v>30655.97</v>
      </c>
      <c r="P53" s="146">
        <v>0</v>
      </c>
      <c r="Q53" s="146">
        <v>19868.490000000002</v>
      </c>
      <c r="R53" s="146">
        <v>0</v>
      </c>
      <c r="S53" s="146">
        <v>0</v>
      </c>
      <c r="T53" s="146">
        <f t="shared" si="2"/>
        <v>84702.78</v>
      </c>
      <c r="U53" s="148">
        <f t="shared" si="33"/>
        <v>6.3111894722681305E-2</v>
      </c>
      <c r="V53" s="135" t="s">
        <v>268</v>
      </c>
      <c r="W53" s="148"/>
      <c r="X53" s="149">
        <f t="shared" si="4"/>
        <v>53006.85</v>
      </c>
      <c r="Y53" s="148"/>
      <c r="Z53" s="149">
        <f t="shared" si="5"/>
        <v>84702.78</v>
      </c>
      <c r="AA53" s="148"/>
      <c r="AB53" s="149">
        <f t="shared" ref="AB53:AB73" si="34">I53-T53</f>
        <v>-31695.93</v>
      </c>
      <c r="AC53" s="149"/>
      <c r="AD53" s="148">
        <f t="shared" ref="AD53:AD71" si="35">I53/T53</f>
        <v>0.62579823236026022</v>
      </c>
      <c r="AE53" s="149"/>
      <c r="AF53" s="148">
        <f t="shared" si="8"/>
        <v>-0.37420176763973978</v>
      </c>
    </row>
    <row r="54" spans="1:32" s="136" customFormat="1" ht="30" customHeight="1" x14ac:dyDescent="0.5">
      <c r="A54" s="136" t="s">
        <v>269</v>
      </c>
      <c r="B54" s="146">
        <f>'CNT (from FS Analysis)'!N199</f>
        <v>8507.1799999999985</v>
      </c>
      <c r="C54" s="146">
        <v>0</v>
      </c>
      <c r="D54" s="146">
        <v>0</v>
      </c>
      <c r="E54" s="146">
        <v>0</v>
      </c>
      <c r="F54" s="146">
        <f>'BSC (Dome)'!G36</f>
        <v>58354.85</v>
      </c>
      <c r="G54" s="146">
        <v>0</v>
      </c>
      <c r="H54" s="146">
        <v>0</v>
      </c>
      <c r="I54" s="146">
        <f t="shared" si="31"/>
        <v>66862.03</v>
      </c>
      <c r="J54" s="147">
        <f t="shared" si="32"/>
        <v>3.7148209125933342E-2</v>
      </c>
      <c r="K54" s="147"/>
      <c r="L54" s="135" t="s">
        <v>269</v>
      </c>
      <c r="M54" s="146">
        <v>6493.32</v>
      </c>
      <c r="N54" s="146">
        <v>0</v>
      </c>
      <c r="O54" s="146">
        <v>0</v>
      </c>
      <c r="P54" s="146">
        <v>0</v>
      </c>
      <c r="Q54" s="146">
        <v>67301.899999999994</v>
      </c>
      <c r="R54" s="146">
        <v>0</v>
      </c>
      <c r="S54" s="146">
        <v>0</v>
      </c>
      <c r="T54" s="146">
        <f t="shared" si="2"/>
        <v>73795.22</v>
      </c>
      <c r="U54" s="148">
        <f t="shared" si="33"/>
        <v>5.4984690652149865E-2</v>
      </c>
      <c r="V54" s="135" t="s">
        <v>269</v>
      </c>
      <c r="W54" s="148"/>
      <c r="X54" s="149">
        <f t="shared" si="4"/>
        <v>66862.03</v>
      </c>
      <c r="Y54" s="148"/>
      <c r="Z54" s="149">
        <f t="shared" si="5"/>
        <v>73795.22</v>
      </c>
      <c r="AA54" s="148"/>
      <c r="AB54" s="149">
        <f t="shared" si="34"/>
        <v>-6933.1900000000023</v>
      </c>
      <c r="AC54" s="149"/>
      <c r="AD54" s="148">
        <f t="shared" si="35"/>
        <v>0.90604825082166562</v>
      </c>
      <c r="AE54" s="149"/>
      <c r="AF54" s="148">
        <f t="shared" si="8"/>
        <v>-9.3951749178334376E-2</v>
      </c>
    </row>
    <row r="55" spans="1:32" s="136" customFormat="1" ht="30" customHeight="1" x14ac:dyDescent="0.5">
      <c r="A55" s="136" t="s">
        <v>374</v>
      </c>
      <c r="B55" s="146">
        <f>'CNT (from FS Analysis)'!N200</f>
        <v>579.03</v>
      </c>
      <c r="C55" s="146">
        <v>0</v>
      </c>
      <c r="D55" s="146">
        <v>0</v>
      </c>
      <c r="E55" s="146">
        <v>0</v>
      </c>
      <c r="F55" s="146">
        <f>'BSC (Dome)'!G38</f>
        <v>1532.02</v>
      </c>
      <c r="G55" s="146">
        <v>0</v>
      </c>
      <c r="H55" s="146">
        <v>0</v>
      </c>
      <c r="I55" s="146">
        <f t="shared" si="31"/>
        <v>2111.0500000000002</v>
      </c>
      <c r="J55" s="147">
        <f t="shared" si="32"/>
        <v>1.1728888111129979E-3</v>
      </c>
      <c r="K55" s="147"/>
      <c r="L55" s="135" t="s">
        <v>374</v>
      </c>
      <c r="M55" s="146">
        <v>1061.8699999999999</v>
      </c>
      <c r="N55" s="146">
        <v>0</v>
      </c>
      <c r="O55" s="146">
        <v>0</v>
      </c>
      <c r="P55" s="146">
        <v>0</v>
      </c>
      <c r="Q55" s="146">
        <v>1091.22</v>
      </c>
      <c r="R55" s="146">
        <v>0</v>
      </c>
      <c r="S55" s="146">
        <v>0</v>
      </c>
      <c r="T55" s="146">
        <f t="shared" si="2"/>
        <v>2153.09</v>
      </c>
      <c r="U55" s="148">
        <f t="shared" si="33"/>
        <v>1.6042636311164511E-3</v>
      </c>
      <c r="V55" s="135" t="s">
        <v>374</v>
      </c>
      <c r="W55" s="148"/>
      <c r="X55" s="149">
        <f t="shared" si="4"/>
        <v>2111.0500000000002</v>
      </c>
      <c r="Y55" s="148"/>
      <c r="Z55" s="149">
        <f t="shared" si="5"/>
        <v>2153.09</v>
      </c>
      <c r="AA55" s="148"/>
      <c r="AB55" s="149">
        <f t="shared" si="34"/>
        <v>-42.039999999999964</v>
      </c>
      <c r="AC55" s="149"/>
      <c r="AD55" s="148">
        <f t="shared" si="35"/>
        <v>0.98047457375214231</v>
      </c>
      <c r="AE55" s="149"/>
      <c r="AF55" s="148">
        <f t="shared" si="8"/>
        <v>-1.9525426247857691E-2</v>
      </c>
    </row>
    <row r="56" spans="1:32" s="136" customFormat="1" ht="30" customHeight="1" x14ac:dyDescent="0.5">
      <c r="A56" s="136" t="s">
        <v>327</v>
      </c>
      <c r="B56" s="146">
        <v>0</v>
      </c>
      <c r="C56" s="146">
        <v>0</v>
      </c>
      <c r="D56" s="146">
        <f>DEP!G37</f>
        <v>750</v>
      </c>
      <c r="E56" s="146">
        <v>0</v>
      </c>
      <c r="F56" s="146">
        <f>'BSC (Dome)'!G39</f>
        <v>3003.8</v>
      </c>
      <c r="G56" s="146">
        <v>0</v>
      </c>
      <c r="H56" s="146">
        <v>0</v>
      </c>
      <c r="I56" s="146">
        <f t="shared" si="31"/>
        <v>3753.8</v>
      </c>
      <c r="J56" s="147">
        <f t="shared" si="32"/>
        <v>2.0855924867511292E-3</v>
      </c>
      <c r="K56" s="147"/>
      <c r="L56" s="135" t="s">
        <v>327</v>
      </c>
      <c r="M56" s="146">
        <v>0</v>
      </c>
      <c r="N56" s="146">
        <v>0</v>
      </c>
      <c r="O56" s="146">
        <v>543.5</v>
      </c>
      <c r="P56" s="146">
        <v>0</v>
      </c>
      <c r="Q56" s="146">
        <v>2765</v>
      </c>
      <c r="R56" s="146">
        <v>0</v>
      </c>
      <c r="S56" s="146">
        <v>0</v>
      </c>
      <c r="T56" s="146">
        <f t="shared" si="2"/>
        <v>3308.5</v>
      </c>
      <c r="U56" s="148">
        <f t="shared" si="33"/>
        <v>2.4651576216269538E-3</v>
      </c>
      <c r="V56" s="135" t="s">
        <v>327</v>
      </c>
      <c r="W56" s="148"/>
      <c r="X56" s="149">
        <f t="shared" si="4"/>
        <v>3753.8</v>
      </c>
      <c r="Y56" s="148"/>
      <c r="Z56" s="149">
        <f t="shared" si="5"/>
        <v>3308.5</v>
      </c>
      <c r="AA56" s="148"/>
      <c r="AB56" s="149">
        <f t="shared" si="34"/>
        <v>445.30000000000018</v>
      </c>
      <c r="AC56" s="149"/>
      <c r="AD56" s="148">
        <f t="shared" si="35"/>
        <v>1.1345927157322049</v>
      </c>
      <c r="AE56" s="149"/>
      <c r="AF56" s="148">
        <f t="shared" si="8"/>
        <v>0.13459271573220488</v>
      </c>
    </row>
    <row r="57" spans="1:32" s="136" customFormat="1" ht="30" customHeight="1" x14ac:dyDescent="0.5">
      <c r="A57" s="136" t="s">
        <v>270</v>
      </c>
      <c r="B57" s="146">
        <f>'CNT (from FS Analysis)'!N201</f>
        <v>14225</v>
      </c>
      <c r="C57" s="146">
        <v>0</v>
      </c>
      <c r="D57" s="146">
        <f>DEP!G38</f>
        <v>6660</v>
      </c>
      <c r="E57" s="146">
        <v>0</v>
      </c>
      <c r="F57" s="146">
        <v>0</v>
      </c>
      <c r="G57" s="146">
        <v>0</v>
      </c>
      <c r="H57" s="146">
        <v>0</v>
      </c>
      <c r="I57" s="146">
        <f t="shared" si="31"/>
        <v>20885</v>
      </c>
      <c r="J57" s="147">
        <f t="shared" si="32"/>
        <v>1.1603601440086667E-2</v>
      </c>
      <c r="K57" s="147"/>
      <c r="L57" s="135" t="s">
        <v>270</v>
      </c>
      <c r="M57" s="146">
        <v>9589</v>
      </c>
      <c r="N57" s="146">
        <v>0</v>
      </c>
      <c r="O57" s="146">
        <v>-597</v>
      </c>
      <c r="P57" s="146">
        <v>0</v>
      </c>
      <c r="Q57" s="146">
        <v>0</v>
      </c>
      <c r="R57" s="146">
        <v>0</v>
      </c>
      <c r="S57" s="146">
        <v>0</v>
      </c>
      <c r="T57" s="146">
        <f t="shared" si="2"/>
        <v>8992</v>
      </c>
      <c r="U57" s="148">
        <f t="shared" si="33"/>
        <v>6.6999236311529606E-3</v>
      </c>
      <c r="V57" s="135" t="s">
        <v>270</v>
      </c>
      <c r="W57" s="148"/>
      <c r="X57" s="149">
        <f t="shared" si="4"/>
        <v>20885</v>
      </c>
      <c r="Y57" s="148"/>
      <c r="Z57" s="149">
        <f t="shared" si="5"/>
        <v>8992</v>
      </c>
      <c r="AA57" s="148"/>
      <c r="AB57" s="149">
        <f t="shared" si="34"/>
        <v>11893</v>
      </c>
      <c r="AC57" s="149"/>
      <c r="AD57" s="148">
        <f t="shared" si="35"/>
        <v>2.3226201067615659</v>
      </c>
      <c r="AE57" s="149"/>
      <c r="AF57" s="148">
        <f t="shared" si="8"/>
        <v>1.3226201067615659</v>
      </c>
    </row>
    <row r="58" spans="1:32" s="136" customFormat="1" ht="30" customHeight="1" x14ac:dyDescent="0.5">
      <c r="A58" s="136" t="s">
        <v>412</v>
      </c>
      <c r="B58" s="146">
        <f>'CNT (from FS Analysis)'!N202+'CNT (from FS Analysis)'!N210</f>
        <v>56121.599999999999</v>
      </c>
      <c r="C58" s="146">
        <f>BPM!G38</f>
        <v>1511.66</v>
      </c>
      <c r="D58" s="146">
        <f>DEP!G39</f>
        <v>7404.9699999999993</v>
      </c>
      <c r="E58" s="146">
        <v>0</v>
      </c>
      <c r="F58" s="146">
        <f>'BSC (Dome)'!G41</f>
        <v>2381.98</v>
      </c>
      <c r="G58" s="146">
        <v>0</v>
      </c>
      <c r="H58" s="146">
        <v>0</v>
      </c>
      <c r="I58" s="146">
        <f t="shared" si="31"/>
        <v>67420.210000000006</v>
      </c>
      <c r="J58" s="147">
        <f t="shared" si="32"/>
        <v>3.7458331139427606E-2</v>
      </c>
      <c r="K58" s="147"/>
      <c r="L58" s="135" t="s">
        <v>271</v>
      </c>
      <c r="M58" s="146">
        <v>69551</v>
      </c>
      <c r="N58" s="146">
        <v>5802.35</v>
      </c>
      <c r="O58" s="146">
        <v>17680</v>
      </c>
      <c r="P58" s="146">
        <v>0</v>
      </c>
      <c r="Q58" s="146">
        <f>5460.79+712.05+862.3+517</f>
        <v>7552.14</v>
      </c>
      <c r="R58" s="146">
        <v>0</v>
      </c>
      <c r="S58" s="146">
        <v>0</v>
      </c>
      <c r="T58" s="146">
        <f t="shared" si="2"/>
        <v>100585.49</v>
      </c>
      <c r="U58" s="148">
        <f t="shared" si="33"/>
        <v>7.4946074444183705E-2</v>
      </c>
      <c r="V58" s="135" t="s">
        <v>271</v>
      </c>
      <c r="W58" s="148"/>
      <c r="X58" s="149">
        <f t="shared" si="4"/>
        <v>67420.210000000006</v>
      </c>
      <c r="Y58" s="148"/>
      <c r="Z58" s="149">
        <f t="shared" si="5"/>
        <v>100585.49</v>
      </c>
      <c r="AA58" s="148"/>
      <c r="AB58" s="149">
        <f t="shared" si="34"/>
        <v>-33165.279999999999</v>
      </c>
      <c r="AC58" s="149"/>
      <c r="AD58" s="148">
        <f t="shared" si="35"/>
        <v>0.67027769114610869</v>
      </c>
      <c r="AE58" s="149"/>
      <c r="AF58" s="148">
        <f t="shared" si="8"/>
        <v>-0.32972230885389131</v>
      </c>
    </row>
    <row r="59" spans="1:32" s="136" customFormat="1" ht="30" customHeight="1" x14ac:dyDescent="0.5">
      <c r="A59" s="136" t="s">
        <v>413</v>
      </c>
      <c r="B59" s="146"/>
      <c r="C59" s="146">
        <v>0</v>
      </c>
      <c r="D59" s="146">
        <v>0</v>
      </c>
      <c r="E59" s="146">
        <v>0</v>
      </c>
      <c r="F59" s="146">
        <f>'BSC (Dome)'!G42+'BSC (Dome)'!G48</f>
        <v>6036.92</v>
      </c>
      <c r="G59" s="146">
        <v>0</v>
      </c>
      <c r="H59" s="146">
        <v>0</v>
      </c>
      <c r="I59" s="146">
        <f t="shared" si="31"/>
        <v>6036.92</v>
      </c>
      <c r="J59" s="147">
        <f t="shared" si="32"/>
        <v>3.3540825284025856E-3</v>
      </c>
      <c r="K59" s="147"/>
      <c r="L59" s="135" t="s">
        <v>413</v>
      </c>
      <c r="M59" s="146">
        <v>0</v>
      </c>
      <c r="N59" s="146">
        <v>0</v>
      </c>
      <c r="O59" s="146">
        <v>0</v>
      </c>
      <c r="P59" s="146">
        <v>0</v>
      </c>
      <c r="Q59" s="146">
        <v>3281.4</v>
      </c>
      <c r="R59" s="146">
        <v>0</v>
      </c>
      <c r="S59" s="146">
        <v>0</v>
      </c>
      <c r="T59" s="146">
        <f t="shared" si="2"/>
        <v>3281.4</v>
      </c>
      <c r="U59" s="148">
        <f t="shared" si="33"/>
        <v>2.4449654585481902E-3</v>
      </c>
      <c r="V59" s="135" t="s">
        <v>413</v>
      </c>
      <c r="W59" s="148"/>
      <c r="X59" s="149">
        <f t="shared" si="4"/>
        <v>6036.92</v>
      </c>
      <c r="Y59" s="148"/>
      <c r="Z59" s="149">
        <f t="shared" si="5"/>
        <v>3281.4</v>
      </c>
      <c r="AA59" s="148"/>
      <c r="AB59" s="149">
        <f>I59-T59</f>
        <v>2755.52</v>
      </c>
      <c r="AC59" s="149"/>
      <c r="AD59" s="148">
        <f t="shared" si="35"/>
        <v>1.8397391357347472</v>
      </c>
      <c r="AE59" s="149"/>
      <c r="AF59" s="148">
        <f t="shared" si="8"/>
        <v>0.83973913573474723</v>
      </c>
    </row>
    <row r="60" spans="1:32" s="136" customFormat="1" ht="30" customHeight="1" x14ac:dyDescent="0.5">
      <c r="A60" s="136" t="s">
        <v>273</v>
      </c>
      <c r="B60" s="146">
        <f>'CNT (from FS Analysis)'!N203</f>
        <v>43382.590000000011</v>
      </c>
      <c r="C60" s="146">
        <v>0</v>
      </c>
      <c r="D60" s="146">
        <f>DEP!G40</f>
        <v>26970.9</v>
      </c>
      <c r="E60" s="146">
        <v>0</v>
      </c>
      <c r="F60" s="146">
        <f>'BSC (Dome)'!G44</f>
        <v>233.66</v>
      </c>
      <c r="G60" s="146">
        <v>0</v>
      </c>
      <c r="H60" s="146">
        <v>0</v>
      </c>
      <c r="I60" s="146">
        <f t="shared" si="31"/>
        <v>70587.150000000023</v>
      </c>
      <c r="J60" s="147">
        <f t="shared" si="32"/>
        <v>3.9217867148269754E-2</v>
      </c>
      <c r="K60" s="147"/>
      <c r="L60" s="135" t="s">
        <v>273</v>
      </c>
      <c r="M60" s="146">
        <v>45556.4</v>
      </c>
      <c r="N60" s="146">
        <v>0</v>
      </c>
      <c r="O60" s="146">
        <v>21585</v>
      </c>
      <c r="P60" s="146">
        <v>0</v>
      </c>
      <c r="Q60" s="146">
        <v>0</v>
      </c>
      <c r="R60" s="146">
        <v>-1113.3599999999999</v>
      </c>
      <c r="S60" s="146">
        <v>0</v>
      </c>
      <c r="T60" s="146">
        <f t="shared" si="2"/>
        <v>66028.039999999994</v>
      </c>
      <c r="U60" s="148">
        <f t="shared" si="33"/>
        <v>4.9197378282330166E-2</v>
      </c>
      <c r="V60" s="135" t="s">
        <v>273</v>
      </c>
      <c r="W60" s="148"/>
      <c r="X60" s="149">
        <f t="shared" si="4"/>
        <v>70587.150000000023</v>
      </c>
      <c r="Y60" s="148"/>
      <c r="Z60" s="149">
        <f t="shared" si="5"/>
        <v>66028.039999999994</v>
      </c>
      <c r="AA60" s="148"/>
      <c r="AB60" s="149">
        <f t="shared" si="34"/>
        <v>4559.1100000000297</v>
      </c>
      <c r="AC60" s="149"/>
      <c r="AD60" s="148">
        <f t="shared" si="35"/>
        <v>1.0690480892663181</v>
      </c>
      <c r="AE60" s="149"/>
      <c r="AF60" s="148">
        <f t="shared" si="8"/>
        <v>6.9048089266318113E-2</v>
      </c>
    </row>
    <row r="61" spans="1:32" s="136" customFormat="1" ht="30" customHeight="1" x14ac:dyDescent="0.5">
      <c r="A61" s="136" t="s">
        <v>274</v>
      </c>
      <c r="B61" s="146">
        <f>'CNT (from FS Analysis)'!N204</f>
        <v>15500</v>
      </c>
      <c r="C61" s="146">
        <v>0</v>
      </c>
      <c r="D61" s="146">
        <f>DEP!G41</f>
        <v>7274.04</v>
      </c>
      <c r="E61" s="146">
        <v>0</v>
      </c>
      <c r="F61" s="146">
        <v>0</v>
      </c>
      <c r="G61" s="146">
        <v>0</v>
      </c>
      <c r="H61" s="146">
        <v>0</v>
      </c>
      <c r="I61" s="146">
        <f t="shared" si="31"/>
        <v>22774.04</v>
      </c>
      <c r="J61" s="147">
        <f t="shared" si="32"/>
        <v>1.265314260668381E-2</v>
      </c>
      <c r="K61" s="147"/>
      <c r="L61" s="135" t="s">
        <v>274</v>
      </c>
      <c r="M61" s="146">
        <v>14045.13</v>
      </c>
      <c r="N61" s="146">
        <v>0</v>
      </c>
      <c r="O61" s="146">
        <v>9010.94</v>
      </c>
      <c r="P61" s="146">
        <v>0</v>
      </c>
      <c r="Q61" s="146">
        <v>0</v>
      </c>
      <c r="R61" s="146">
        <v>0</v>
      </c>
      <c r="S61" s="146">
        <v>0</v>
      </c>
      <c r="T61" s="146">
        <f t="shared" si="2"/>
        <v>23056.07</v>
      </c>
      <c r="U61" s="148">
        <f t="shared" si="33"/>
        <v>1.7179037837468509E-2</v>
      </c>
      <c r="V61" s="135" t="s">
        <v>274</v>
      </c>
      <c r="W61" s="148"/>
      <c r="X61" s="149">
        <f t="shared" si="4"/>
        <v>22774.04</v>
      </c>
      <c r="Y61" s="148"/>
      <c r="Z61" s="149">
        <f t="shared" si="5"/>
        <v>23056.07</v>
      </c>
      <c r="AA61" s="148"/>
      <c r="AB61" s="149">
        <f t="shared" si="34"/>
        <v>-282.02999999999884</v>
      </c>
      <c r="AC61" s="149"/>
      <c r="AD61" s="148">
        <f t="shared" si="35"/>
        <v>0.98776764643757597</v>
      </c>
      <c r="AE61" s="149"/>
      <c r="AF61" s="148">
        <f t="shared" si="8"/>
        <v>-1.2232353562424025E-2</v>
      </c>
    </row>
    <row r="62" spans="1:32" s="136" customFormat="1" ht="30" customHeight="1" x14ac:dyDescent="0.5">
      <c r="A62" s="136" t="s">
        <v>272</v>
      </c>
      <c r="B62" s="146">
        <f>'CNT (from FS Analysis)'!N205</f>
        <v>25484.61</v>
      </c>
      <c r="C62" s="146">
        <v>0</v>
      </c>
      <c r="D62" s="146">
        <f>DEP!G42</f>
        <v>90104.159999999989</v>
      </c>
      <c r="E62" s="146">
        <v>0</v>
      </c>
      <c r="F62" s="146">
        <f>'BSC (Dome)'!G46</f>
        <v>12122</v>
      </c>
      <c r="G62" s="146">
        <v>0</v>
      </c>
      <c r="H62" s="146">
        <v>0</v>
      </c>
      <c r="I62" s="146">
        <f t="shared" si="31"/>
        <v>127710.76999999999</v>
      </c>
      <c r="J62" s="147">
        <f t="shared" si="32"/>
        <v>7.0955464433161447E-2</v>
      </c>
      <c r="K62" s="147"/>
      <c r="L62" s="135" t="s">
        <v>272</v>
      </c>
      <c r="M62" s="146">
        <v>21712</v>
      </c>
      <c r="N62" s="146">
        <v>0</v>
      </c>
      <c r="O62" s="146">
        <v>91265.38</v>
      </c>
      <c r="P62" s="146">
        <v>0</v>
      </c>
      <c r="Q62" s="146">
        <v>23420</v>
      </c>
      <c r="R62" s="146">
        <v>0</v>
      </c>
      <c r="S62" s="146">
        <v>0</v>
      </c>
      <c r="T62" s="146">
        <f t="shared" si="2"/>
        <v>136397.38</v>
      </c>
      <c r="U62" s="148">
        <f t="shared" si="33"/>
        <v>0.1016294516780861</v>
      </c>
      <c r="V62" s="135" t="s">
        <v>272</v>
      </c>
      <c r="W62" s="148"/>
      <c r="X62" s="149">
        <f t="shared" si="4"/>
        <v>127710.76999999999</v>
      </c>
      <c r="Y62" s="148"/>
      <c r="Z62" s="149">
        <f t="shared" si="5"/>
        <v>136397.38</v>
      </c>
      <c r="AA62" s="148"/>
      <c r="AB62" s="149">
        <f t="shared" si="34"/>
        <v>-8686.6100000000151</v>
      </c>
      <c r="AC62" s="149"/>
      <c r="AD62" s="148">
        <f t="shared" si="35"/>
        <v>0.93631395265803485</v>
      </c>
      <c r="AE62" s="149"/>
      <c r="AF62" s="148">
        <f t="shared" si="8"/>
        <v>-6.3686047341965146E-2</v>
      </c>
    </row>
    <row r="63" spans="1:32" s="136" customFormat="1" ht="30" customHeight="1" x14ac:dyDescent="0.5">
      <c r="A63" s="136" t="s">
        <v>397</v>
      </c>
      <c r="B63" s="146">
        <v>0</v>
      </c>
      <c r="C63" s="146">
        <v>0</v>
      </c>
      <c r="D63" s="146">
        <v>0</v>
      </c>
      <c r="E63" s="146">
        <v>0</v>
      </c>
      <c r="F63" s="146">
        <f>'BSC (Dome)'!G43</f>
        <v>9714.57</v>
      </c>
      <c r="G63" s="146">
        <v>0</v>
      </c>
      <c r="H63" s="146">
        <v>0</v>
      </c>
      <c r="I63" s="146">
        <f t="shared" si="31"/>
        <v>9714.57</v>
      </c>
      <c r="J63" s="147">
        <f t="shared" si="32"/>
        <v>5.3973664563956294E-3</v>
      </c>
      <c r="K63" s="147"/>
      <c r="L63" s="135" t="s">
        <v>397</v>
      </c>
      <c r="M63" s="146">
        <v>0</v>
      </c>
      <c r="N63" s="146">
        <v>0</v>
      </c>
      <c r="O63" s="146">
        <v>4557.79</v>
      </c>
      <c r="P63" s="146">
        <v>0</v>
      </c>
      <c r="Q63" s="146">
        <v>5446.94</v>
      </c>
      <c r="R63" s="146">
        <v>0</v>
      </c>
      <c r="S63" s="146">
        <v>0</v>
      </c>
      <c r="T63" s="146">
        <f t="shared" si="2"/>
        <v>10004.73</v>
      </c>
      <c r="U63" s="148">
        <f t="shared" si="33"/>
        <v>7.4545070007011735E-3</v>
      </c>
      <c r="V63" s="135" t="s">
        <v>397</v>
      </c>
      <c r="W63" s="148"/>
      <c r="X63" s="149">
        <f t="shared" si="4"/>
        <v>9714.57</v>
      </c>
      <c r="Y63" s="148"/>
      <c r="Z63" s="149">
        <f t="shared" si="5"/>
        <v>10004.73</v>
      </c>
      <c r="AA63" s="148"/>
      <c r="AB63" s="149">
        <f t="shared" si="34"/>
        <v>-290.15999999999985</v>
      </c>
      <c r="AC63" s="149"/>
      <c r="AD63" s="148">
        <f t="shared" si="35"/>
        <v>0.97099771807934843</v>
      </c>
      <c r="AE63" s="149"/>
      <c r="AF63" s="148">
        <f t="shared" si="8"/>
        <v>-2.9002281920651574E-2</v>
      </c>
    </row>
    <row r="64" spans="1:32" s="136" customFormat="1" ht="30" customHeight="1" x14ac:dyDescent="0.5">
      <c r="A64" s="136" t="s">
        <v>275</v>
      </c>
      <c r="B64" s="146">
        <f>'CNT (from FS Analysis)'!N206</f>
        <v>7250.46</v>
      </c>
      <c r="C64" s="146">
        <v>0</v>
      </c>
      <c r="D64" s="146">
        <f>DEP!G43</f>
        <v>152.47</v>
      </c>
      <c r="E64" s="146">
        <v>0</v>
      </c>
      <c r="F64" s="146">
        <f>'BSC (Dome)'!G49</f>
        <v>1417.5100000000002</v>
      </c>
      <c r="G64" s="146">
        <v>0</v>
      </c>
      <c r="H64" s="146">
        <v>0</v>
      </c>
      <c r="I64" s="146">
        <f t="shared" si="31"/>
        <v>8820.44</v>
      </c>
      <c r="J64" s="147">
        <f t="shared" si="32"/>
        <v>4.9005923048215487E-3</v>
      </c>
      <c r="K64" s="147"/>
      <c r="L64" s="135" t="s">
        <v>275</v>
      </c>
      <c r="M64" s="146">
        <v>15835.89</v>
      </c>
      <c r="N64" s="146">
        <v>0</v>
      </c>
      <c r="O64" s="146">
        <v>3154.74</v>
      </c>
      <c r="P64" s="146">
        <v>0</v>
      </c>
      <c r="Q64" s="146">
        <v>794.62</v>
      </c>
      <c r="R64" s="146">
        <v>0</v>
      </c>
      <c r="S64" s="146">
        <v>0</v>
      </c>
      <c r="T64" s="146">
        <f t="shared" si="2"/>
        <v>19785.249999999996</v>
      </c>
      <c r="U64" s="148">
        <f t="shared" si="33"/>
        <v>1.4741955518601989E-2</v>
      </c>
      <c r="V64" s="135" t="s">
        <v>275</v>
      </c>
      <c r="W64" s="148"/>
      <c r="X64" s="149">
        <f t="shared" si="4"/>
        <v>8820.44</v>
      </c>
      <c r="Y64" s="148"/>
      <c r="Z64" s="149">
        <f t="shared" si="5"/>
        <v>19785.249999999996</v>
      </c>
      <c r="AA64" s="148"/>
      <c r="AB64" s="149">
        <f t="shared" si="34"/>
        <v>-10964.809999999996</v>
      </c>
      <c r="AC64" s="149"/>
      <c r="AD64" s="148">
        <f t="shared" si="35"/>
        <v>0.44580887277138281</v>
      </c>
      <c r="AE64" s="149"/>
      <c r="AF64" s="148">
        <f t="shared" si="8"/>
        <v>-0.55419112722861719</v>
      </c>
    </row>
    <row r="65" spans="1:32" s="136" customFormat="1" ht="30" customHeight="1" x14ac:dyDescent="0.5">
      <c r="A65" s="136" t="s">
        <v>276</v>
      </c>
      <c r="B65" s="146">
        <f>'CNT (from FS Analysis)'!N207</f>
        <v>2242.5</v>
      </c>
      <c r="C65" s="146">
        <v>0</v>
      </c>
      <c r="D65" s="146">
        <f>DEP!G45</f>
        <v>1786.62</v>
      </c>
      <c r="E65" s="146">
        <v>0</v>
      </c>
      <c r="F65" s="146">
        <v>0</v>
      </c>
      <c r="G65" s="146">
        <v>0</v>
      </c>
      <c r="H65" s="146">
        <v>0</v>
      </c>
      <c r="I65" s="146">
        <f t="shared" si="31"/>
        <v>4029.12</v>
      </c>
      <c r="J65" s="147">
        <f t="shared" si="32"/>
        <v>2.2385589003726114E-3</v>
      </c>
      <c r="K65" s="147"/>
      <c r="L65" s="135" t="s">
        <v>276</v>
      </c>
      <c r="M65" s="146">
        <v>1462.03</v>
      </c>
      <c r="N65" s="146">
        <v>402.68</v>
      </c>
      <c r="O65" s="146">
        <v>1672.64</v>
      </c>
      <c r="P65" s="146">
        <v>0</v>
      </c>
      <c r="Q65" s="146">
        <v>0</v>
      </c>
      <c r="R65" s="146">
        <v>0</v>
      </c>
      <c r="S65" s="146">
        <v>0</v>
      </c>
      <c r="T65" s="146">
        <f t="shared" si="2"/>
        <v>3537.3500000000004</v>
      </c>
      <c r="U65" s="148">
        <f t="shared" si="33"/>
        <v>2.6356733603935638E-3</v>
      </c>
      <c r="V65" s="135" t="s">
        <v>276</v>
      </c>
      <c r="W65" s="148"/>
      <c r="X65" s="149">
        <f t="shared" si="4"/>
        <v>4029.12</v>
      </c>
      <c r="Y65" s="148"/>
      <c r="Z65" s="149">
        <f t="shared" si="5"/>
        <v>3537.3500000000004</v>
      </c>
      <c r="AA65" s="148"/>
      <c r="AB65" s="149">
        <f t="shared" si="34"/>
        <v>491.76999999999953</v>
      </c>
      <c r="AC65" s="149"/>
      <c r="AD65" s="148">
        <f t="shared" si="35"/>
        <v>1.1390221493490889</v>
      </c>
      <c r="AE65" s="149"/>
      <c r="AF65" s="148">
        <f t="shared" si="8"/>
        <v>0.13902214934908885</v>
      </c>
    </row>
    <row r="66" spans="1:32" s="136" customFormat="1" ht="30" customHeight="1" x14ac:dyDescent="0.5">
      <c r="A66" s="136" t="s">
        <v>277</v>
      </c>
      <c r="B66" s="146">
        <f>'CNT (from FS Analysis)'!N208</f>
        <v>1666.6499999999999</v>
      </c>
      <c r="C66" s="146">
        <v>0</v>
      </c>
      <c r="D66" s="146">
        <v>0</v>
      </c>
      <c r="E66" s="146">
        <v>0</v>
      </c>
      <c r="F66" s="146">
        <v>0</v>
      </c>
      <c r="G66" s="146">
        <v>0</v>
      </c>
      <c r="H66" s="146">
        <v>0</v>
      </c>
      <c r="I66" s="146">
        <f t="shared" si="31"/>
        <v>1666.6499999999999</v>
      </c>
      <c r="J66" s="147">
        <f t="shared" si="32"/>
        <v>9.2598239598374156E-4</v>
      </c>
      <c r="K66" s="147"/>
      <c r="L66" s="135" t="s">
        <v>277</v>
      </c>
      <c r="M66" s="146">
        <v>2000</v>
      </c>
      <c r="N66" s="146">
        <v>0</v>
      </c>
      <c r="O66" s="146">
        <v>0</v>
      </c>
      <c r="P66" s="146">
        <v>0</v>
      </c>
      <c r="Q66" s="146">
        <v>0</v>
      </c>
      <c r="R66" s="146">
        <v>0</v>
      </c>
      <c r="S66" s="146">
        <v>0</v>
      </c>
      <c r="T66" s="146">
        <f t="shared" si="2"/>
        <v>2000</v>
      </c>
      <c r="U66" s="148">
        <f t="shared" si="33"/>
        <v>1.4901965371781497E-3</v>
      </c>
      <c r="V66" s="135" t="s">
        <v>277</v>
      </c>
      <c r="W66" s="148"/>
      <c r="X66" s="149">
        <f t="shared" si="4"/>
        <v>1666.6499999999999</v>
      </c>
      <c r="Y66" s="148"/>
      <c r="Z66" s="149">
        <f t="shared" si="5"/>
        <v>2000</v>
      </c>
      <c r="AA66" s="148"/>
      <c r="AB66" s="149">
        <f t="shared" si="34"/>
        <v>-333.35000000000014</v>
      </c>
      <c r="AC66" s="149"/>
      <c r="AD66" s="161">
        <f t="shared" si="35"/>
        <v>0.83332499999999998</v>
      </c>
      <c r="AE66" s="149"/>
      <c r="AF66" s="148">
        <f t="shared" si="8"/>
        <v>-0.16667500000000002</v>
      </c>
    </row>
    <row r="67" spans="1:32" s="136" customFormat="1" ht="30" customHeight="1" x14ac:dyDescent="0.5">
      <c r="A67" s="136" t="s">
        <v>278</v>
      </c>
      <c r="B67" s="146">
        <f>'CNT (from FS Analysis)'!N209+'CNT (from FS Analysis)'!N212</f>
        <v>593305.84</v>
      </c>
      <c r="C67" s="146">
        <f>BPM!G39</f>
        <v>1815.58</v>
      </c>
      <c r="D67" s="146">
        <f>DEP!G46</f>
        <v>51718.71</v>
      </c>
      <c r="E67" s="146">
        <v>0</v>
      </c>
      <c r="F67" s="146">
        <f>'BSC (Dome)'!G52</f>
        <v>46910.850000000006</v>
      </c>
      <c r="G67" s="146">
        <f>'Oliari Co.'!G11</f>
        <v>46256.350000000006</v>
      </c>
      <c r="H67" s="146">
        <f>'722 Bedford St'!G11</f>
        <v>73494.559999999998</v>
      </c>
      <c r="I67" s="146">
        <f t="shared" si="31"/>
        <v>813501.8899999999</v>
      </c>
      <c r="J67" s="147">
        <f t="shared" si="32"/>
        <v>0.45197757731947447</v>
      </c>
      <c r="K67" s="147"/>
      <c r="L67" s="135" t="s">
        <v>278</v>
      </c>
      <c r="M67" s="146">
        <v>325000</v>
      </c>
      <c r="N67" s="146">
        <v>1500</v>
      </c>
      <c r="O67" s="146">
        <v>45000</v>
      </c>
      <c r="P67" s="146">
        <v>0</v>
      </c>
      <c r="Q67" s="146">
        <v>45000</v>
      </c>
      <c r="R67" s="146">
        <v>35163.4</v>
      </c>
      <c r="S67" s="146">
        <v>0</v>
      </c>
      <c r="T67" s="146">
        <f t="shared" si="2"/>
        <v>451663.4</v>
      </c>
      <c r="U67" s="148">
        <f t="shared" si="33"/>
        <v>0.33653361732505471</v>
      </c>
      <c r="V67" s="135" t="s">
        <v>278</v>
      </c>
      <c r="W67" s="148"/>
      <c r="X67" s="149">
        <f t="shared" si="4"/>
        <v>813501.8899999999</v>
      </c>
      <c r="Y67" s="148"/>
      <c r="Z67" s="149">
        <f t="shared" si="5"/>
        <v>451663.4</v>
      </c>
      <c r="AA67" s="148"/>
      <c r="AB67" s="149">
        <f t="shared" si="34"/>
        <v>361838.48999999987</v>
      </c>
      <c r="AC67" s="149"/>
      <c r="AD67" s="148">
        <f t="shared" si="35"/>
        <v>1.8011242221530455</v>
      </c>
      <c r="AE67" s="149"/>
      <c r="AF67" s="148">
        <f t="shared" si="8"/>
        <v>0.80112422215304546</v>
      </c>
    </row>
    <row r="68" spans="1:32" s="136" customFormat="1" ht="30" customHeight="1" x14ac:dyDescent="0.5">
      <c r="A68" s="136" t="s">
        <v>288</v>
      </c>
      <c r="B68" s="146">
        <f>'CNT (from FS Analysis)'!N227</f>
        <v>976.74</v>
      </c>
      <c r="C68" s="146">
        <v>0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146">
        <f t="shared" si="31"/>
        <v>976.74</v>
      </c>
      <c r="J68" s="147">
        <f t="shared" si="32"/>
        <v>5.4267185399043576E-4</v>
      </c>
      <c r="K68" s="147"/>
      <c r="L68" s="135" t="s">
        <v>288</v>
      </c>
      <c r="M68" s="146">
        <v>2439.3000000000002</v>
      </c>
      <c r="N68" s="146">
        <v>0</v>
      </c>
      <c r="O68" s="146">
        <v>0</v>
      </c>
      <c r="P68" s="146">
        <v>0</v>
      </c>
      <c r="Q68" s="146">
        <v>496.97</v>
      </c>
      <c r="R68" s="146">
        <v>0</v>
      </c>
      <c r="S68" s="146">
        <v>0</v>
      </c>
      <c r="T68" s="146">
        <f t="shared" si="2"/>
        <v>2936.2700000000004</v>
      </c>
      <c r="U68" s="148">
        <f t="shared" si="33"/>
        <v>2.1878096931100431E-3</v>
      </c>
      <c r="V68" s="135" t="s">
        <v>288</v>
      </c>
      <c r="W68" s="148"/>
      <c r="X68" s="149">
        <f t="shared" si="4"/>
        <v>976.74</v>
      </c>
      <c r="Y68" s="148"/>
      <c r="Z68" s="149">
        <f t="shared" si="5"/>
        <v>2936.2700000000004</v>
      </c>
      <c r="AA68" s="148"/>
      <c r="AB68" s="149">
        <f t="shared" si="34"/>
        <v>-1959.5300000000004</v>
      </c>
      <c r="AC68" s="149"/>
      <c r="AD68" s="148">
        <f t="shared" si="35"/>
        <v>0.33264652092620905</v>
      </c>
      <c r="AE68" s="149"/>
      <c r="AF68" s="148">
        <f t="shared" si="8"/>
        <v>-0.66735347907379095</v>
      </c>
    </row>
    <row r="69" spans="1:32" s="136" customFormat="1" ht="30" customHeight="1" x14ac:dyDescent="0.5">
      <c r="A69" s="136" t="s">
        <v>394</v>
      </c>
      <c r="B69" s="146">
        <f>'CNT (from FS Analysis)'!N240</f>
        <v>109</v>
      </c>
      <c r="C69" s="146">
        <f>BPM!G48</f>
        <v>198.97000000000003</v>
      </c>
      <c r="D69" s="146">
        <f>DEP!G60</f>
        <v>149</v>
      </c>
      <c r="E69" s="146">
        <f>Lending!G10</f>
        <v>109</v>
      </c>
      <c r="F69" s="146">
        <f>'BSC (Dome)'!G47</f>
        <v>565</v>
      </c>
      <c r="G69" s="146">
        <f>'Oliari Co.'!G10</f>
        <v>520</v>
      </c>
      <c r="H69" s="146">
        <f>'722 Bedford St'!G10</f>
        <v>520</v>
      </c>
      <c r="I69" s="146">
        <f t="shared" si="31"/>
        <v>2170.9700000000003</v>
      </c>
      <c r="J69" s="147">
        <f t="shared" si="32"/>
        <v>1.2061800631259255E-3</v>
      </c>
      <c r="K69" s="147"/>
      <c r="L69" s="135" t="s">
        <v>394</v>
      </c>
      <c r="M69" s="146">
        <v>0</v>
      </c>
      <c r="N69" s="146">
        <v>0</v>
      </c>
      <c r="O69" s="146">
        <v>0</v>
      </c>
      <c r="P69" s="146">
        <v>0</v>
      </c>
      <c r="Q69" s="146">
        <v>565</v>
      </c>
      <c r="R69" s="146">
        <v>0</v>
      </c>
      <c r="S69" s="146">
        <v>520</v>
      </c>
      <c r="T69" s="146">
        <f t="shared" si="2"/>
        <v>1085</v>
      </c>
      <c r="U69" s="148">
        <f t="shared" si="33"/>
        <v>8.0843162141914615E-4</v>
      </c>
      <c r="V69" s="135" t="s">
        <v>394</v>
      </c>
      <c r="W69" s="148"/>
      <c r="X69" s="149">
        <f t="shared" si="4"/>
        <v>2170.9700000000003</v>
      </c>
      <c r="Y69" s="148"/>
      <c r="Z69" s="149">
        <f t="shared" si="5"/>
        <v>1085</v>
      </c>
      <c r="AA69" s="148"/>
      <c r="AB69" s="149">
        <f t="shared" si="34"/>
        <v>1085.9700000000003</v>
      </c>
      <c r="AC69" s="149"/>
      <c r="AD69" s="148">
        <f t="shared" si="35"/>
        <v>2.0008940092165899</v>
      </c>
      <c r="AE69" s="149"/>
      <c r="AF69" s="148">
        <f t="shared" si="8"/>
        <v>1.0008940092165899</v>
      </c>
    </row>
    <row r="70" spans="1:32" s="136" customFormat="1" ht="30" customHeight="1" x14ac:dyDescent="0.5">
      <c r="A70" s="136" t="s">
        <v>281</v>
      </c>
      <c r="B70" s="146">
        <f>'CNT (from FS Analysis)'!N226</f>
        <v>8886.7899999999991</v>
      </c>
      <c r="C70" s="146">
        <v>0</v>
      </c>
      <c r="D70" s="146">
        <f>DEP!G47</f>
        <v>9106.3599999999988</v>
      </c>
      <c r="E70" s="146">
        <v>0</v>
      </c>
      <c r="F70" s="146">
        <v>0</v>
      </c>
      <c r="G70" s="146">
        <v>0</v>
      </c>
      <c r="H70" s="146">
        <v>0</v>
      </c>
      <c r="I70" s="146">
        <f t="shared" si="31"/>
        <v>17993.149999999998</v>
      </c>
      <c r="J70" s="147">
        <f t="shared" si="32"/>
        <v>9.9969040580174945E-3</v>
      </c>
      <c r="K70" s="147"/>
      <c r="L70" s="135" t="s">
        <v>281</v>
      </c>
      <c r="M70" s="146">
        <v>2828.54</v>
      </c>
      <c r="N70" s="146">
        <v>0</v>
      </c>
      <c r="O70" s="146">
        <v>3024.91</v>
      </c>
      <c r="P70" s="146">
        <v>0</v>
      </c>
      <c r="Q70" s="146">
        <v>0</v>
      </c>
      <c r="R70" s="146">
        <v>0</v>
      </c>
      <c r="S70" s="146">
        <v>0</v>
      </c>
      <c r="T70" s="146">
        <f t="shared" si="2"/>
        <v>5853.45</v>
      </c>
      <c r="U70" s="148">
        <f>T70/$T$74</f>
        <v>4.3613954602727198E-3</v>
      </c>
      <c r="V70" s="135" t="s">
        <v>281</v>
      </c>
      <c r="W70" s="148"/>
      <c r="X70" s="149">
        <f t="shared" si="4"/>
        <v>17993.149999999998</v>
      </c>
      <c r="Y70" s="148"/>
      <c r="Z70" s="149">
        <f t="shared" si="5"/>
        <v>5853.45</v>
      </c>
      <c r="AA70" s="148"/>
      <c r="AB70" s="149">
        <f t="shared" si="34"/>
        <v>12139.699999999997</v>
      </c>
      <c r="AC70" s="149"/>
      <c r="AD70" s="148">
        <f t="shared" si="35"/>
        <v>3.0739393007542559</v>
      </c>
      <c r="AE70" s="149"/>
      <c r="AF70" s="148">
        <f t="shared" si="8"/>
        <v>2.0739393007542559</v>
      </c>
    </row>
    <row r="71" spans="1:32" s="136" customFormat="1" ht="30" customHeight="1" x14ac:dyDescent="0.5">
      <c r="A71" s="136" t="s">
        <v>282</v>
      </c>
      <c r="B71" s="146">
        <f>'CNT (from FS Analysis)'!N230+'CNT (from FS Analysis)'!N211</f>
        <v>77964.349999999991</v>
      </c>
      <c r="C71" s="146">
        <v>0</v>
      </c>
      <c r="D71" s="146">
        <f>DEP!G44</f>
        <v>36452.49</v>
      </c>
      <c r="E71" s="146">
        <v>0</v>
      </c>
      <c r="F71" s="146">
        <v>0</v>
      </c>
      <c r="G71" s="146">
        <v>0</v>
      </c>
      <c r="H71" s="146">
        <v>0</v>
      </c>
      <c r="I71" s="146">
        <f t="shared" si="31"/>
        <v>114416.84</v>
      </c>
      <c r="J71" s="147">
        <f t="shared" si="32"/>
        <v>6.3569423480687851E-2</v>
      </c>
      <c r="K71" s="147"/>
      <c r="L71" s="135" t="s">
        <v>282</v>
      </c>
      <c r="M71" s="146">
        <v>1675</v>
      </c>
      <c r="N71" s="146">
        <v>0</v>
      </c>
      <c r="O71" s="146">
        <v>32764.43</v>
      </c>
      <c r="P71" s="146">
        <v>0</v>
      </c>
      <c r="Q71" s="146">
        <v>0</v>
      </c>
      <c r="R71" s="146">
        <v>0</v>
      </c>
      <c r="S71" s="146">
        <v>0</v>
      </c>
      <c r="T71" s="146">
        <f t="shared" si="2"/>
        <v>34439.43</v>
      </c>
      <c r="U71" s="148">
        <f>T71/$T$74</f>
        <v>2.5660759664194639E-2</v>
      </c>
      <c r="V71" s="135" t="s">
        <v>282</v>
      </c>
      <c r="W71" s="148"/>
      <c r="X71" s="149">
        <f t="shared" si="4"/>
        <v>114416.84</v>
      </c>
      <c r="Y71" s="148"/>
      <c r="Z71" s="149">
        <f t="shared" si="5"/>
        <v>34439.43</v>
      </c>
      <c r="AA71" s="148"/>
      <c r="AB71" s="149">
        <f t="shared" si="34"/>
        <v>79977.41</v>
      </c>
      <c r="AC71" s="149"/>
      <c r="AD71" s="148">
        <f t="shared" si="35"/>
        <v>3.3222628829803513</v>
      </c>
      <c r="AE71" s="149"/>
      <c r="AF71" s="148">
        <f t="shared" si="8"/>
        <v>2.3222628829803513</v>
      </c>
    </row>
    <row r="72" spans="1:32" s="136" customFormat="1" ht="30" customHeight="1" x14ac:dyDescent="0.5">
      <c r="A72" s="136" t="s">
        <v>407</v>
      </c>
      <c r="B72" s="146"/>
      <c r="C72" s="146">
        <v>0</v>
      </c>
      <c r="D72" s="146">
        <f>DEP!G48</f>
        <v>4420.04</v>
      </c>
      <c r="E72" s="146">
        <v>0</v>
      </c>
      <c r="F72" s="146">
        <f>'BSC (Dome)'!G54</f>
        <v>2372.79</v>
      </c>
      <c r="G72" s="146">
        <v>0</v>
      </c>
      <c r="H72" s="146">
        <v>0</v>
      </c>
      <c r="I72" s="146">
        <f t="shared" si="31"/>
        <v>6792.83</v>
      </c>
      <c r="J72" s="147">
        <f t="shared" si="32"/>
        <v>3.7740623399695433E-3</v>
      </c>
      <c r="K72" s="147"/>
      <c r="L72" s="135" t="s">
        <v>407</v>
      </c>
      <c r="M72" s="146">
        <v>0</v>
      </c>
      <c r="N72" s="146">
        <v>0</v>
      </c>
      <c r="O72" s="146">
        <v>0</v>
      </c>
      <c r="P72" s="146">
        <v>0</v>
      </c>
      <c r="Q72" s="146">
        <v>0</v>
      </c>
      <c r="R72" s="146">
        <v>0</v>
      </c>
      <c r="S72" s="146">
        <v>0</v>
      </c>
      <c r="T72" s="146">
        <f t="shared" si="2"/>
        <v>0</v>
      </c>
      <c r="U72" s="148">
        <f>T72/$T$74</f>
        <v>0</v>
      </c>
      <c r="V72" s="135" t="s">
        <v>407</v>
      </c>
      <c r="W72" s="148"/>
      <c r="X72" s="149">
        <f t="shared" si="4"/>
        <v>6792.83</v>
      </c>
      <c r="Y72" s="148"/>
      <c r="Z72" s="149">
        <f t="shared" si="5"/>
        <v>0</v>
      </c>
      <c r="AA72" s="148"/>
      <c r="AB72" s="149">
        <f t="shared" si="34"/>
        <v>6792.83</v>
      </c>
      <c r="AC72" s="149"/>
      <c r="AD72" s="161">
        <v>0</v>
      </c>
      <c r="AE72" s="149"/>
      <c r="AF72" s="148">
        <f t="shared" si="8"/>
        <v>-1</v>
      </c>
    </row>
    <row r="73" spans="1:32" s="136" customFormat="1" ht="30" customHeight="1" x14ac:dyDescent="0.5">
      <c r="A73" s="136" t="s">
        <v>408</v>
      </c>
      <c r="B73" s="146">
        <f>'CNT (from FS Analysis)'!N235</f>
        <v>8995.09</v>
      </c>
      <c r="C73" s="146">
        <f>BPM!G45</f>
        <v>2018.48</v>
      </c>
      <c r="D73" s="146">
        <f>DEP!G49</f>
        <v>920.12</v>
      </c>
      <c r="E73" s="146">
        <v>0</v>
      </c>
      <c r="F73" s="146">
        <f>'BSC (Dome)'!G55</f>
        <v>3207.52</v>
      </c>
      <c r="G73" s="146">
        <v>0</v>
      </c>
      <c r="H73" s="146">
        <v>0</v>
      </c>
      <c r="I73" s="146">
        <f t="shared" si="31"/>
        <v>15141.210000000001</v>
      </c>
      <c r="J73" s="147">
        <f t="shared" si="32"/>
        <v>8.4123804721405147E-3</v>
      </c>
      <c r="K73" s="147"/>
      <c r="L73" s="135" t="s">
        <v>408</v>
      </c>
      <c r="M73" s="146">
        <v>0</v>
      </c>
      <c r="N73" s="146">
        <v>0</v>
      </c>
      <c r="O73" s="146">
        <v>0</v>
      </c>
      <c r="P73" s="146">
        <v>0</v>
      </c>
      <c r="Q73" s="146">
        <v>0</v>
      </c>
      <c r="R73" s="146">
        <v>0</v>
      </c>
      <c r="S73" s="146">
        <v>0</v>
      </c>
      <c r="T73" s="146">
        <f t="shared" si="2"/>
        <v>0</v>
      </c>
      <c r="U73" s="148">
        <f>T73/$T$74</f>
        <v>0</v>
      </c>
      <c r="V73" s="135" t="s">
        <v>408</v>
      </c>
      <c r="W73" s="148"/>
      <c r="X73" s="149">
        <f t="shared" si="4"/>
        <v>15141.210000000001</v>
      </c>
      <c r="Y73" s="148"/>
      <c r="Z73" s="149">
        <f t="shared" si="5"/>
        <v>0</v>
      </c>
      <c r="AA73" s="148"/>
      <c r="AB73" s="149">
        <f t="shared" si="34"/>
        <v>15141.210000000001</v>
      </c>
      <c r="AC73" s="149"/>
      <c r="AD73" s="161">
        <v>0</v>
      </c>
      <c r="AE73" s="149"/>
      <c r="AF73" s="162">
        <f t="shared" si="8"/>
        <v>-1</v>
      </c>
    </row>
    <row r="74" spans="1:32" s="136" customFormat="1" ht="30" customHeight="1" x14ac:dyDescent="0.5">
      <c r="A74" s="144" t="s">
        <v>283</v>
      </c>
      <c r="B74" s="151">
        <f>SUM(B52:B73)</f>
        <v>1052050.58</v>
      </c>
      <c r="C74" s="151">
        <f t="shared" ref="C74:H74" si="36">SUM(C52:C73)</f>
        <v>5544.6900000000005</v>
      </c>
      <c r="D74" s="151">
        <f t="shared" si="36"/>
        <v>464820.0799999999</v>
      </c>
      <c r="E74" s="151">
        <f t="shared" si="36"/>
        <v>109</v>
      </c>
      <c r="F74" s="151">
        <f t="shared" ref="F74:G74" si="37">SUM(F52:F73)</f>
        <v>156556.97000000003</v>
      </c>
      <c r="G74" s="151">
        <f t="shared" si="37"/>
        <v>46776.350000000006</v>
      </c>
      <c r="H74" s="151">
        <f t="shared" si="36"/>
        <v>74014.559999999998</v>
      </c>
      <c r="I74" s="151">
        <f t="shared" si="31"/>
        <v>1799872.23</v>
      </c>
      <c r="J74" s="152">
        <f>SUM(J52:J73)</f>
        <v>0.99999999999999989</v>
      </c>
      <c r="K74" s="153"/>
      <c r="L74" s="145" t="s">
        <v>283</v>
      </c>
      <c r="M74" s="151">
        <f>SUM(M52:M73)</f>
        <v>731927.80000000016</v>
      </c>
      <c r="N74" s="151">
        <f t="shared" ref="N74:P74" si="38">SUM(N52:N73)</f>
        <v>7705.0300000000007</v>
      </c>
      <c r="O74" s="151">
        <f t="shared" si="38"/>
        <v>385318.3</v>
      </c>
      <c r="P74" s="151">
        <f t="shared" si="38"/>
        <v>0</v>
      </c>
      <c r="Q74" s="151">
        <f>SUM(Q52:Q73)</f>
        <v>182583.67999999999</v>
      </c>
      <c r="R74" s="151">
        <f>SUM(R52:R73)</f>
        <v>34050.04</v>
      </c>
      <c r="S74" s="151">
        <f>SUM(S52:S73)</f>
        <v>520</v>
      </c>
      <c r="T74" s="151">
        <f t="shared" si="2"/>
        <v>1342104.8500000001</v>
      </c>
      <c r="U74" s="154">
        <f>SUM(U52:U73)</f>
        <v>1</v>
      </c>
      <c r="V74" s="145" t="s">
        <v>283</v>
      </c>
      <c r="W74" s="155"/>
      <c r="X74" s="156">
        <f t="shared" si="4"/>
        <v>1799872.23</v>
      </c>
      <c r="Y74" s="155"/>
      <c r="Z74" s="156">
        <f t="shared" si="5"/>
        <v>1342104.8500000001</v>
      </c>
      <c r="AA74" s="155"/>
      <c r="AB74" s="156">
        <f>I74-T74</f>
        <v>457767.37999999989</v>
      </c>
      <c r="AC74" s="156"/>
      <c r="AD74" s="154">
        <f>I74/T74</f>
        <v>1.341081682254557</v>
      </c>
      <c r="AE74" s="156"/>
      <c r="AF74" s="154">
        <f t="shared" si="8"/>
        <v>0.34108168225455704</v>
      </c>
    </row>
    <row r="75" spans="1:32" s="136" customFormat="1" ht="30" customHeight="1" x14ac:dyDescent="0.5">
      <c r="B75" s="146"/>
      <c r="C75" s="146"/>
      <c r="D75" s="146"/>
      <c r="E75" s="146"/>
      <c r="F75" s="146"/>
      <c r="G75" s="146"/>
      <c r="H75" s="146"/>
      <c r="I75" s="146"/>
      <c r="J75" s="135"/>
      <c r="K75" s="135"/>
      <c r="L75" s="135"/>
      <c r="M75" s="146"/>
      <c r="N75" s="146"/>
      <c r="O75" s="146"/>
      <c r="P75" s="146"/>
      <c r="Q75" s="146"/>
      <c r="R75" s="146"/>
      <c r="S75" s="146"/>
      <c r="T75" s="146"/>
      <c r="V75" s="135"/>
      <c r="X75" s="149"/>
      <c r="Z75" s="149">
        <f t="shared" si="5"/>
        <v>0</v>
      </c>
      <c r="AB75" s="149"/>
      <c r="AC75" s="149"/>
      <c r="AD75" s="148"/>
      <c r="AE75" s="149"/>
      <c r="AF75" s="148"/>
    </row>
    <row r="76" spans="1:32" s="136" customFormat="1" ht="30" customHeight="1" x14ac:dyDescent="0.5">
      <c r="A76" s="144" t="s">
        <v>284</v>
      </c>
      <c r="B76" s="146"/>
      <c r="C76" s="146"/>
      <c r="D76" s="146"/>
      <c r="E76" s="146"/>
      <c r="F76" s="146"/>
      <c r="G76" s="146"/>
      <c r="H76" s="146"/>
      <c r="I76" s="146"/>
      <c r="J76" s="135"/>
      <c r="K76" s="135"/>
      <c r="L76" s="145" t="s">
        <v>284</v>
      </c>
      <c r="M76" s="146"/>
      <c r="N76" s="146"/>
      <c r="O76" s="146"/>
      <c r="P76" s="146"/>
      <c r="Q76" s="146"/>
      <c r="R76" s="146"/>
      <c r="S76" s="146"/>
      <c r="T76" s="146"/>
      <c r="V76" s="145" t="s">
        <v>284</v>
      </c>
      <c r="X76" s="149"/>
      <c r="Z76" s="149">
        <f t="shared" si="5"/>
        <v>0</v>
      </c>
      <c r="AB76" s="149"/>
      <c r="AC76" s="149"/>
      <c r="AD76" s="148"/>
      <c r="AE76" s="149"/>
      <c r="AF76" s="148"/>
    </row>
    <row r="77" spans="1:32" s="136" customFormat="1" ht="30" customHeight="1" x14ac:dyDescent="0.5">
      <c r="A77" s="136" t="s">
        <v>285</v>
      </c>
      <c r="B77" s="146">
        <f>'CNT (from FS Analysis)'!N217</f>
        <v>4648.83</v>
      </c>
      <c r="C77" s="146">
        <v>0</v>
      </c>
      <c r="D77" s="146">
        <f>DEP!G53</f>
        <v>848.35</v>
      </c>
      <c r="E77" s="146">
        <v>0</v>
      </c>
      <c r="F77" s="146">
        <f>'BSC (Dome)'!G59</f>
        <v>2033.72</v>
      </c>
      <c r="G77" s="146">
        <v>0</v>
      </c>
      <c r="H77" s="146">
        <v>0</v>
      </c>
      <c r="I77" s="146">
        <f t="shared" ref="I77:I98" si="39">SUM(B77:H77)</f>
        <v>7530.9000000000005</v>
      </c>
      <c r="J77" s="147">
        <f t="shared" ref="J77:J95" si="40">I77/$I$96</f>
        <v>1.5953498123654323E-2</v>
      </c>
      <c r="K77" s="147"/>
      <c r="L77" s="135" t="s">
        <v>285</v>
      </c>
      <c r="M77" s="146">
        <v>5304.35</v>
      </c>
      <c r="N77" s="146">
        <v>0</v>
      </c>
      <c r="O77" s="146">
        <v>807.96</v>
      </c>
      <c r="P77" s="146">
        <v>0</v>
      </c>
      <c r="Q77" s="146">
        <v>0</v>
      </c>
      <c r="R77" s="146">
        <v>0</v>
      </c>
      <c r="S77" s="146">
        <v>0</v>
      </c>
      <c r="T77" s="146">
        <f t="shared" si="2"/>
        <v>6112.31</v>
      </c>
      <c r="U77" s="148">
        <f t="shared" ref="U77:U95" si="41">T77/$T$96</f>
        <v>1.3644825872992403E-2</v>
      </c>
      <c r="V77" s="135" t="s">
        <v>285</v>
      </c>
      <c r="W77" s="148"/>
      <c r="X77" s="149">
        <f t="shared" si="4"/>
        <v>7530.9000000000005</v>
      </c>
      <c r="Y77" s="148"/>
      <c r="Z77" s="149">
        <f t="shared" si="5"/>
        <v>6112.31</v>
      </c>
      <c r="AA77" s="148"/>
      <c r="AB77" s="149">
        <f>I77-T77</f>
        <v>1418.5900000000001</v>
      </c>
      <c r="AC77" s="149"/>
      <c r="AD77" s="148">
        <f>I77/T77</f>
        <v>1.2320873777671617</v>
      </c>
      <c r="AE77" s="149"/>
      <c r="AF77" s="148">
        <f t="shared" si="8"/>
        <v>0.23208737776716171</v>
      </c>
    </row>
    <row r="78" spans="1:32" s="136" customFormat="1" ht="30" customHeight="1" x14ac:dyDescent="0.5">
      <c r="A78" s="136" t="s">
        <v>431</v>
      </c>
      <c r="B78" s="146">
        <v>0</v>
      </c>
      <c r="C78" s="146">
        <v>0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146">
        <f t="shared" si="39"/>
        <v>0</v>
      </c>
      <c r="J78" s="147">
        <f t="shared" si="40"/>
        <v>0</v>
      </c>
      <c r="K78" s="147"/>
      <c r="L78" s="135" t="s">
        <v>431</v>
      </c>
      <c r="M78" s="146">
        <v>2500</v>
      </c>
      <c r="N78" s="146">
        <v>0</v>
      </c>
      <c r="O78" s="146">
        <v>0</v>
      </c>
      <c r="P78" s="146">
        <v>0</v>
      </c>
      <c r="Q78" s="146">
        <v>0</v>
      </c>
      <c r="R78" s="146">
        <v>0</v>
      </c>
      <c r="S78" s="146">
        <v>0</v>
      </c>
      <c r="T78" s="146">
        <f t="shared" ref="T78" si="42">SUM(M78:S78)</f>
        <v>2500</v>
      </c>
      <c r="U78" s="148">
        <f t="shared" si="41"/>
        <v>5.580879353710955E-3</v>
      </c>
      <c r="V78" s="135" t="s">
        <v>431</v>
      </c>
      <c r="W78" s="148"/>
      <c r="X78" s="149">
        <f t="shared" si="4"/>
        <v>0</v>
      </c>
      <c r="Y78" s="148"/>
      <c r="Z78" s="149">
        <f t="shared" si="5"/>
        <v>2500</v>
      </c>
      <c r="AA78" s="148"/>
      <c r="AB78" s="149">
        <f t="shared" ref="AB78" si="43">I78-T78</f>
        <v>-2500</v>
      </c>
      <c r="AC78" s="149"/>
      <c r="AD78" s="148">
        <f t="shared" ref="AD78" si="44">I78/T78</f>
        <v>0</v>
      </c>
      <c r="AE78" s="149"/>
      <c r="AF78" s="148">
        <f t="shared" ref="AF78" si="45">AD78-1</f>
        <v>-1</v>
      </c>
    </row>
    <row r="79" spans="1:32" s="136" customFormat="1" ht="30" customHeight="1" x14ac:dyDescent="0.5">
      <c r="A79" s="136" t="s">
        <v>286</v>
      </c>
      <c r="B79" s="146">
        <f>'CNT (from FS Analysis)'!N218</f>
        <v>55704.789999999994</v>
      </c>
      <c r="C79" s="146">
        <f>BPM!G43</f>
        <v>3512.39</v>
      </c>
      <c r="D79" s="146">
        <f>DEP!G54</f>
        <v>3628.9700000000003</v>
      </c>
      <c r="E79" s="146">
        <f>Lending!G9</f>
        <v>1091.81</v>
      </c>
      <c r="F79" s="146">
        <f>'BSC (Dome)'!G60</f>
        <v>1883.05</v>
      </c>
      <c r="G79" s="146">
        <v>0</v>
      </c>
      <c r="H79" s="146">
        <f>'722 Bedford St'!G16</f>
        <v>402.15</v>
      </c>
      <c r="I79" s="146">
        <f t="shared" si="39"/>
        <v>66223.159999999989</v>
      </c>
      <c r="J79" s="147">
        <f t="shared" si="40"/>
        <v>0.1402874900479969</v>
      </c>
      <c r="K79" s="147"/>
      <c r="L79" s="135" t="s">
        <v>286</v>
      </c>
      <c r="M79" s="146">
        <v>56340.89</v>
      </c>
      <c r="N79" s="146">
        <v>3212.17</v>
      </c>
      <c r="O79" s="146">
        <v>3869.46</v>
      </c>
      <c r="P79" s="146">
        <v>862.31</v>
      </c>
      <c r="Q79" s="146">
        <v>2023.95</v>
      </c>
      <c r="R79" s="146">
        <v>36</v>
      </c>
      <c r="S79" s="146">
        <v>580.72</v>
      </c>
      <c r="T79" s="146">
        <f t="shared" si="2"/>
        <v>66925.5</v>
      </c>
      <c r="U79" s="148">
        <f t="shared" si="41"/>
        <v>0.149401256474713</v>
      </c>
      <c r="V79" s="135" t="s">
        <v>286</v>
      </c>
      <c r="W79" s="148"/>
      <c r="X79" s="149">
        <f t="shared" si="4"/>
        <v>66223.159999999989</v>
      </c>
      <c r="Y79" s="148"/>
      <c r="Z79" s="149">
        <f t="shared" si="5"/>
        <v>66925.5</v>
      </c>
      <c r="AA79" s="148"/>
      <c r="AB79" s="149">
        <f t="shared" ref="AB79:AB94" si="46">I79-T79</f>
        <v>-702.34000000001106</v>
      </c>
      <c r="AC79" s="149"/>
      <c r="AD79" s="148">
        <f t="shared" ref="AD79:AD91" si="47">I79/T79</f>
        <v>0.98950564433586585</v>
      </c>
      <c r="AE79" s="149"/>
      <c r="AF79" s="148">
        <f t="shared" si="8"/>
        <v>-1.0494355664134147E-2</v>
      </c>
    </row>
    <row r="80" spans="1:32" s="136" customFormat="1" ht="30" customHeight="1" x14ac:dyDescent="0.5">
      <c r="A80" s="136" t="s">
        <v>401</v>
      </c>
      <c r="B80" s="146">
        <v>0</v>
      </c>
      <c r="C80" s="146">
        <v>0</v>
      </c>
      <c r="D80" s="146">
        <v>0</v>
      </c>
      <c r="E80" s="146">
        <v>0</v>
      </c>
      <c r="F80" s="146">
        <f>'BSC (Dome)'!G61</f>
        <v>2445.9100000000003</v>
      </c>
      <c r="G80" s="146">
        <v>0</v>
      </c>
      <c r="H80" s="146">
        <v>0</v>
      </c>
      <c r="I80" s="146">
        <f t="shared" si="39"/>
        <v>2445.9100000000003</v>
      </c>
      <c r="J80" s="147">
        <f t="shared" si="40"/>
        <v>5.1814285936113008E-3</v>
      </c>
      <c r="K80" s="147"/>
      <c r="L80" s="135" t="s">
        <v>401</v>
      </c>
      <c r="M80" s="146"/>
      <c r="N80" s="146">
        <v>0</v>
      </c>
      <c r="O80" s="146">
        <v>0</v>
      </c>
      <c r="P80" s="146">
        <v>0</v>
      </c>
      <c r="Q80" s="146">
        <v>2204.52</v>
      </c>
      <c r="R80" s="146">
        <v>0</v>
      </c>
      <c r="S80" s="146">
        <v>0</v>
      </c>
      <c r="T80" s="146">
        <f t="shared" ref="T80" si="48">SUM(M80:S80)</f>
        <v>2204.52</v>
      </c>
      <c r="U80" s="148">
        <f t="shared" si="41"/>
        <v>4.9212640611371499E-3</v>
      </c>
      <c r="V80" s="135" t="s">
        <v>401</v>
      </c>
      <c r="W80" s="148"/>
      <c r="X80" s="149">
        <f t="shared" si="4"/>
        <v>2445.9100000000003</v>
      </c>
      <c r="Y80" s="148"/>
      <c r="Z80" s="149">
        <f t="shared" si="5"/>
        <v>2204.52</v>
      </c>
      <c r="AA80" s="148"/>
      <c r="AB80" s="149">
        <f t="shared" si="46"/>
        <v>241.39000000000033</v>
      </c>
      <c r="AC80" s="149"/>
      <c r="AD80" s="148">
        <f t="shared" si="47"/>
        <v>1.1094977591493842</v>
      </c>
      <c r="AE80" s="149"/>
      <c r="AF80" s="148">
        <f t="shared" si="8"/>
        <v>0.1094977591493842</v>
      </c>
    </row>
    <row r="81" spans="1:32" s="136" customFormat="1" ht="30" customHeight="1" x14ac:dyDescent="0.5">
      <c r="A81" s="136" t="s">
        <v>287</v>
      </c>
      <c r="B81" s="146">
        <f>'CNT (from FS Analysis)'!N220</f>
        <v>3578.83</v>
      </c>
      <c r="C81" s="146">
        <v>0</v>
      </c>
      <c r="D81" s="146">
        <v>0</v>
      </c>
      <c r="E81" s="146">
        <v>0</v>
      </c>
      <c r="F81" s="146">
        <f>'BSC (Dome)'!G65</f>
        <v>975.56000000000006</v>
      </c>
      <c r="G81" s="146">
        <v>0</v>
      </c>
      <c r="H81" s="146">
        <v>0</v>
      </c>
      <c r="I81" s="146">
        <f t="shared" si="39"/>
        <v>4554.3900000000003</v>
      </c>
      <c r="J81" s="147">
        <f t="shared" si="40"/>
        <v>9.648043702530907E-3</v>
      </c>
      <c r="K81" s="147"/>
      <c r="L81" s="135" t="s">
        <v>287</v>
      </c>
      <c r="M81" s="146">
        <v>1241</v>
      </c>
      <c r="N81" s="146">
        <v>0</v>
      </c>
      <c r="O81" s="146">
        <v>0</v>
      </c>
      <c r="P81" s="146">
        <v>0</v>
      </c>
      <c r="Q81" s="146">
        <f>2049.5+27.56</f>
        <v>2077.06</v>
      </c>
      <c r="R81" s="146">
        <v>0</v>
      </c>
      <c r="S81" s="146">
        <v>0</v>
      </c>
      <c r="T81" s="146">
        <f t="shared" si="2"/>
        <v>3318.06</v>
      </c>
      <c r="U81" s="148">
        <f t="shared" si="41"/>
        <v>7.4070770193496683E-3</v>
      </c>
      <c r="V81" s="135" t="s">
        <v>287</v>
      </c>
      <c r="W81" s="148"/>
      <c r="X81" s="149">
        <f t="shared" ref="X81:X113" si="49">I81</f>
        <v>4554.3900000000003</v>
      </c>
      <c r="Y81" s="148"/>
      <c r="Z81" s="149">
        <f t="shared" ref="Z81:Z113" si="50">T81</f>
        <v>3318.06</v>
      </c>
      <c r="AA81" s="148"/>
      <c r="AB81" s="149">
        <f t="shared" si="46"/>
        <v>1236.3300000000004</v>
      </c>
      <c r="AC81" s="149"/>
      <c r="AD81" s="148">
        <f t="shared" si="47"/>
        <v>1.372606281984051</v>
      </c>
      <c r="AE81" s="149"/>
      <c r="AF81" s="148">
        <f t="shared" si="8"/>
        <v>0.37260628198405099</v>
      </c>
    </row>
    <row r="82" spans="1:32" s="136" customFormat="1" ht="30" customHeight="1" x14ac:dyDescent="0.5">
      <c r="A82" s="136" t="s">
        <v>398</v>
      </c>
      <c r="B82" s="146">
        <f>'CNT (from FS Analysis)'!N237</f>
        <v>144000</v>
      </c>
      <c r="C82" s="146">
        <f>BPM!G46</f>
        <v>15000</v>
      </c>
      <c r="D82" s="146">
        <f>DEP!G57</f>
        <v>25000</v>
      </c>
      <c r="E82" s="146">
        <v>0</v>
      </c>
      <c r="F82" s="146">
        <f>'BSC (Dome)'!G66</f>
        <v>2750</v>
      </c>
      <c r="G82" s="146">
        <f>'Oliari Co.'!G15</f>
        <v>1325</v>
      </c>
      <c r="H82" s="146">
        <v>0</v>
      </c>
      <c r="I82" s="146">
        <f t="shared" si="39"/>
        <v>188075</v>
      </c>
      <c r="J82" s="147">
        <f t="shared" si="40"/>
        <v>0.39841906805378996</v>
      </c>
      <c r="K82" s="147"/>
      <c r="L82" s="135" t="s">
        <v>398</v>
      </c>
      <c r="M82" s="146">
        <v>171329.53</v>
      </c>
      <c r="N82" s="146">
        <v>27399.95</v>
      </c>
      <c r="O82" s="146">
        <v>35570</v>
      </c>
      <c r="P82" s="146">
        <v>0</v>
      </c>
      <c r="Q82" s="146">
        <v>9119.93</v>
      </c>
      <c r="R82" s="146">
        <f>2300+11520</f>
        <v>13820</v>
      </c>
      <c r="S82" s="146">
        <v>1825</v>
      </c>
      <c r="T82" s="146">
        <f t="shared" si="2"/>
        <v>259064.41</v>
      </c>
      <c r="U82" s="148">
        <f t="shared" si="41"/>
        <v>0.57832288682012389</v>
      </c>
      <c r="V82" s="135" t="s">
        <v>398</v>
      </c>
      <c r="W82" s="148"/>
      <c r="X82" s="149">
        <f t="shared" si="49"/>
        <v>188075</v>
      </c>
      <c r="Y82" s="148"/>
      <c r="Z82" s="149">
        <f t="shared" si="50"/>
        <v>259064.41</v>
      </c>
      <c r="AA82" s="148"/>
      <c r="AB82" s="149">
        <f t="shared" si="46"/>
        <v>-70989.41</v>
      </c>
      <c r="AC82" s="149"/>
      <c r="AD82" s="148">
        <f t="shared" si="47"/>
        <v>0.72597775973936363</v>
      </c>
      <c r="AE82" s="149"/>
      <c r="AF82" s="148">
        <f t="shared" si="8"/>
        <v>-0.27402224026063637</v>
      </c>
    </row>
    <row r="83" spans="1:32" s="136" customFormat="1" ht="30" customHeight="1" x14ac:dyDescent="0.5">
      <c r="A83" s="136" t="s">
        <v>399</v>
      </c>
      <c r="B83" s="146">
        <f>'CNT (from FS Analysis)'!N238</f>
        <v>38000</v>
      </c>
      <c r="C83" s="146">
        <f>BPM!G47</f>
        <v>18750</v>
      </c>
      <c r="D83" s="146">
        <f>DEP!G58</f>
        <v>11250</v>
      </c>
      <c r="E83" s="146">
        <v>0</v>
      </c>
      <c r="F83" s="146">
        <f>'BSC (Dome)'!G67</f>
        <v>7500</v>
      </c>
      <c r="G83" s="146">
        <v>0</v>
      </c>
      <c r="H83" s="146">
        <v>0</v>
      </c>
      <c r="I83" s="146">
        <f t="shared" si="39"/>
        <v>75500</v>
      </c>
      <c r="J83" s="147">
        <f t="shared" si="40"/>
        <v>0.15993959663996352</v>
      </c>
      <c r="K83" s="147"/>
      <c r="L83" s="135" t="s">
        <v>399</v>
      </c>
      <c r="M83" s="146"/>
      <c r="N83" s="146">
        <v>0</v>
      </c>
      <c r="O83" s="146">
        <v>0</v>
      </c>
      <c r="P83" s="146">
        <v>0</v>
      </c>
      <c r="Q83" s="146">
        <v>3825</v>
      </c>
      <c r="R83" s="146">
        <v>0</v>
      </c>
      <c r="S83" s="146">
        <v>0</v>
      </c>
      <c r="T83" s="146">
        <f t="shared" ref="T83:T86" si="51">SUM(M83:S83)</f>
        <v>3825</v>
      </c>
      <c r="U83" s="148">
        <f t="shared" si="41"/>
        <v>8.5387454111777606E-3</v>
      </c>
      <c r="V83" s="135" t="s">
        <v>399</v>
      </c>
      <c r="W83" s="148"/>
      <c r="X83" s="149">
        <f t="shared" si="49"/>
        <v>75500</v>
      </c>
      <c r="Y83" s="148"/>
      <c r="Z83" s="149">
        <f t="shared" si="50"/>
        <v>3825</v>
      </c>
      <c r="AA83" s="148"/>
      <c r="AB83" s="149">
        <f t="shared" si="46"/>
        <v>71675</v>
      </c>
      <c r="AC83" s="149"/>
      <c r="AD83" s="148">
        <f t="shared" si="47"/>
        <v>19.738562091503269</v>
      </c>
      <c r="AE83" s="149"/>
      <c r="AF83" s="148">
        <f t="shared" si="8"/>
        <v>18.738562091503269</v>
      </c>
    </row>
    <row r="84" spans="1:32" s="136" customFormat="1" ht="30" customHeight="1" x14ac:dyDescent="0.5">
      <c r="A84" s="136" t="s">
        <v>400</v>
      </c>
      <c r="B84" s="146">
        <f>'CNT (from FS Analysis)'!N236</f>
        <v>13177.4</v>
      </c>
      <c r="C84" s="146">
        <v>0</v>
      </c>
      <c r="D84" s="146">
        <v>0</v>
      </c>
      <c r="E84" s="146">
        <f>-Lending!F16</f>
        <v>1250</v>
      </c>
      <c r="F84" s="146">
        <v>0</v>
      </c>
      <c r="G84" s="146">
        <v>0</v>
      </c>
      <c r="H84" s="146">
        <v>0</v>
      </c>
      <c r="I84" s="146">
        <f t="shared" si="39"/>
        <v>14427.4</v>
      </c>
      <c r="J84" s="147">
        <f t="shared" si="40"/>
        <v>3.0563079954482247E-2</v>
      </c>
      <c r="K84" s="147"/>
      <c r="L84" s="135" t="s">
        <v>400</v>
      </c>
      <c r="M84" s="146"/>
      <c r="N84" s="146">
        <v>0</v>
      </c>
      <c r="O84" s="146">
        <v>0</v>
      </c>
      <c r="P84" s="146">
        <v>2731.25</v>
      </c>
      <c r="Q84" s="146">
        <v>0</v>
      </c>
      <c r="R84" s="146">
        <v>0</v>
      </c>
      <c r="S84" s="146">
        <v>0</v>
      </c>
      <c r="T84" s="146">
        <f t="shared" si="51"/>
        <v>2731.25</v>
      </c>
      <c r="U84" s="148">
        <f t="shared" si="41"/>
        <v>6.0971106939292181E-3</v>
      </c>
      <c r="V84" s="135" t="s">
        <v>400</v>
      </c>
      <c r="W84" s="148"/>
      <c r="X84" s="149">
        <f t="shared" si="49"/>
        <v>14427.4</v>
      </c>
      <c r="Y84" s="148"/>
      <c r="Z84" s="149">
        <f t="shared" si="50"/>
        <v>2731.25</v>
      </c>
      <c r="AA84" s="148"/>
      <c r="AB84" s="149">
        <f t="shared" si="46"/>
        <v>11696.15</v>
      </c>
      <c r="AC84" s="149"/>
      <c r="AD84" s="148">
        <f t="shared" si="47"/>
        <v>5.2823432494279174</v>
      </c>
      <c r="AE84" s="149"/>
      <c r="AF84" s="148">
        <f t="shared" si="8"/>
        <v>4.2823432494279174</v>
      </c>
    </row>
    <row r="85" spans="1:32" s="136" customFormat="1" ht="30" customHeight="1" x14ac:dyDescent="0.5">
      <c r="A85" s="136" t="s">
        <v>445</v>
      </c>
      <c r="B85" s="146">
        <f>'CNT (from FS Analysis)'!N239</f>
        <v>13455</v>
      </c>
      <c r="C85" s="146">
        <v>0</v>
      </c>
      <c r="D85" s="146"/>
      <c r="E85" s="146">
        <v>0</v>
      </c>
      <c r="F85" s="146">
        <v>0</v>
      </c>
      <c r="G85" s="146">
        <v>0</v>
      </c>
      <c r="H85" s="146">
        <v>0</v>
      </c>
      <c r="I85" s="146">
        <f t="shared" si="39"/>
        <v>13455</v>
      </c>
      <c r="J85" s="147">
        <f t="shared" si="40"/>
        <v>2.8503142685969658E-2</v>
      </c>
      <c r="K85" s="147"/>
      <c r="L85" s="135" t="s">
        <v>445</v>
      </c>
      <c r="M85" s="146"/>
      <c r="N85" s="146">
        <v>0</v>
      </c>
      <c r="O85" s="146">
        <v>0</v>
      </c>
      <c r="P85" s="146">
        <v>0</v>
      </c>
      <c r="Q85" s="146"/>
      <c r="R85" s="146">
        <v>0</v>
      </c>
      <c r="S85" s="146">
        <v>0</v>
      </c>
      <c r="T85" s="146">
        <f t="shared" ref="T85" si="52">SUM(M85:S85)</f>
        <v>0</v>
      </c>
      <c r="U85" s="148">
        <f t="shared" si="41"/>
        <v>0</v>
      </c>
      <c r="V85" s="135" t="s">
        <v>445</v>
      </c>
      <c r="W85" s="148"/>
      <c r="X85" s="149">
        <f t="shared" si="49"/>
        <v>13455</v>
      </c>
      <c r="Y85" s="148"/>
      <c r="Z85" s="149">
        <f t="shared" si="50"/>
        <v>0</v>
      </c>
      <c r="AA85" s="148"/>
      <c r="AB85" s="149">
        <f t="shared" ref="AB85" si="53">I85-T85</f>
        <v>13455</v>
      </c>
      <c r="AC85" s="149"/>
      <c r="AD85" s="161">
        <v>0</v>
      </c>
      <c r="AE85" s="149"/>
      <c r="AF85" s="148"/>
    </row>
    <row r="86" spans="1:32" s="136" customFormat="1" ht="30" customHeight="1" x14ac:dyDescent="0.5">
      <c r="A86" s="136" t="s">
        <v>429</v>
      </c>
      <c r="B86" s="146">
        <v>0</v>
      </c>
      <c r="C86" s="146">
        <v>0</v>
      </c>
      <c r="D86" s="146">
        <f>DEP!G59</f>
        <v>3958.3399999999997</v>
      </c>
      <c r="E86" s="146">
        <v>0</v>
      </c>
      <c r="F86" s="146">
        <v>0</v>
      </c>
      <c r="G86" s="146">
        <v>0</v>
      </c>
      <c r="H86" s="146">
        <v>0</v>
      </c>
      <c r="I86" s="146">
        <f t="shared" si="39"/>
        <v>3958.3399999999997</v>
      </c>
      <c r="J86" s="147">
        <f t="shared" si="40"/>
        <v>8.3853682511765976E-3</v>
      </c>
      <c r="K86" s="147"/>
      <c r="L86" s="135" t="s">
        <v>429</v>
      </c>
      <c r="M86" s="146"/>
      <c r="N86" s="146">
        <v>0</v>
      </c>
      <c r="O86" s="146">
        <v>0</v>
      </c>
      <c r="P86" s="146">
        <v>0</v>
      </c>
      <c r="Q86" s="146"/>
      <c r="R86" s="146">
        <v>0</v>
      </c>
      <c r="S86" s="146">
        <v>0</v>
      </c>
      <c r="T86" s="146">
        <f t="shared" si="51"/>
        <v>0</v>
      </c>
      <c r="U86" s="148">
        <f t="shared" si="41"/>
        <v>0</v>
      </c>
      <c r="V86" s="135" t="s">
        <v>429</v>
      </c>
      <c r="W86" s="148"/>
      <c r="X86" s="149">
        <f t="shared" si="49"/>
        <v>3958.3399999999997</v>
      </c>
      <c r="Y86" s="148"/>
      <c r="Z86" s="149">
        <f t="shared" si="50"/>
        <v>0</v>
      </c>
      <c r="AA86" s="148"/>
      <c r="AB86" s="149">
        <f t="shared" si="46"/>
        <v>3958.3399999999997</v>
      </c>
      <c r="AC86" s="149"/>
      <c r="AD86" s="161">
        <v>0</v>
      </c>
      <c r="AE86" s="149"/>
      <c r="AF86" s="148"/>
    </row>
    <row r="87" spans="1:32" s="136" customFormat="1" ht="30" customHeight="1" x14ac:dyDescent="0.5">
      <c r="A87" s="136" t="s">
        <v>289</v>
      </c>
      <c r="B87" s="146">
        <f>'CNT (from FS Analysis)'!N224+'CNT (from FS Analysis)'!N241</f>
        <v>8077.76</v>
      </c>
      <c r="C87" s="146">
        <v>0</v>
      </c>
      <c r="D87" s="146">
        <f>DEP!G56</f>
        <v>1250</v>
      </c>
      <c r="E87" s="146">
        <v>0</v>
      </c>
      <c r="F87" s="146">
        <f>'BSC (Dome)'!G63:G63</f>
        <v>796.8599999999999</v>
      </c>
      <c r="G87" s="146">
        <v>0</v>
      </c>
      <c r="H87" s="146">
        <v>0</v>
      </c>
      <c r="I87" s="146">
        <f t="shared" si="39"/>
        <v>10124.620000000001</v>
      </c>
      <c r="J87" s="147">
        <f t="shared" si="40"/>
        <v>2.1448048197786857E-2</v>
      </c>
      <c r="K87" s="147"/>
      <c r="L87" s="135" t="s">
        <v>289</v>
      </c>
      <c r="M87" s="146">
        <v>2562.1999999999998</v>
      </c>
      <c r="N87" s="146">
        <v>0</v>
      </c>
      <c r="O87" s="146">
        <v>1250</v>
      </c>
      <c r="P87" s="146">
        <v>0</v>
      </c>
      <c r="Q87" s="146">
        <f>2322.56</f>
        <v>2322.56</v>
      </c>
      <c r="R87" s="146">
        <v>0</v>
      </c>
      <c r="S87" s="146">
        <v>0</v>
      </c>
      <c r="T87" s="146">
        <f t="shared" si="2"/>
        <v>6134.76</v>
      </c>
      <c r="U87" s="148">
        <f t="shared" si="41"/>
        <v>1.3694942169588728E-2</v>
      </c>
      <c r="V87" s="135" t="s">
        <v>289</v>
      </c>
      <c r="W87" s="148"/>
      <c r="X87" s="149">
        <f t="shared" si="49"/>
        <v>10124.620000000001</v>
      </c>
      <c r="Y87" s="148"/>
      <c r="Z87" s="149">
        <f t="shared" si="50"/>
        <v>6134.76</v>
      </c>
      <c r="AA87" s="148"/>
      <c r="AB87" s="149">
        <f t="shared" si="46"/>
        <v>3989.8600000000006</v>
      </c>
      <c r="AC87" s="149"/>
      <c r="AD87" s="148">
        <f t="shared" si="47"/>
        <v>1.650369370602925</v>
      </c>
      <c r="AE87" s="149"/>
      <c r="AF87" s="148">
        <f t="shared" si="8"/>
        <v>0.65036937060292499</v>
      </c>
    </row>
    <row r="88" spans="1:32" s="136" customFormat="1" ht="30" customHeight="1" x14ac:dyDescent="0.5">
      <c r="A88" s="136" t="s">
        <v>290</v>
      </c>
      <c r="B88" s="146">
        <f>'CNT (from FS Analysis)'!N228</f>
        <v>18458.87</v>
      </c>
      <c r="C88" s="146">
        <f>BPM!G44</f>
        <v>587.5</v>
      </c>
      <c r="D88" s="146">
        <f>DEP!G61</f>
        <v>577.5</v>
      </c>
      <c r="E88" s="146">
        <v>0</v>
      </c>
      <c r="F88" s="146">
        <v>0</v>
      </c>
      <c r="G88" s="146">
        <v>0</v>
      </c>
      <c r="H88" s="146">
        <v>0</v>
      </c>
      <c r="I88" s="146">
        <f t="shared" si="39"/>
        <v>19623.87</v>
      </c>
      <c r="J88" s="147">
        <f t="shared" si="40"/>
        <v>4.1571309302186499E-2</v>
      </c>
      <c r="K88" s="147"/>
      <c r="L88" s="135" t="s">
        <v>290</v>
      </c>
      <c r="M88" s="146">
        <v>18928.259999999998</v>
      </c>
      <c r="N88" s="146">
        <v>900.75</v>
      </c>
      <c r="O88" s="146">
        <v>1887.75</v>
      </c>
      <c r="P88" s="146">
        <v>0</v>
      </c>
      <c r="Q88" s="146">
        <v>0</v>
      </c>
      <c r="R88" s="146">
        <v>0</v>
      </c>
      <c r="S88" s="146">
        <v>0</v>
      </c>
      <c r="T88" s="146">
        <f t="shared" si="2"/>
        <v>21716.76</v>
      </c>
      <c r="U88" s="148">
        <f t="shared" si="41"/>
        <v>4.8479447005398364E-2</v>
      </c>
      <c r="V88" s="135" t="s">
        <v>290</v>
      </c>
      <c r="W88" s="148"/>
      <c r="X88" s="149">
        <f t="shared" si="49"/>
        <v>19623.87</v>
      </c>
      <c r="Y88" s="148"/>
      <c r="Z88" s="149">
        <f t="shared" si="50"/>
        <v>21716.76</v>
      </c>
      <c r="AA88" s="148"/>
      <c r="AB88" s="149">
        <f t="shared" si="46"/>
        <v>-2092.8899999999994</v>
      </c>
      <c r="AC88" s="149"/>
      <c r="AD88" s="148">
        <f t="shared" si="47"/>
        <v>0.90362788924314674</v>
      </c>
      <c r="AE88" s="149"/>
      <c r="AF88" s="148">
        <f t="shared" si="8"/>
        <v>-9.6372110756853258E-2</v>
      </c>
    </row>
    <row r="89" spans="1:32" s="136" customFormat="1" ht="30" customHeight="1" x14ac:dyDescent="0.5">
      <c r="A89" s="136" t="s">
        <v>291</v>
      </c>
      <c r="B89" s="146">
        <f>'CNT (from FS Analysis)'!N229</f>
        <v>13431.93</v>
      </c>
      <c r="C89" s="146">
        <f>0</f>
        <v>0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146">
        <f t="shared" si="39"/>
        <v>13431.93</v>
      </c>
      <c r="J89" s="147">
        <f t="shared" si="40"/>
        <v>2.8454271076771197E-2</v>
      </c>
      <c r="K89" s="147"/>
      <c r="L89" s="135" t="s">
        <v>291</v>
      </c>
      <c r="M89" s="146">
        <v>11809.68</v>
      </c>
      <c r="N89" s="146">
        <v>0</v>
      </c>
      <c r="O89" s="146">
        <v>0</v>
      </c>
      <c r="P89" s="146">
        <v>0</v>
      </c>
      <c r="Q89" s="146">
        <v>0</v>
      </c>
      <c r="R89" s="146">
        <v>0</v>
      </c>
      <c r="S89" s="146">
        <v>0</v>
      </c>
      <c r="T89" s="146">
        <f t="shared" si="2"/>
        <v>11809.68</v>
      </c>
      <c r="U89" s="148">
        <f t="shared" si="41"/>
        <v>2.6363359714373275E-2</v>
      </c>
      <c r="V89" s="135" t="s">
        <v>291</v>
      </c>
      <c r="W89" s="148"/>
      <c r="X89" s="149">
        <f t="shared" si="49"/>
        <v>13431.93</v>
      </c>
      <c r="Y89" s="148"/>
      <c r="Z89" s="149">
        <f t="shared" si="50"/>
        <v>11809.68</v>
      </c>
      <c r="AA89" s="148"/>
      <c r="AB89" s="149">
        <f t="shared" si="46"/>
        <v>1622.25</v>
      </c>
      <c r="AC89" s="149"/>
      <c r="AD89" s="161">
        <v>0</v>
      </c>
      <c r="AE89" s="149"/>
      <c r="AF89" s="148">
        <f t="shared" si="8"/>
        <v>-1</v>
      </c>
    </row>
    <row r="90" spans="1:32" s="136" customFormat="1" ht="30" customHeight="1" x14ac:dyDescent="0.5">
      <c r="A90" s="136" t="s">
        <v>331</v>
      </c>
      <c r="B90" s="146">
        <v>0</v>
      </c>
      <c r="C90" s="146">
        <f>0</f>
        <v>0</v>
      </c>
      <c r="D90" s="146">
        <f>DEP!G55</f>
        <v>300</v>
      </c>
      <c r="E90" s="146">
        <v>0</v>
      </c>
      <c r="F90" s="146">
        <f>'BSC (Dome)'!G62</f>
        <v>1600</v>
      </c>
      <c r="G90" s="146">
        <v>0</v>
      </c>
      <c r="H90" s="146">
        <v>0</v>
      </c>
      <c r="I90" s="146">
        <f t="shared" si="39"/>
        <v>1900</v>
      </c>
      <c r="J90" s="147">
        <f t="shared" si="40"/>
        <v>4.0249699816679559E-3</v>
      </c>
      <c r="K90" s="147"/>
      <c r="L90" s="135" t="s">
        <v>331</v>
      </c>
      <c r="M90" s="146"/>
      <c r="N90" s="146">
        <v>0</v>
      </c>
      <c r="O90" s="146">
        <v>0</v>
      </c>
      <c r="P90" s="146">
        <v>0</v>
      </c>
      <c r="Q90" s="146">
        <v>0</v>
      </c>
      <c r="R90" s="146">
        <v>0</v>
      </c>
      <c r="S90" s="146">
        <v>0</v>
      </c>
      <c r="T90" s="146">
        <f>SUM(M90:S90)</f>
        <v>0</v>
      </c>
      <c r="U90" s="148">
        <f t="shared" si="41"/>
        <v>0</v>
      </c>
      <c r="V90" s="135" t="s">
        <v>331</v>
      </c>
      <c r="W90" s="148"/>
      <c r="X90" s="149">
        <f t="shared" si="49"/>
        <v>1900</v>
      </c>
      <c r="Y90" s="148"/>
      <c r="Z90" s="149">
        <f t="shared" si="50"/>
        <v>0</v>
      </c>
      <c r="AA90" s="148"/>
      <c r="AB90" s="149">
        <f t="shared" si="46"/>
        <v>1900</v>
      </c>
      <c r="AC90" s="149"/>
      <c r="AD90" s="161">
        <v>0</v>
      </c>
      <c r="AE90" s="149"/>
      <c r="AF90" s="162">
        <v>0</v>
      </c>
    </row>
    <row r="91" spans="1:32" s="136" customFormat="1" ht="30" customHeight="1" x14ac:dyDescent="0.5">
      <c r="A91" s="136" t="s">
        <v>414</v>
      </c>
      <c r="B91" s="146">
        <v>0</v>
      </c>
      <c r="C91" s="146">
        <v>0</v>
      </c>
      <c r="D91" s="146">
        <v>0</v>
      </c>
      <c r="E91" s="146">
        <v>0</v>
      </c>
      <c r="F91" s="146">
        <f>'BSC (Dome)'!G64</f>
        <v>10329.9</v>
      </c>
      <c r="G91" s="146">
        <v>0</v>
      </c>
      <c r="H91" s="146">
        <v>0</v>
      </c>
      <c r="I91" s="146">
        <f t="shared" si="39"/>
        <v>10329.9</v>
      </c>
      <c r="J91" s="147">
        <f t="shared" si="40"/>
        <v>2.1882914428227273E-2</v>
      </c>
      <c r="K91" s="147"/>
      <c r="L91" s="135" t="s">
        <v>414</v>
      </c>
      <c r="M91" s="146">
        <v>635.47</v>
      </c>
      <c r="N91" s="146">
        <v>0</v>
      </c>
      <c r="O91" s="146">
        <v>0</v>
      </c>
      <c r="P91" s="146">
        <v>0</v>
      </c>
      <c r="Q91" s="146">
        <v>6832.94</v>
      </c>
      <c r="R91" s="146">
        <v>0</v>
      </c>
      <c r="S91" s="146">
        <v>0</v>
      </c>
      <c r="T91" s="146">
        <f>SUM(M91:S91)</f>
        <v>7468.41</v>
      </c>
      <c r="U91" s="148">
        <f t="shared" si="41"/>
        <v>1.6672118069619372E-2</v>
      </c>
      <c r="V91" s="135" t="s">
        <v>414</v>
      </c>
      <c r="W91" s="148"/>
      <c r="X91" s="149">
        <f t="shared" si="49"/>
        <v>10329.9</v>
      </c>
      <c r="Y91" s="148"/>
      <c r="Z91" s="149">
        <f t="shared" si="50"/>
        <v>7468.41</v>
      </c>
      <c r="AA91" s="148"/>
      <c r="AB91" s="149">
        <f t="shared" si="46"/>
        <v>2861.49</v>
      </c>
      <c r="AC91" s="149"/>
      <c r="AD91" s="148">
        <f t="shared" si="47"/>
        <v>1.3831458101523617</v>
      </c>
      <c r="AE91" s="149"/>
      <c r="AF91" s="162">
        <v>0</v>
      </c>
    </row>
    <row r="92" spans="1:32" s="136" customFormat="1" ht="30" customHeight="1" x14ac:dyDescent="0.5">
      <c r="A92" s="136" t="s">
        <v>292</v>
      </c>
      <c r="B92" s="146">
        <f>'CNT (from FS Analysis)'!N231</f>
        <v>13386.65</v>
      </c>
      <c r="C92" s="146">
        <f>0</f>
        <v>0</v>
      </c>
      <c r="D92" s="146">
        <f>0</f>
        <v>0</v>
      </c>
      <c r="E92" s="146">
        <v>0</v>
      </c>
      <c r="F92" s="146">
        <v>0</v>
      </c>
      <c r="G92" s="146">
        <v>0</v>
      </c>
      <c r="H92" s="146">
        <v>0</v>
      </c>
      <c r="I92" s="146">
        <f t="shared" si="39"/>
        <v>13386.65</v>
      </c>
      <c r="J92" s="147">
        <f t="shared" si="40"/>
        <v>2.8358349686892288E-2</v>
      </c>
      <c r="K92" s="147"/>
      <c r="L92" s="135" t="s">
        <v>292</v>
      </c>
      <c r="M92" s="146">
        <v>50000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f t="shared" si="2"/>
        <v>50000</v>
      </c>
      <c r="U92" s="148">
        <f t="shared" si="41"/>
        <v>0.11161758707421909</v>
      </c>
      <c r="V92" s="135" t="s">
        <v>292</v>
      </c>
      <c r="W92" s="148"/>
      <c r="X92" s="149">
        <f t="shared" si="49"/>
        <v>13386.65</v>
      </c>
      <c r="Y92" s="148"/>
      <c r="Z92" s="149">
        <f t="shared" si="50"/>
        <v>50000</v>
      </c>
      <c r="AA92" s="148"/>
      <c r="AB92" s="149">
        <f t="shared" si="46"/>
        <v>-36613.35</v>
      </c>
      <c r="AC92" s="149"/>
      <c r="AD92" s="161">
        <v>0</v>
      </c>
      <c r="AE92" s="149"/>
      <c r="AF92" s="148">
        <f t="shared" ref="AF92:AF96" si="54">AD92-1</f>
        <v>-1</v>
      </c>
    </row>
    <row r="93" spans="1:32" s="136" customFormat="1" ht="30" customHeight="1" x14ac:dyDescent="0.5">
      <c r="A93" s="136" t="s">
        <v>293</v>
      </c>
      <c r="B93" s="146">
        <f>'CNT (from FS Analysis)'!N232</f>
        <v>15545.550000000001</v>
      </c>
      <c r="C93" s="146">
        <v>0</v>
      </c>
      <c r="D93" s="146">
        <v>0</v>
      </c>
      <c r="E93" s="146">
        <v>0</v>
      </c>
      <c r="F93" s="146">
        <v>0</v>
      </c>
      <c r="G93" s="146">
        <v>0</v>
      </c>
      <c r="H93" s="146">
        <v>0</v>
      </c>
      <c r="I93" s="146">
        <f t="shared" si="39"/>
        <v>15545.550000000001</v>
      </c>
      <c r="J93" s="147">
        <f t="shared" si="40"/>
        <v>3.2931774788693843E-2</v>
      </c>
      <c r="K93" s="147"/>
      <c r="L93" s="135" t="s">
        <v>293</v>
      </c>
      <c r="M93" s="146"/>
      <c r="N93" s="146">
        <v>0</v>
      </c>
      <c r="O93" s="146">
        <v>0</v>
      </c>
      <c r="P93" s="146">
        <v>0</v>
      </c>
      <c r="Q93" s="146">
        <v>0</v>
      </c>
      <c r="R93" s="146">
        <v>0</v>
      </c>
      <c r="S93" s="146">
        <v>0</v>
      </c>
      <c r="T93" s="146">
        <f t="shared" si="2"/>
        <v>0</v>
      </c>
      <c r="U93" s="148">
        <f t="shared" si="41"/>
        <v>0</v>
      </c>
      <c r="V93" s="135" t="s">
        <v>293</v>
      </c>
      <c r="W93" s="148"/>
      <c r="X93" s="149">
        <f t="shared" si="49"/>
        <v>15545.550000000001</v>
      </c>
      <c r="Y93" s="148"/>
      <c r="Z93" s="149">
        <f t="shared" si="50"/>
        <v>0</v>
      </c>
      <c r="AA93" s="148"/>
      <c r="AB93" s="149">
        <f t="shared" si="46"/>
        <v>15545.550000000001</v>
      </c>
      <c r="AC93" s="149"/>
      <c r="AD93" s="161">
        <v>0</v>
      </c>
      <c r="AE93" s="149"/>
      <c r="AF93" s="162">
        <v>0</v>
      </c>
    </row>
    <row r="94" spans="1:32" s="136" customFormat="1" ht="30" customHeight="1" x14ac:dyDescent="0.5">
      <c r="A94" s="136" t="s">
        <v>294</v>
      </c>
      <c r="B94" s="146">
        <f>'CNT (from FS Analysis)'!N233</f>
        <v>3295.27</v>
      </c>
      <c r="C94" s="146">
        <v>0</v>
      </c>
      <c r="D94" s="146">
        <v>0</v>
      </c>
      <c r="E94" s="146">
        <v>0</v>
      </c>
      <c r="F94" s="146">
        <v>0</v>
      </c>
      <c r="G94" s="146">
        <v>0</v>
      </c>
      <c r="H94" s="146">
        <v>0</v>
      </c>
      <c r="I94" s="146">
        <f t="shared" si="39"/>
        <v>3295.27</v>
      </c>
      <c r="J94" s="147">
        <f t="shared" si="40"/>
        <v>6.9807172797320873E-3</v>
      </c>
      <c r="K94" s="147"/>
      <c r="L94" s="135" t="s">
        <v>294</v>
      </c>
      <c r="M94" s="146">
        <v>4147.42</v>
      </c>
      <c r="N94" s="146">
        <v>0</v>
      </c>
      <c r="O94" s="146">
        <v>0</v>
      </c>
      <c r="P94" s="146">
        <v>0</v>
      </c>
      <c r="Q94" s="146">
        <v>0</v>
      </c>
      <c r="R94" s="146">
        <v>0</v>
      </c>
      <c r="S94" s="146">
        <v>0</v>
      </c>
      <c r="T94" s="146">
        <f t="shared" ref="T94:T98" si="55">SUM(M94:S94)</f>
        <v>4147.42</v>
      </c>
      <c r="U94" s="148">
        <f t="shared" si="41"/>
        <v>9.2585002596671552E-3</v>
      </c>
      <c r="V94" s="135" t="s">
        <v>294</v>
      </c>
      <c r="W94" s="148"/>
      <c r="X94" s="149">
        <f t="shared" si="49"/>
        <v>3295.27</v>
      </c>
      <c r="Y94" s="148"/>
      <c r="Z94" s="149">
        <f t="shared" si="50"/>
        <v>4147.42</v>
      </c>
      <c r="AA94" s="148"/>
      <c r="AB94" s="149">
        <f t="shared" si="46"/>
        <v>-852.15000000000009</v>
      </c>
      <c r="AC94" s="149"/>
      <c r="AD94" s="161">
        <v>0</v>
      </c>
      <c r="AE94" s="149"/>
      <c r="AF94" s="148">
        <f t="shared" si="54"/>
        <v>-1</v>
      </c>
    </row>
    <row r="95" spans="1:32" s="136" customFormat="1" ht="30" customHeight="1" x14ac:dyDescent="0.5">
      <c r="A95" s="136" t="s">
        <v>295</v>
      </c>
      <c r="B95" s="146">
        <f>'CNT (from FS Analysis)'!N234</f>
        <v>8245.32</v>
      </c>
      <c r="C95" s="146">
        <v>0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146">
        <f t="shared" si="39"/>
        <v>8245.32</v>
      </c>
      <c r="J95" s="147">
        <f t="shared" si="40"/>
        <v>1.7466929204866543E-2</v>
      </c>
      <c r="K95" s="147"/>
      <c r="L95" s="135" t="s">
        <v>295</v>
      </c>
      <c r="M95" s="146"/>
      <c r="N95" s="146">
        <v>0</v>
      </c>
      <c r="O95" s="146">
        <v>0</v>
      </c>
      <c r="P95" s="146">
        <v>0</v>
      </c>
      <c r="Q95" s="146">
        <v>0</v>
      </c>
      <c r="R95" s="146">
        <v>0</v>
      </c>
      <c r="S95" s="146">
        <v>0</v>
      </c>
      <c r="T95" s="146">
        <f t="shared" si="55"/>
        <v>0</v>
      </c>
      <c r="U95" s="148">
        <f t="shared" si="41"/>
        <v>0</v>
      </c>
      <c r="V95" s="135" t="s">
        <v>295</v>
      </c>
      <c r="W95" s="148"/>
      <c r="X95" s="149">
        <f t="shared" si="49"/>
        <v>8245.32</v>
      </c>
      <c r="Y95" s="148"/>
      <c r="Z95" s="149">
        <f t="shared" si="50"/>
        <v>0</v>
      </c>
      <c r="AA95" s="148"/>
      <c r="AB95" s="149">
        <f t="shared" ref="AB95" si="56">I95-T95</f>
        <v>8245.32</v>
      </c>
      <c r="AC95" s="149"/>
      <c r="AD95" s="150">
        <v>0</v>
      </c>
      <c r="AE95" s="149"/>
      <c r="AF95" s="162">
        <v>0</v>
      </c>
    </row>
    <row r="96" spans="1:32" s="136" customFormat="1" ht="30" customHeight="1" x14ac:dyDescent="0.5">
      <c r="A96" s="144" t="s">
        <v>297</v>
      </c>
      <c r="B96" s="151">
        <f t="shared" ref="B96:H96" si="57">SUM(B77:B95)</f>
        <v>353006.2</v>
      </c>
      <c r="C96" s="151">
        <f t="shared" si="57"/>
        <v>37849.89</v>
      </c>
      <c r="D96" s="151">
        <f t="shared" si="57"/>
        <v>46813.159999999996</v>
      </c>
      <c r="E96" s="151">
        <f t="shared" si="57"/>
        <v>2341.81</v>
      </c>
      <c r="F96" s="151">
        <f t="shared" si="57"/>
        <v>30315</v>
      </c>
      <c r="G96" s="151">
        <f t="shared" si="57"/>
        <v>1325</v>
      </c>
      <c r="H96" s="151">
        <f t="shared" si="57"/>
        <v>402.15</v>
      </c>
      <c r="I96" s="151">
        <f t="shared" si="39"/>
        <v>472053.21</v>
      </c>
      <c r="J96" s="152">
        <f>SUM(J77:J95)</f>
        <v>1</v>
      </c>
      <c r="K96" s="153"/>
      <c r="L96" s="145" t="s">
        <v>297</v>
      </c>
      <c r="M96" s="151">
        <f t="shared" ref="M96:S96" si="58">SUM(M77:M95)</f>
        <v>324798.8</v>
      </c>
      <c r="N96" s="151">
        <f t="shared" si="58"/>
        <v>31512.870000000003</v>
      </c>
      <c r="O96" s="151">
        <f t="shared" si="58"/>
        <v>43385.17</v>
      </c>
      <c r="P96" s="151">
        <f t="shared" si="58"/>
        <v>3593.56</v>
      </c>
      <c r="Q96" s="151">
        <f t="shared" si="58"/>
        <v>28405.96</v>
      </c>
      <c r="R96" s="151">
        <f t="shared" si="58"/>
        <v>13856</v>
      </c>
      <c r="S96" s="151">
        <f t="shared" si="58"/>
        <v>2405.7200000000003</v>
      </c>
      <c r="T96" s="151">
        <f t="shared" si="55"/>
        <v>447958.07999999996</v>
      </c>
      <c r="U96" s="154">
        <f>SUM(U77:U95)</f>
        <v>1.0000000000000002</v>
      </c>
      <c r="V96" s="145" t="s">
        <v>297</v>
      </c>
      <c r="W96" s="155"/>
      <c r="X96" s="156">
        <f t="shared" si="49"/>
        <v>472053.21</v>
      </c>
      <c r="Y96" s="155"/>
      <c r="Z96" s="156">
        <f t="shared" si="50"/>
        <v>447958.07999999996</v>
      </c>
      <c r="AA96" s="155"/>
      <c r="AB96" s="156">
        <f>I96-T96</f>
        <v>24095.130000000063</v>
      </c>
      <c r="AC96" s="156"/>
      <c r="AD96" s="163">
        <f>I96/T96</f>
        <v>1.0537888054167928</v>
      </c>
      <c r="AE96" s="156"/>
      <c r="AF96" s="154">
        <f t="shared" si="54"/>
        <v>5.3788805416792762E-2</v>
      </c>
    </row>
    <row r="97" spans="1:33" s="136" customFormat="1" ht="30" customHeight="1" x14ac:dyDescent="0.5">
      <c r="B97" s="146"/>
      <c r="C97" s="146"/>
      <c r="D97" s="146"/>
      <c r="E97" s="146"/>
      <c r="F97" s="146"/>
      <c r="G97" s="146"/>
      <c r="H97" s="146"/>
      <c r="I97" s="146">
        <f t="shared" si="39"/>
        <v>0</v>
      </c>
      <c r="J97" s="135"/>
      <c r="K97" s="135"/>
      <c r="L97" s="135"/>
      <c r="M97" s="146"/>
      <c r="N97" s="146"/>
      <c r="O97" s="146"/>
      <c r="P97" s="146"/>
      <c r="Q97" s="146"/>
      <c r="R97" s="146"/>
      <c r="S97" s="146"/>
      <c r="T97" s="146">
        <f t="shared" si="55"/>
        <v>0</v>
      </c>
      <c r="V97" s="135"/>
      <c r="X97" s="149"/>
      <c r="Z97" s="149">
        <f t="shared" si="50"/>
        <v>0</v>
      </c>
      <c r="AB97" s="149"/>
      <c r="AC97" s="149"/>
      <c r="AD97" s="157"/>
      <c r="AE97" s="149"/>
      <c r="AF97" s="148"/>
    </row>
    <row r="98" spans="1:33" s="136" customFormat="1" ht="30" customHeight="1" thickBot="1" x14ac:dyDescent="0.55000000000000004">
      <c r="A98" s="144" t="s">
        <v>298</v>
      </c>
      <c r="B98" s="158">
        <f t="shared" ref="B98:H98" si="59">B49+B74+B96</f>
        <v>3295673.0700000003</v>
      </c>
      <c r="C98" s="158">
        <f t="shared" si="59"/>
        <v>43394.58</v>
      </c>
      <c r="D98" s="158">
        <f t="shared" si="59"/>
        <v>579422.87999999989</v>
      </c>
      <c r="E98" s="158">
        <f t="shared" si="59"/>
        <v>2450.81</v>
      </c>
      <c r="F98" s="158">
        <f t="shared" si="59"/>
        <v>377633.56000000006</v>
      </c>
      <c r="G98" s="158">
        <f t="shared" ref="G98" si="60">G49+G74+G96</f>
        <v>48101.350000000006</v>
      </c>
      <c r="H98" s="158">
        <f t="shared" si="59"/>
        <v>74416.709999999992</v>
      </c>
      <c r="I98" s="158">
        <f t="shared" si="39"/>
        <v>4421092.96</v>
      </c>
      <c r="J98" s="146">
        <f>SUM(I40:I48)+SUM(I52:I73)+SUM(I77:I95)-I98</f>
        <v>0</v>
      </c>
      <c r="K98" s="135"/>
      <c r="L98" s="145" t="s">
        <v>298</v>
      </c>
      <c r="M98" s="158">
        <f t="shared" ref="M98:S98" si="61">M49+M74+M96</f>
        <v>3230518.74</v>
      </c>
      <c r="N98" s="158">
        <f t="shared" si="61"/>
        <v>39217.9</v>
      </c>
      <c r="O98" s="158">
        <f t="shared" si="61"/>
        <v>545473.77</v>
      </c>
      <c r="P98" s="158">
        <f t="shared" si="61"/>
        <v>3593.56</v>
      </c>
      <c r="Q98" s="158">
        <f t="shared" si="61"/>
        <v>403610.74000000005</v>
      </c>
      <c r="R98" s="158">
        <f t="shared" ref="R98" si="62">R49+R74+R96</f>
        <v>47906.04</v>
      </c>
      <c r="S98" s="158">
        <f t="shared" si="61"/>
        <v>2925.7200000000003</v>
      </c>
      <c r="T98" s="158">
        <f t="shared" si="55"/>
        <v>4273246.47</v>
      </c>
      <c r="U98" s="149">
        <f>SUM(T40:T48)+SUM(T52:T73)+SUM(T77:T95)-T98</f>
        <v>0</v>
      </c>
      <c r="V98" s="145" t="s">
        <v>298</v>
      </c>
      <c r="X98" s="159">
        <f t="shared" si="49"/>
        <v>4421092.96</v>
      </c>
      <c r="Z98" s="159">
        <f t="shared" si="50"/>
        <v>4273246.47</v>
      </c>
      <c r="AB98" s="159">
        <f>I98-T98</f>
        <v>147846.49000000022</v>
      </c>
      <c r="AC98" s="159"/>
      <c r="AD98" s="164">
        <f>I98/T98</f>
        <v>1.0345981658296439</v>
      </c>
      <c r="AE98" s="159"/>
      <c r="AF98" s="160">
        <v>0</v>
      </c>
    </row>
    <row r="99" spans="1:33" s="136" customFormat="1" ht="30" customHeight="1" x14ac:dyDescent="0.5">
      <c r="B99" s="146"/>
      <c r="C99" s="146"/>
      <c r="D99" s="146"/>
      <c r="E99" s="146"/>
      <c r="F99" s="146"/>
      <c r="G99" s="146"/>
      <c r="H99" s="146"/>
      <c r="I99" s="146"/>
      <c r="J99" s="135"/>
      <c r="K99" s="135"/>
      <c r="L99" s="135"/>
      <c r="M99" s="146"/>
      <c r="N99" s="146"/>
      <c r="O99" s="146"/>
      <c r="P99" s="146"/>
      <c r="Q99" s="146"/>
      <c r="R99" s="146"/>
      <c r="S99" s="146"/>
      <c r="T99" s="146"/>
      <c r="V99" s="135"/>
      <c r="X99" s="139"/>
      <c r="Z99" s="139">
        <f t="shared" si="50"/>
        <v>0</v>
      </c>
      <c r="AB99" s="139"/>
      <c r="AC99" s="139"/>
      <c r="AD99" s="157"/>
      <c r="AE99" s="139"/>
      <c r="AF99" s="157"/>
    </row>
    <row r="100" spans="1:33" s="136" customFormat="1" ht="30" customHeight="1" x14ac:dyDescent="0.5">
      <c r="A100" s="144" t="s">
        <v>469</v>
      </c>
      <c r="B100" s="146"/>
      <c r="C100" s="146"/>
      <c r="D100" s="146"/>
      <c r="E100" s="146"/>
      <c r="F100" s="146"/>
      <c r="G100" s="146"/>
      <c r="H100" s="146"/>
      <c r="I100" s="146"/>
      <c r="J100" s="135"/>
      <c r="K100" s="135"/>
      <c r="L100" s="145" t="s">
        <v>308</v>
      </c>
      <c r="M100" s="146"/>
      <c r="N100" s="146"/>
      <c r="O100" s="146"/>
      <c r="P100" s="146"/>
      <c r="Q100" s="146"/>
      <c r="R100" s="146"/>
      <c r="S100" s="146"/>
      <c r="T100" s="146"/>
      <c r="V100" s="145" t="s">
        <v>308</v>
      </c>
      <c r="X100" s="139"/>
      <c r="Z100" s="139">
        <f t="shared" si="50"/>
        <v>0</v>
      </c>
      <c r="AB100" s="139"/>
      <c r="AC100" s="139"/>
      <c r="AD100" s="140"/>
      <c r="AE100" s="140"/>
      <c r="AF100" s="140"/>
      <c r="AG100" s="140"/>
    </row>
    <row r="101" spans="1:33" s="136" customFormat="1" ht="30" customHeight="1" x14ac:dyDescent="0.5">
      <c r="A101" s="136" t="s">
        <v>301</v>
      </c>
      <c r="B101" s="146">
        <f>'CNT (from FS Analysis)'!N245</f>
        <v>62500</v>
      </c>
      <c r="C101" s="146">
        <v>0</v>
      </c>
      <c r="D101" s="146">
        <f>DEP!G67</f>
        <v>62500</v>
      </c>
      <c r="E101" s="146">
        <v>0</v>
      </c>
      <c r="F101" s="146">
        <f>'BSC (Dome)'!G75+'BSC (Dome)'!G76</f>
        <v>29000</v>
      </c>
      <c r="G101" s="146">
        <f>'Oliari Co.'!G21+'Oliari Co.'!G22</f>
        <v>88500</v>
      </c>
      <c r="H101" s="146">
        <v>0</v>
      </c>
      <c r="I101" s="146">
        <f t="shared" ref="I101:I113" si="63">SUM(B101:H101)</f>
        <v>242500</v>
      </c>
      <c r="J101" s="147"/>
      <c r="K101" s="147"/>
      <c r="L101" s="135" t="s">
        <v>301</v>
      </c>
      <c r="M101" s="146"/>
      <c r="N101" s="146">
        <v>0</v>
      </c>
      <c r="O101" s="146">
        <v>0</v>
      </c>
      <c r="P101" s="146">
        <v>0</v>
      </c>
      <c r="Q101" s="146">
        <v>2200</v>
      </c>
      <c r="R101" s="146">
        <f>5000+228500</f>
        <v>233500</v>
      </c>
      <c r="S101" s="146">
        <v>100000</v>
      </c>
      <c r="T101" s="146">
        <f>SUM(M101:S101)</f>
        <v>335700</v>
      </c>
      <c r="U101" s="148"/>
      <c r="V101" s="135" t="s">
        <v>301</v>
      </c>
      <c r="W101" s="148"/>
      <c r="X101" s="149">
        <f t="shared" si="49"/>
        <v>242500</v>
      </c>
      <c r="Y101" s="148"/>
      <c r="Z101" s="149">
        <f t="shared" si="50"/>
        <v>335700</v>
      </c>
      <c r="AA101" s="148"/>
      <c r="AB101" s="149">
        <f>I101-T101</f>
        <v>-93200</v>
      </c>
      <c r="AC101" s="149"/>
      <c r="AD101" s="140"/>
      <c r="AE101" s="140"/>
      <c r="AF101" s="140"/>
      <c r="AG101" s="140"/>
    </row>
    <row r="102" spans="1:33" s="136" customFormat="1" ht="30" customHeight="1" x14ac:dyDescent="0.5">
      <c r="A102" s="136" t="s">
        <v>302</v>
      </c>
      <c r="B102" s="146">
        <f>'CNT (from FS Analysis)'!N246</f>
        <v>172148.75</v>
      </c>
      <c r="C102" s="146">
        <v>0</v>
      </c>
      <c r="D102" s="146">
        <v>0</v>
      </c>
      <c r="E102" s="146">
        <v>0</v>
      </c>
      <c r="F102" s="146">
        <v>0</v>
      </c>
      <c r="G102" s="146">
        <v>0</v>
      </c>
      <c r="H102" s="146">
        <v>0</v>
      </c>
      <c r="I102" s="146">
        <f t="shared" si="63"/>
        <v>172148.75</v>
      </c>
      <c r="J102" s="147"/>
      <c r="K102" s="147"/>
      <c r="L102" s="135" t="s">
        <v>302</v>
      </c>
      <c r="M102" s="146">
        <v>171710</v>
      </c>
      <c r="N102" s="146">
        <v>0</v>
      </c>
      <c r="O102" s="146">
        <v>0</v>
      </c>
      <c r="P102" s="146">
        <v>0</v>
      </c>
      <c r="Q102" s="146">
        <v>0</v>
      </c>
      <c r="R102" s="146">
        <v>0</v>
      </c>
      <c r="S102" s="146">
        <v>0</v>
      </c>
      <c r="T102" s="146">
        <f t="shared" ref="T102:T103" si="64">SUM(M102:S102)</f>
        <v>171710</v>
      </c>
      <c r="U102" s="148"/>
      <c r="V102" s="135" t="s">
        <v>302</v>
      </c>
      <c r="W102" s="148"/>
      <c r="X102" s="149">
        <f t="shared" si="49"/>
        <v>172148.75</v>
      </c>
      <c r="Y102" s="148"/>
      <c r="Z102" s="149">
        <f t="shared" si="50"/>
        <v>171710</v>
      </c>
      <c r="AA102" s="148"/>
      <c r="AB102" s="149">
        <f t="shared" ref="AB102:AB108" si="65">I102-T102</f>
        <v>438.75</v>
      </c>
      <c r="AC102" s="149"/>
      <c r="AD102" s="140"/>
      <c r="AE102" s="140"/>
      <c r="AF102" s="140"/>
      <c r="AG102" s="140"/>
    </row>
    <row r="103" spans="1:33" s="136" customFormat="1" ht="30" customHeight="1" x14ac:dyDescent="0.5">
      <c r="A103" s="136" t="s">
        <v>363</v>
      </c>
      <c r="B103" s="146">
        <v>0</v>
      </c>
      <c r="C103" s="146">
        <f>-BPM!G52</f>
        <v>-172148.75</v>
      </c>
      <c r="D103" s="146">
        <v>0</v>
      </c>
      <c r="E103" s="146">
        <v>0</v>
      </c>
      <c r="F103" s="146">
        <v>0</v>
      </c>
      <c r="G103" s="146">
        <v>0</v>
      </c>
      <c r="H103" s="146">
        <v>0</v>
      </c>
      <c r="I103" s="146">
        <f t="shared" si="63"/>
        <v>-172148.75</v>
      </c>
      <c r="J103" s="147"/>
      <c r="K103" s="147"/>
      <c r="L103" s="135" t="s">
        <v>363</v>
      </c>
      <c r="M103" s="146"/>
      <c r="N103" s="146">
        <v>-171710</v>
      </c>
      <c r="O103" s="146">
        <v>0</v>
      </c>
      <c r="P103" s="146">
        <v>0</v>
      </c>
      <c r="Q103" s="146">
        <v>0</v>
      </c>
      <c r="R103" s="146">
        <v>0</v>
      </c>
      <c r="S103" s="146">
        <v>0</v>
      </c>
      <c r="T103" s="146">
        <f t="shared" si="64"/>
        <v>-171710</v>
      </c>
      <c r="U103" s="148"/>
      <c r="V103" s="135" t="s">
        <v>363</v>
      </c>
      <c r="W103" s="148"/>
      <c r="X103" s="149">
        <f t="shared" si="49"/>
        <v>-172148.75</v>
      </c>
      <c r="Y103" s="148"/>
      <c r="Z103" s="149">
        <f t="shared" si="50"/>
        <v>-171710</v>
      </c>
      <c r="AA103" s="148"/>
      <c r="AB103" s="149">
        <f t="shared" si="65"/>
        <v>-438.75</v>
      </c>
      <c r="AC103" s="149"/>
      <c r="AD103" s="140"/>
      <c r="AE103" s="140"/>
      <c r="AF103" s="140"/>
      <c r="AG103" s="140"/>
    </row>
    <row r="104" spans="1:33" s="136" customFormat="1" ht="30" customHeight="1" x14ac:dyDescent="0.5">
      <c r="A104" s="136" t="s">
        <v>425</v>
      </c>
      <c r="B104" s="146">
        <f>'CNT (from FS Analysis)'!N247</f>
        <v>31752.38</v>
      </c>
      <c r="C104" s="146">
        <f>-BPM!G53</f>
        <v>-31752.38</v>
      </c>
      <c r="D104" s="146">
        <v>0</v>
      </c>
      <c r="E104" s="146">
        <v>0</v>
      </c>
      <c r="F104" s="146">
        <v>0</v>
      </c>
      <c r="G104" s="146">
        <v>0</v>
      </c>
      <c r="H104" s="146">
        <v>0</v>
      </c>
      <c r="I104" s="146">
        <f t="shared" si="63"/>
        <v>0</v>
      </c>
      <c r="J104" s="147"/>
      <c r="K104" s="147"/>
      <c r="L104" s="135" t="s">
        <v>425</v>
      </c>
      <c r="M104" s="146"/>
      <c r="N104" s="146">
        <v>0</v>
      </c>
      <c r="O104" s="146">
        <v>0</v>
      </c>
      <c r="P104" s="146">
        <v>0</v>
      </c>
      <c r="Q104" s="146"/>
      <c r="R104" s="146">
        <v>0</v>
      </c>
      <c r="S104" s="146">
        <v>0</v>
      </c>
      <c r="T104" s="146"/>
      <c r="U104" s="148"/>
      <c r="V104" s="135" t="s">
        <v>425</v>
      </c>
      <c r="W104" s="148"/>
      <c r="X104" s="149">
        <f t="shared" si="49"/>
        <v>0</v>
      </c>
      <c r="Y104" s="148"/>
      <c r="Z104" s="149">
        <f t="shared" si="50"/>
        <v>0</v>
      </c>
      <c r="AA104" s="148"/>
      <c r="AB104" s="149">
        <f t="shared" si="65"/>
        <v>0</v>
      </c>
      <c r="AC104" s="149"/>
      <c r="AD104" s="140"/>
      <c r="AE104" s="140"/>
      <c r="AF104" s="140"/>
      <c r="AG104" s="140"/>
    </row>
    <row r="105" spans="1:33" s="136" customFormat="1" ht="30" customHeight="1" x14ac:dyDescent="0.5">
      <c r="A105" s="136" t="s">
        <v>303</v>
      </c>
      <c r="B105" s="146">
        <f>'CNT (from FS Analysis)'!N248</f>
        <v>65930</v>
      </c>
      <c r="C105" s="146">
        <v>0</v>
      </c>
      <c r="D105" s="146">
        <v>0</v>
      </c>
      <c r="E105" s="146">
        <v>0</v>
      </c>
      <c r="F105" s="146">
        <v>0</v>
      </c>
      <c r="G105" s="146">
        <v>0</v>
      </c>
      <c r="H105" s="146">
        <v>0</v>
      </c>
      <c r="I105" s="146">
        <f t="shared" si="63"/>
        <v>65930</v>
      </c>
      <c r="J105" s="147"/>
      <c r="K105" s="147"/>
      <c r="L105" s="135" t="s">
        <v>303</v>
      </c>
      <c r="M105" s="146"/>
      <c r="N105" s="146">
        <v>0</v>
      </c>
      <c r="O105" s="146">
        <v>0</v>
      </c>
      <c r="P105" s="146">
        <v>0</v>
      </c>
      <c r="Q105" s="146">
        <v>0</v>
      </c>
      <c r="R105" s="146">
        <v>0</v>
      </c>
      <c r="S105" s="146">
        <v>0</v>
      </c>
      <c r="T105" s="146">
        <f t="shared" ref="T105:T113" si="66">SUM(M105:S105)</f>
        <v>0</v>
      </c>
      <c r="U105" s="148"/>
      <c r="V105" s="135" t="s">
        <v>303</v>
      </c>
      <c r="W105" s="148"/>
      <c r="X105" s="149">
        <f t="shared" si="49"/>
        <v>65930</v>
      </c>
      <c r="Y105" s="148"/>
      <c r="Z105" s="149">
        <f t="shared" si="50"/>
        <v>0</v>
      </c>
      <c r="AA105" s="148"/>
      <c r="AB105" s="149">
        <f t="shared" si="65"/>
        <v>65930</v>
      </c>
      <c r="AC105" s="149"/>
      <c r="AD105" s="140"/>
      <c r="AE105" s="140"/>
      <c r="AF105" s="140"/>
      <c r="AG105" s="140"/>
    </row>
    <row r="106" spans="1:33" s="136" customFormat="1" ht="30" customHeight="1" x14ac:dyDescent="0.5">
      <c r="A106" s="136" t="s">
        <v>304</v>
      </c>
      <c r="B106" s="146">
        <f>'CNT (from FS Analysis)'!N249</f>
        <v>118539.97</v>
      </c>
      <c r="C106" s="146">
        <f>-BPM!G54</f>
        <v>5253.0599999999995</v>
      </c>
      <c r="D106" s="146">
        <f>DEP!G68</f>
        <v>12791.05</v>
      </c>
      <c r="E106" s="146">
        <f>Lending!G14</f>
        <v>15650.05</v>
      </c>
      <c r="F106" s="146">
        <v>0</v>
      </c>
      <c r="G106" s="146">
        <f>'Oliari Co.'!G24</f>
        <v>18277.920000000002</v>
      </c>
      <c r="H106" s="146">
        <v>0</v>
      </c>
      <c r="I106" s="146">
        <f t="shared" si="63"/>
        <v>170512.05</v>
      </c>
      <c r="J106" s="147"/>
      <c r="K106" s="147"/>
      <c r="L106" s="135" t="s">
        <v>304</v>
      </c>
      <c r="M106" s="146">
        <v>95534.41</v>
      </c>
      <c r="N106" s="146">
        <v>0</v>
      </c>
      <c r="O106" s="146">
        <v>0</v>
      </c>
      <c r="P106" s="146">
        <v>56798.73</v>
      </c>
      <c r="Q106" s="146">
        <v>0</v>
      </c>
      <c r="R106" s="146">
        <v>19325.23</v>
      </c>
      <c r="S106" s="146">
        <v>0</v>
      </c>
      <c r="T106" s="146">
        <f t="shared" si="66"/>
        <v>171658.37000000002</v>
      </c>
      <c r="U106" s="148"/>
      <c r="V106" s="135" t="s">
        <v>304</v>
      </c>
      <c r="W106" s="148"/>
      <c r="X106" s="149">
        <f t="shared" si="49"/>
        <v>170512.05</v>
      </c>
      <c r="Y106" s="148"/>
      <c r="Z106" s="149">
        <f t="shared" si="50"/>
        <v>171658.37000000002</v>
      </c>
      <c r="AA106" s="148"/>
      <c r="AB106" s="149">
        <f t="shared" si="65"/>
        <v>-1146.3200000000361</v>
      </c>
      <c r="AC106" s="149"/>
      <c r="AD106" s="140"/>
      <c r="AE106" s="140"/>
      <c r="AF106" s="140"/>
      <c r="AG106" s="140"/>
    </row>
    <row r="107" spans="1:33" s="136" customFormat="1" ht="30" customHeight="1" x14ac:dyDescent="0.5">
      <c r="A107" s="136" t="s">
        <v>305</v>
      </c>
      <c r="B107" s="146">
        <f>'CNT (from FS Analysis)'!N250</f>
        <v>-76457.739999999991</v>
      </c>
      <c r="C107" s="146">
        <v>0</v>
      </c>
      <c r="D107" s="146">
        <v>0</v>
      </c>
      <c r="E107" s="146">
        <f>Lending!G15</f>
        <v>-2772.08</v>
      </c>
      <c r="F107" s="146">
        <f>'BSC (Dome)'!G78+'BSC (Dome)'!G79</f>
        <v>-48571.47</v>
      </c>
      <c r="G107" s="146">
        <f>'Oliari Co.'!G25</f>
        <v>-4304.6499999999996</v>
      </c>
      <c r="H107" s="146">
        <v>0</v>
      </c>
      <c r="I107" s="146">
        <f t="shared" si="63"/>
        <v>-132105.94</v>
      </c>
      <c r="J107" s="147"/>
      <c r="K107" s="147"/>
      <c r="L107" s="135" t="s">
        <v>305</v>
      </c>
      <c r="M107" s="146">
        <v>-119158.45</v>
      </c>
      <c r="N107" s="146">
        <v>0</v>
      </c>
      <c r="O107" s="146">
        <v>0</v>
      </c>
      <c r="P107" s="146">
        <v>-7329.37</v>
      </c>
      <c r="Q107" s="146">
        <f>-19325.24-30293.55</f>
        <v>-49618.79</v>
      </c>
      <c r="R107" s="146">
        <f>-13673.9+-9500.81+-1721.86</f>
        <v>-24896.57</v>
      </c>
      <c r="S107" s="146">
        <v>0</v>
      </c>
      <c r="T107" s="146">
        <f t="shared" si="66"/>
        <v>-201003.18</v>
      </c>
      <c r="U107" s="148"/>
      <c r="V107" s="135" t="s">
        <v>305</v>
      </c>
      <c r="W107" s="148"/>
      <c r="X107" s="149">
        <f t="shared" si="49"/>
        <v>-132105.94</v>
      </c>
      <c r="Y107" s="148"/>
      <c r="Z107" s="149">
        <f t="shared" si="50"/>
        <v>-201003.18</v>
      </c>
      <c r="AA107" s="148"/>
      <c r="AB107" s="149">
        <f t="shared" si="65"/>
        <v>68897.239999999991</v>
      </c>
      <c r="AC107" s="149"/>
      <c r="AD107" s="140"/>
      <c r="AE107" s="140"/>
      <c r="AF107" s="140"/>
      <c r="AG107" s="140"/>
    </row>
    <row r="108" spans="1:33" s="136" customFormat="1" ht="30" customHeight="1" x14ac:dyDescent="0.5">
      <c r="A108" s="136" t="s">
        <v>306</v>
      </c>
      <c r="B108" s="146">
        <f>'CNT (from FS Analysis)'!N251</f>
        <v>0.1</v>
      </c>
      <c r="C108" s="146">
        <v>0</v>
      </c>
      <c r="D108" s="146">
        <v>0</v>
      </c>
      <c r="E108" s="146">
        <v>0</v>
      </c>
      <c r="F108" s="146">
        <f>'BSC (Dome)'!G77</f>
        <v>1833.08</v>
      </c>
      <c r="G108" s="146">
        <f>'Oliari Co.'!G23</f>
        <v>1.01</v>
      </c>
      <c r="H108" s="146">
        <v>0</v>
      </c>
      <c r="I108" s="146">
        <f t="shared" si="63"/>
        <v>1834.1899999999998</v>
      </c>
      <c r="J108" s="147"/>
      <c r="K108" s="147"/>
      <c r="L108" s="135" t="s">
        <v>306</v>
      </c>
      <c r="M108" s="146"/>
      <c r="N108" s="146">
        <v>0</v>
      </c>
      <c r="O108" s="146">
        <v>0</v>
      </c>
      <c r="P108" s="146">
        <v>0</v>
      </c>
      <c r="Q108" s="146">
        <v>0</v>
      </c>
      <c r="R108" s="146">
        <v>0</v>
      </c>
      <c r="S108" s="146">
        <v>0</v>
      </c>
      <c r="T108" s="146">
        <f t="shared" si="66"/>
        <v>0</v>
      </c>
      <c r="U108" s="148"/>
      <c r="V108" s="135" t="s">
        <v>306</v>
      </c>
      <c r="W108" s="148"/>
      <c r="X108" s="149">
        <f t="shared" si="49"/>
        <v>1834.1899999999998</v>
      </c>
      <c r="Y108" s="148"/>
      <c r="Z108" s="149">
        <f t="shared" si="50"/>
        <v>0</v>
      </c>
      <c r="AA108" s="148"/>
      <c r="AB108" s="149">
        <f t="shared" si="65"/>
        <v>1834.1899999999998</v>
      </c>
      <c r="AC108" s="149"/>
      <c r="AD108" s="140"/>
      <c r="AE108" s="140"/>
      <c r="AF108" s="140"/>
      <c r="AG108" s="140"/>
    </row>
    <row r="109" spans="1:33" s="136" customFormat="1" ht="30" customHeight="1" x14ac:dyDescent="0.5">
      <c r="A109" s="136" t="s">
        <v>446</v>
      </c>
      <c r="B109" s="146">
        <f>'CNT (from FS Analysis)'!N252</f>
        <v>2087.77</v>
      </c>
      <c r="C109" s="146">
        <v>0</v>
      </c>
      <c r="D109" s="146">
        <v>0</v>
      </c>
      <c r="E109" s="146">
        <v>0</v>
      </c>
      <c r="F109" s="146">
        <v>0</v>
      </c>
      <c r="G109" s="146">
        <v>0</v>
      </c>
      <c r="H109" s="146">
        <v>0</v>
      </c>
      <c r="I109" s="146">
        <f t="shared" si="63"/>
        <v>2087.77</v>
      </c>
      <c r="J109" s="147"/>
      <c r="K109" s="147"/>
      <c r="L109" s="135"/>
      <c r="M109" s="146"/>
      <c r="N109" s="146"/>
      <c r="O109" s="146"/>
      <c r="P109" s="146"/>
      <c r="Q109" s="146"/>
      <c r="R109" s="146">
        <v>0</v>
      </c>
      <c r="S109" s="146">
        <v>0</v>
      </c>
      <c r="T109" s="146"/>
      <c r="U109" s="148"/>
      <c r="V109" s="135"/>
      <c r="W109" s="148"/>
      <c r="X109" s="149">
        <f t="shared" si="49"/>
        <v>2087.77</v>
      </c>
      <c r="Y109" s="148"/>
      <c r="Z109" s="149">
        <f t="shared" si="50"/>
        <v>0</v>
      </c>
      <c r="AA109" s="148"/>
      <c r="AB109" s="149"/>
      <c r="AC109" s="149"/>
      <c r="AD109" s="140"/>
      <c r="AE109" s="140"/>
      <c r="AF109" s="140"/>
      <c r="AG109" s="140"/>
    </row>
    <row r="110" spans="1:33" s="136" customFormat="1" ht="30" customHeight="1" x14ac:dyDescent="0.5">
      <c r="A110" s="136" t="s">
        <v>448</v>
      </c>
      <c r="B110" s="146">
        <f>'CNT (from FS Analysis)'!N253</f>
        <v>7848.21</v>
      </c>
      <c r="C110" s="146">
        <v>0</v>
      </c>
      <c r="D110" s="146">
        <v>0</v>
      </c>
      <c r="E110" s="146">
        <v>0</v>
      </c>
      <c r="F110" s="146">
        <v>0</v>
      </c>
      <c r="G110" s="146">
        <v>0</v>
      </c>
      <c r="H110" s="146">
        <v>0</v>
      </c>
      <c r="I110" s="146">
        <f t="shared" si="63"/>
        <v>7848.21</v>
      </c>
      <c r="J110" s="147"/>
      <c r="K110" s="147"/>
      <c r="L110" s="135"/>
      <c r="M110" s="146"/>
      <c r="N110" s="146"/>
      <c r="O110" s="146"/>
      <c r="P110" s="146"/>
      <c r="Q110" s="146"/>
      <c r="R110" s="146">
        <v>0</v>
      </c>
      <c r="S110" s="146">
        <v>0</v>
      </c>
      <c r="T110" s="146"/>
      <c r="U110" s="148"/>
      <c r="V110" s="135"/>
      <c r="W110" s="148"/>
      <c r="X110" s="149">
        <f t="shared" si="49"/>
        <v>7848.21</v>
      </c>
      <c r="Y110" s="148"/>
      <c r="Z110" s="149">
        <f t="shared" si="50"/>
        <v>0</v>
      </c>
      <c r="AA110" s="148"/>
      <c r="AB110" s="149"/>
      <c r="AC110" s="149"/>
      <c r="AD110" s="140"/>
      <c r="AE110" s="140"/>
      <c r="AF110" s="140"/>
      <c r="AG110" s="140"/>
    </row>
    <row r="111" spans="1:33" s="136" customFormat="1" ht="30" customHeight="1" x14ac:dyDescent="0.5">
      <c r="A111" s="144" t="s">
        <v>470</v>
      </c>
      <c r="B111" s="151">
        <f>SUM(B101:B110)</f>
        <v>384349.44</v>
      </c>
      <c r="C111" s="151">
        <f t="shared" ref="C111:H111" si="67">SUM(C101:C110)</f>
        <v>-198648.07</v>
      </c>
      <c r="D111" s="151">
        <f t="shared" si="67"/>
        <v>75291.05</v>
      </c>
      <c r="E111" s="151">
        <f t="shared" si="67"/>
        <v>12877.97</v>
      </c>
      <c r="F111" s="151">
        <f>SUM(F101:F110)</f>
        <v>-17738.39</v>
      </c>
      <c r="G111" s="151">
        <f t="shared" ref="G111" si="68">SUM(G101:G110)</f>
        <v>102474.28</v>
      </c>
      <c r="H111" s="151">
        <f t="shared" si="67"/>
        <v>0</v>
      </c>
      <c r="I111" s="151">
        <f t="shared" si="63"/>
        <v>358606.27999999991</v>
      </c>
      <c r="J111" s="165">
        <f>SUM(I101:I110)-I111</f>
        <v>0</v>
      </c>
      <c r="K111" s="147"/>
      <c r="L111" s="145" t="s">
        <v>307</v>
      </c>
      <c r="M111" s="151">
        <f>SUM(M101:M108)</f>
        <v>148085.96000000002</v>
      </c>
      <c r="N111" s="151">
        <f>SUM(N101:N108)</f>
        <v>-171710</v>
      </c>
      <c r="O111" s="151">
        <f>SUM(O101:O108)</f>
        <v>0</v>
      </c>
      <c r="P111" s="151">
        <f>SUM(P101:P108)</f>
        <v>49469.36</v>
      </c>
      <c r="Q111" s="151">
        <f>SUM(Q101:Q108)</f>
        <v>-47418.79</v>
      </c>
      <c r="R111" s="151">
        <f>SUM(R101:R110)</f>
        <v>227928.66</v>
      </c>
      <c r="S111" s="151">
        <f>SUM(S101:S110)</f>
        <v>100000</v>
      </c>
      <c r="T111" s="151">
        <f>SUM(M111:S111)</f>
        <v>306355.19000000006</v>
      </c>
      <c r="U111" s="161">
        <f>SUM(T101:T110)-T111</f>
        <v>0</v>
      </c>
      <c r="V111" s="145" t="s">
        <v>307</v>
      </c>
      <c r="W111" s="148"/>
      <c r="X111" s="156">
        <f t="shared" si="49"/>
        <v>358606.27999999991</v>
      </c>
      <c r="Y111" s="148"/>
      <c r="Z111" s="156">
        <f t="shared" si="50"/>
        <v>306355.19000000006</v>
      </c>
      <c r="AA111" s="148"/>
      <c r="AB111" s="156">
        <f>I111-T111</f>
        <v>52251.089999999851</v>
      </c>
      <c r="AC111" s="156"/>
      <c r="AD111" s="140"/>
      <c r="AE111" s="140"/>
      <c r="AF111" s="140"/>
      <c r="AG111" s="140"/>
    </row>
    <row r="112" spans="1:33" s="136" customFormat="1" ht="30" customHeight="1" x14ac:dyDescent="0.5">
      <c r="A112" s="144"/>
      <c r="B112" s="146"/>
      <c r="C112" s="146"/>
      <c r="D112" s="146"/>
      <c r="E112" s="146"/>
      <c r="F112" s="146"/>
      <c r="G112" s="146"/>
      <c r="H112" s="146"/>
      <c r="I112" s="146">
        <f t="shared" si="63"/>
        <v>0</v>
      </c>
      <c r="J112" s="147"/>
      <c r="K112" s="147"/>
      <c r="L112" s="145"/>
      <c r="M112" s="146"/>
      <c r="N112" s="146"/>
      <c r="O112" s="146"/>
      <c r="P112" s="146"/>
      <c r="Q112" s="146"/>
      <c r="R112" s="146"/>
      <c r="S112" s="146"/>
      <c r="T112" s="146">
        <f t="shared" si="66"/>
        <v>0</v>
      </c>
      <c r="U112" s="148"/>
      <c r="V112" s="145"/>
      <c r="W112" s="148"/>
      <c r="X112" s="149"/>
      <c r="Y112" s="148"/>
      <c r="Z112" s="149">
        <f t="shared" si="50"/>
        <v>0</v>
      </c>
      <c r="AA112" s="148"/>
      <c r="AB112" s="149"/>
      <c r="AC112" s="149"/>
      <c r="AD112" s="140"/>
      <c r="AE112" s="140"/>
      <c r="AF112" s="140"/>
      <c r="AG112" s="140"/>
    </row>
    <row r="113" spans="1:33" s="136" customFormat="1" ht="30" customHeight="1" thickBot="1" x14ac:dyDescent="0.55000000000000004">
      <c r="A113" s="144" t="s">
        <v>300</v>
      </c>
      <c r="B113" s="166">
        <f t="shared" ref="B113:H113" si="69">B35-B98+B111</f>
        <v>44839.90999948472</v>
      </c>
      <c r="C113" s="166">
        <f t="shared" si="69"/>
        <v>169575.52999999595</v>
      </c>
      <c r="D113" s="166">
        <f t="shared" si="69"/>
        <v>300509.56000000023</v>
      </c>
      <c r="E113" s="166">
        <f t="shared" si="69"/>
        <v>10427.16</v>
      </c>
      <c r="F113" s="166">
        <f t="shared" si="69"/>
        <v>109237.00999999997</v>
      </c>
      <c r="G113" s="166">
        <f t="shared" ref="G113" si="70">G35-G98+G111</f>
        <v>54372.929999999993</v>
      </c>
      <c r="H113" s="166">
        <f t="shared" si="69"/>
        <v>-74416.709999999992</v>
      </c>
      <c r="I113" s="166">
        <f t="shared" si="63"/>
        <v>614545.38999948092</v>
      </c>
      <c r="J113" s="135"/>
      <c r="K113" s="135"/>
      <c r="L113" s="145" t="s">
        <v>300</v>
      </c>
      <c r="M113" s="166">
        <f t="shared" ref="M113:S113" si="71">M35-M98+M111</f>
        <v>-727860.44999983814</v>
      </c>
      <c r="N113" s="166">
        <f t="shared" si="71"/>
        <v>37424.235999999946</v>
      </c>
      <c r="O113" s="166">
        <f t="shared" si="71"/>
        <v>394479.25999999989</v>
      </c>
      <c r="P113" s="166">
        <f t="shared" si="71"/>
        <v>45875.8</v>
      </c>
      <c r="Q113" s="166">
        <f t="shared" si="71"/>
        <v>106117.28999999989</v>
      </c>
      <c r="R113" s="166">
        <f t="shared" ref="R113" si="72">R35-R98+R111</f>
        <v>180022.62</v>
      </c>
      <c r="S113" s="166">
        <f t="shared" si="71"/>
        <v>97074.28</v>
      </c>
      <c r="T113" s="166">
        <f t="shared" si="66"/>
        <v>133133.03600016155</v>
      </c>
      <c r="V113" s="145" t="s">
        <v>300</v>
      </c>
      <c r="X113" s="167">
        <f t="shared" si="49"/>
        <v>614545.38999948092</v>
      </c>
      <c r="Z113" s="167">
        <f t="shared" si="50"/>
        <v>133133.03600016155</v>
      </c>
      <c r="AB113" s="167">
        <f>I113-T113</f>
        <v>481412.35399931937</v>
      </c>
      <c r="AC113" s="168"/>
      <c r="AD113" s="140"/>
      <c r="AE113" s="140"/>
      <c r="AF113" s="140"/>
      <c r="AG113" s="140"/>
    </row>
    <row r="114" spans="1:33" ht="30" customHeight="1" thickTop="1" x14ac:dyDescent="0.25">
      <c r="B114" s="132"/>
      <c r="C114" s="132"/>
      <c r="D114" s="132"/>
      <c r="E114" s="132"/>
      <c r="F114" s="132"/>
      <c r="G114" s="132"/>
      <c r="H114" s="132"/>
      <c r="I114" s="132"/>
      <c r="AE114" s="122"/>
      <c r="AG114" s="122"/>
    </row>
    <row r="115" spans="1:33" ht="30" customHeight="1" x14ac:dyDescent="0.25">
      <c r="AE115" s="122"/>
      <c r="AG115" s="122"/>
    </row>
    <row r="116" spans="1:33" s="136" customFormat="1" ht="30" customHeight="1" x14ac:dyDescent="0.5">
      <c r="A116" s="136" t="s">
        <v>368</v>
      </c>
      <c r="B116" s="146">
        <v>44839.91</v>
      </c>
      <c r="C116" s="146">
        <v>169575.53</v>
      </c>
      <c r="D116" s="146">
        <v>300509.56</v>
      </c>
      <c r="E116" s="146">
        <v>10427.16</v>
      </c>
      <c r="F116" s="146">
        <v>109237.01</v>
      </c>
      <c r="G116" s="146">
        <v>54372.93</v>
      </c>
      <c r="H116" s="146">
        <v>-74416.710000000006</v>
      </c>
      <c r="I116" s="146">
        <f>SUM(B116:H116)</f>
        <v>614545.39000000013</v>
      </c>
      <c r="J116" s="147"/>
      <c r="K116" s="147"/>
      <c r="L116" s="135"/>
      <c r="M116" s="146">
        <v>-727860.45</v>
      </c>
      <c r="N116" s="146">
        <v>37424.239999999998</v>
      </c>
      <c r="O116" s="146">
        <v>394479.26</v>
      </c>
      <c r="P116" s="146">
        <v>45875.8</v>
      </c>
      <c r="Q116" s="146">
        <v>106117.29</v>
      </c>
      <c r="R116" s="146">
        <v>180022.62</v>
      </c>
      <c r="S116" s="146">
        <v>97074.28</v>
      </c>
      <c r="T116" s="146">
        <f>SUM(M116:S116)</f>
        <v>133133.04</v>
      </c>
      <c r="U116" s="148"/>
      <c r="V116" s="135"/>
      <c r="W116" s="148"/>
      <c r="X116" s="149"/>
      <c r="Y116" s="148"/>
      <c r="Z116" s="149"/>
      <c r="AA116" s="148"/>
      <c r="AB116" s="149"/>
      <c r="AC116" s="149"/>
      <c r="AD116" s="140"/>
      <c r="AE116" s="140"/>
      <c r="AF116" s="140"/>
      <c r="AG116" s="140"/>
    </row>
    <row r="117" spans="1:33" s="136" customFormat="1" ht="30" customHeight="1" x14ac:dyDescent="0.5">
      <c r="B117" s="146">
        <f t="shared" ref="B117:D117" si="73">B113-B116</f>
        <v>-5.1528331823647022E-7</v>
      </c>
      <c r="C117" s="146">
        <f t="shared" si="73"/>
        <v>-4.0454324334859848E-9</v>
      </c>
      <c r="D117" s="146">
        <f t="shared" si="73"/>
        <v>0</v>
      </c>
      <c r="E117" s="146">
        <f>E113-E116</f>
        <v>0</v>
      </c>
      <c r="F117" s="146">
        <f>F113-F116</f>
        <v>0</v>
      </c>
      <c r="G117" s="146">
        <f>G113-G116</f>
        <v>0</v>
      </c>
      <c r="H117" s="146">
        <f>H113-H116</f>
        <v>0</v>
      </c>
      <c r="I117" s="146">
        <f>I113-I116</f>
        <v>-5.1921233534812927E-7</v>
      </c>
      <c r="J117" s="147"/>
      <c r="K117" s="147"/>
      <c r="L117" s="135"/>
      <c r="M117" s="146">
        <f>M113-M116</f>
        <v>1.6181729733943939E-7</v>
      </c>
      <c r="N117" s="146">
        <f t="shared" ref="N117:S117" si="74">N113-N116</f>
        <v>-4.0000000517466106E-3</v>
      </c>
      <c r="O117" s="146">
        <f t="shared" si="74"/>
        <v>0</v>
      </c>
      <c r="P117" s="146">
        <f t="shared" si="74"/>
        <v>0</v>
      </c>
      <c r="Q117" s="146">
        <f t="shared" ref="Q117:R117" si="75">Q113-Q116</f>
        <v>0</v>
      </c>
      <c r="R117" s="146">
        <f t="shared" si="75"/>
        <v>0</v>
      </c>
      <c r="S117" s="146">
        <f t="shared" si="74"/>
        <v>0</v>
      </c>
      <c r="T117" s="146">
        <f>T113-T116</f>
        <v>-3.9998384600039572E-3</v>
      </c>
      <c r="U117" s="148"/>
      <c r="V117" s="135"/>
      <c r="W117" s="148"/>
      <c r="X117" s="149"/>
      <c r="Y117" s="148"/>
      <c r="Z117" s="149"/>
      <c r="AA117" s="148"/>
      <c r="AB117" s="149"/>
      <c r="AC117" s="149"/>
      <c r="AD117" s="140"/>
      <c r="AE117" s="140"/>
      <c r="AF117" s="140"/>
      <c r="AG117" s="140"/>
    </row>
    <row r="118" spans="1:33" s="136" customFormat="1" ht="30" customHeight="1" x14ac:dyDescent="0.5">
      <c r="B118" s="146"/>
      <c r="C118" s="146"/>
      <c r="D118" s="146"/>
      <c r="E118" s="146"/>
      <c r="F118" s="146"/>
      <c r="G118" s="146"/>
      <c r="H118" s="146"/>
      <c r="I118" s="146">
        <f>I35-I49-I74-I96+I111-I113</f>
        <v>0</v>
      </c>
      <c r="J118" s="147"/>
      <c r="K118" s="147"/>
      <c r="L118" s="135"/>
      <c r="M118" s="146"/>
      <c r="N118" s="146"/>
      <c r="O118" s="146"/>
      <c r="P118" s="146"/>
      <c r="Q118" s="146"/>
      <c r="R118" s="146"/>
      <c r="S118" s="146"/>
      <c r="T118" s="146">
        <f>T35-T49-T74-T96+T111-T113</f>
        <v>0</v>
      </c>
      <c r="U118" s="148"/>
      <c r="V118" s="135"/>
      <c r="W118" s="148"/>
      <c r="X118" s="149"/>
      <c r="Y118" s="148"/>
      <c r="Z118" s="149"/>
      <c r="AA118" s="148"/>
      <c r="AB118" s="149"/>
      <c r="AC118" s="149"/>
      <c r="AD118" s="140"/>
      <c r="AE118" s="140"/>
      <c r="AF118" s="140"/>
      <c r="AG118" s="140"/>
    </row>
    <row r="119" spans="1:33" x14ac:dyDescent="0.25">
      <c r="B119" s="130"/>
      <c r="C119" s="130"/>
      <c r="D119" s="130"/>
      <c r="E119" s="130"/>
    </row>
    <row r="120" spans="1:33" x14ac:dyDescent="0.25">
      <c r="B120" s="130"/>
      <c r="C120" s="130"/>
      <c r="D120" s="130"/>
      <c r="E120" s="130"/>
    </row>
    <row r="121" spans="1:33" x14ac:dyDescent="0.25">
      <c r="B121" s="130"/>
      <c r="C121" s="130"/>
      <c r="D121" s="130"/>
      <c r="E121" s="130"/>
    </row>
    <row r="122" spans="1:33" x14ac:dyDescent="0.25">
      <c r="B122" s="130"/>
      <c r="C122" s="130"/>
      <c r="D122" s="130"/>
      <c r="E122" s="130"/>
    </row>
    <row r="123" spans="1:33" x14ac:dyDescent="0.25">
      <c r="B123" s="130"/>
      <c r="C123" s="130"/>
      <c r="D123" s="130"/>
      <c r="E123" s="130"/>
    </row>
  </sheetData>
  <mergeCells count="11"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  <mergeCell ref="V5:AF8"/>
  </mergeCells>
  <pageMargins left="0.7" right="0.7" top="0.75" bottom="0.75" header="0.3" footer="0.3"/>
  <pageSetup scale="31" orientation="portrait" r:id="rId1"/>
  <headerFooter>
    <oddFooter>Page &amp;P of &amp;N</oddFooter>
  </headerFooter>
  <rowBreaks count="1" manualBreakCount="1">
    <brk id="75" max="27" man="1"/>
  </rowBreaks>
  <colBreaks count="2" manualBreakCount="2">
    <brk id="10" max="1048575" man="1"/>
    <brk id="21" min="4" max="1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FE10-3A3E-4E73-8B67-891144E6D411}">
  <sheetPr>
    <tabColor theme="9" tint="0.79998168889431442"/>
  </sheetPr>
  <dimension ref="A1:H74"/>
  <sheetViews>
    <sheetView zoomScaleNormal="100" workbookViewId="0">
      <pane ySplit="6" topLeftCell="A46" activePane="bottomLeft" state="frozen"/>
      <selection pane="bottomLeft" activeCell="F75" sqref="F75"/>
    </sheetView>
  </sheetViews>
  <sheetFormatPr defaultRowHeight="15" x14ac:dyDescent="0.25"/>
  <cols>
    <col min="1" max="1" width="44.42578125" bestFit="1" customWidth="1"/>
    <col min="2" max="3" width="13" style="91" bestFit="1" customWidth="1"/>
    <col min="4" max="4" width="13.42578125" style="91" bestFit="1" customWidth="1"/>
    <col min="5" max="6" width="13" style="91" bestFit="1" customWidth="1"/>
    <col min="7" max="7" width="13.42578125" style="91" bestFit="1" customWidth="1"/>
    <col min="8" max="8" width="8.85546875" style="91"/>
  </cols>
  <sheetData>
    <row r="1" spans="1:7" x14ac:dyDescent="0.25">
      <c r="A1" s="214" t="s">
        <v>309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7" spans="1:7" x14ac:dyDescent="0.25">
      <c r="A7" s="66" t="s">
        <v>63</v>
      </c>
    </row>
    <row r="8" spans="1:7" x14ac:dyDescent="0.25">
      <c r="A8" t="s">
        <v>311</v>
      </c>
      <c r="B8" s="91">
        <v>1007.48</v>
      </c>
      <c r="C8" s="91">
        <v>2880.98</v>
      </c>
      <c r="D8" s="91">
        <v>11848.57</v>
      </c>
      <c r="E8" s="91">
        <v>8277.67</v>
      </c>
      <c r="F8" s="91">
        <v>59.53</v>
      </c>
      <c r="G8" s="91">
        <f>SUM(B8:F8)</f>
        <v>24074.229999999996</v>
      </c>
    </row>
    <row r="9" spans="1:7" x14ac:dyDescent="0.25">
      <c r="A9" t="s">
        <v>312</v>
      </c>
      <c r="B9" s="91">
        <v>1315</v>
      </c>
      <c r="C9" s="91">
        <v>690</v>
      </c>
      <c r="D9" s="91">
        <v>380</v>
      </c>
      <c r="E9" s="91">
        <v>0</v>
      </c>
      <c r="F9" s="91">
        <v>0</v>
      </c>
      <c r="G9" s="91">
        <f t="shared" ref="G9:G14" si="0">SUM(B9:F9)</f>
        <v>2385</v>
      </c>
    </row>
    <row r="10" spans="1:7" x14ac:dyDescent="0.25">
      <c r="A10" t="s">
        <v>370</v>
      </c>
      <c r="B10" s="91">
        <v>150</v>
      </c>
      <c r="C10" s="91">
        <v>100</v>
      </c>
      <c r="D10" s="91">
        <v>150</v>
      </c>
      <c r="E10" s="91">
        <v>0</v>
      </c>
      <c r="F10" s="91">
        <v>100</v>
      </c>
      <c r="G10" s="91">
        <f t="shared" si="0"/>
        <v>500</v>
      </c>
    </row>
    <row r="11" spans="1:7" x14ac:dyDescent="0.25">
      <c r="A11" t="s">
        <v>313</v>
      </c>
      <c r="B11" s="91">
        <v>39424.43</v>
      </c>
      <c r="C11" s="91">
        <v>30082.99</v>
      </c>
      <c r="D11" s="91">
        <v>37907.64</v>
      </c>
      <c r="E11" s="91">
        <v>44830.54</v>
      </c>
      <c r="F11" s="91">
        <v>40289.01</v>
      </c>
      <c r="G11" s="91">
        <f t="shared" si="0"/>
        <v>192534.61000000002</v>
      </c>
    </row>
    <row r="12" spans="1:7" x14ac:dyDescent="0.25">
      <c r="A12" t="s">
        <v>314</v>
      </c>
      <c r="B12" s="91">
        <v>74672.5</v>
      </c>
      <c r="C12" s="91">
        <v>77307.5</v>
      </c>
      <c r="D12" s="91">
        <v>85637.5</v>
      </c>
      <c r="E12" s="91">
        <v>107355</v>
      </c>
      <c r="F12" s="91">
        <v>119340</v>
      </c>
      <c r="G12" s="91">
        <f t="shared" si="0"/>
        <v>464312.5</v>
      </c>
    </row>
    <row r="13" spans="1:7" x14ac:dyDescent="0.25">
      <c r="A13" t="s">
        <v>342</v>
      </c>
      <c r="B13" s="91">
        <v>29225</v>
      </c>
      <c r="C13" s="91">
        <v>0</v>
      </c>
      <c r="D13" s="91">
        <v>67262</v>
      </c>
      <c r="E13" s="91">
        <v>0</v>
      </c>
      <c r="F13" s="91">
        <v>109042</v>
      </c>
      <c r="G13" s="91">
        <f t="shared" si="0"/>
        <v>205529</v>
      </c>
    </row>
    <row r="14" spans="1:7" x14ac:dyDescent="0.25">
      <c r="A14" t="s">
        <v>315</v>
      </c>
      <c r="B14" s="91">
        <v>3474</v>
      </c>
      <c r="C14" s="91">
        <v>3440.25</v>
      </c>
      <c r="D14" s="91">
        <v>3440.25</v>
      </c>
      <c r="E14" s="91">
        <v>5316.75</v>
      </c>
      <c r="F14" s="91">
        <v>5316.75</v>
      </c>
      <c r="G14" s="91">
        <f t="shared" si="0"/>
        <v>20988</v>
      </c>
    </row>
    <row r="15" spans="1:7" x14ac:dyDescent="0.25">
      <c r="A15" s="66" t="s">
        <v>255</v>
      </c>
      <c r="B15" s="123">
        <f t="shared" ref="B15:G15" si="1">SUM(B8:B14)</f>
        <v>149268.41</v>
      </c>
      <c r="C15" s="123">
        <f t="shared" si="1"/>
        <v>114501.72</v>
      </c>
      <c r="D15" s="123">
        <f t="shared" si="1"/>
        <v>206625.96</v>
      </c>
      <c r="E15" s="123">
        <f t="shared" si="1"/>
        <v>165779.96</v>
      </c>
      <c r="F15" s="123">
        <f t="shared" si="1"/>
        <v>274147.29000000004</v>
      </c>
      <c r="G15" s="123">
        <f t="shared" si="1"/>
        <v>910323.34000000008</v>
      </c>
    </row>
    <row r="17" spans="1:7" x14ac:dyDescent="0.25">
      <c r="A17" s="66" t="s">
        <v>316</v>
      </c>
      <c r="G17" s="91">
        <f t="shared" ref="G17:G68" si="2">SUM(B17:F17)</f>
        <v>0</v>
      </c>
    </row>
    <row r="18" spans="1:7" x14ac:dyDescent="0.25">
      <c r="A18" t="s">
        <v>318</v>
      </c>
      <c r="B18" s="91">
        <v>1052.68</v>
      </c>
      <c r="C18" s="91">
        <v>7138.13</v>
      </c>
      <c r="D18" s="91">
        <v>9184.15</v>
      </c>
      <c r="E18" s="91">
        <v>19400.439999999999</v>
      </c>
      <c r="F18" s="91">
        <v>36.549999999999997</v>
      </c>
      <c r="G18" s="91">
        <f t="shared" si="2"/>
        <v>36811.949999999997</v>
      </c>
    </row>
    <row r="19" spans="1:7" x14ac:dyDescent="0.25">
      <c r="A19" t="s">
        <v>317</v>
      </c>
      <c r="B19" s="91">
        <v>45325</v>
      </c>
      <c r="C19" s="91">
        <v>0</v>
      </c>
      <c r="D19" s="91">
        <v>11772.5</v>
      </c>
      <c r="E19" s="91">
        <v>11772.5</v>
      </c>
      <c r="F19" s="91">
        <v>0</v>
      </c>
      <c r="G19" s="91">
        <f t="shared" si="2"/>
        <v>68870</v>
      </c>
    </row>
    <row r="20" spans="1:7" x14ac:dyDescent="0.25">
      <c r="A20" s="66" t="s">
        <v>319</v>
      </c>
      <c r="B20" s="123">
        <f>SUM(B18:B19)</f>
        <v>46377.68</v>
      </c>
      <c r="C20" s="123">
        <f t="shared" ref="C20:G20" si="3">SUM(C18:C19)</f>
        <v>7138.13</v>
      </c>
      <c r="D20" s="123">
        <f t="shared" si="3"/>
        <v>20956.650000000001</v>
      </c>
      <c r="E20" s="123">
        <f t="shared" ref="E20" si="4">SUM(E18:E19)</f>
        <v>31172.94</v>
      </c>
      <c r="F20" s="123">
        <f t="shared" si="3"/>
        <v>36.549999999999997</v>
      </c>
      <c r="G20" s="123">
        <f t="shared" si="3"/>
        <v>105681.95</v>
      </c>
    </row>
    <row r="22" spans="1:7" ht="15.75" thickBot="1" x14ac:dyDescent="0.3">
      <c r="A22" s="66" t="s">
        <v>242</v>
      </c>
      <c r="B22" s="124">
        <f>B15-B20</f>
        <v>102890.73000000001</v>
      </c>
      <c r="C22" s="124">
        <f t="shared" ref="C22:G22" si="5">C15-C20</f>
        <v>107363.59</v>
      </c>
      <c r="D22" s="124">
        <f t="shared" si="5"/>
        <v>185669.31</v>
      </c>
      <c r="E22" s="124">
        <f t="shared" ref="E22" si="6">E15-E20</f>
        <v>134607.01999999999</v>
      </c>
      <c r="F22" s="124">
        <f t="shared" si="5"/>
        <v>274110.74000000005</v>
      </c>
      <c r="G22" s="124">
        <f t="shared" si="5"/>
        <v>804641.39000000013</v>
      </c>
    </row>
    <row r="24" spans="1:7" x14ac:dyDescent="0.25">
      <c r="A24" s="66" t="s">
        <v>240</v>
      </c>
    </row>
    <row r="25" spans="1:7" x14ac:dyDescent="0.25">
      <c r="A25" t="s">
        <v>257</v>
      </c>
      <c r="G25" s="91">
        <f t="shared" si="2"/>
        <v>0</v>
      </c>
    </row>
    <row r="26" spans="1:7" x14ac:dyDescent="0.25">
      <c r="A26" t="s">
        <v>320</v>
      </c>
      <c r="B26" s="91">
        <v>8738.67</v>
      </c>
      <c r="C26" s="91">
        <v>7542.86</v>
      </c>
      <c r="D26" s="91">
        <v>8498.8799999999992</v>
      </c>
      <c r="E26" s="91">
        <v>8584.34</v>
      </c>
      <c r="F26" s="91">
        <v>9426.1</v>
      </c>
      <c r="G26" s="91">
        <f t="shared" si="2"/>
        <v>42790.85</v>
      </c>
    </row>
    <row r="27" spans="1:7" x14ac:dyDescent="0.25">
      <c r="A27" t="s">
        <v>321</v>
      </c>
      <c r="B27" s="91">
        <v>1485.28</v>
      </c>
      <c r="C27" s="91">
        <v>1185.3900000000001</v>
      </c>
      <c r="D27" s="91">
        <v>1307.2</v>
      </c>
      <c r="E27" s="91">
        <v>729.18</v>
      </c>
      <c r="F27" s="91">
        <v>687.56</v>
      </c>
      <c r="G27" s="91">
        <f t="shared" si="2"/>
        <v>5394.6100000000006</v>
      </c>
    </row>
    <row r="28" spans="1:7" x14ac:dyDescent="0.25">
      <c r="A28" t="s">
        <v>322</v>
      </c>
      <c r="B28" s="91">
        <v>3064.68</v>
      </c>
      <c r="C28" s="91">
        <v>3064.68</v>
      </c>
      <c r="D28" s="91">
        <v>3580.55</v>
      </c>
      <c r="E28" s="91">
        <v>3064.68</v>
      </c>
      <c r="F28" s="91">
        <v>3064.68</v>
      </c>
      <c r="G28" s="91">
        <f t="shared" si="2"/>
        <v>15839.27</v>
      </c>
    </row>
    <row r="29" spans="1:7" x14ac:dyDescent="0.25">
      <c r="A29" t="s">
        <v>323</v>
      </c>
      <c r="B29" s="91">
        <v>216.98</v>
      </c>
      <c r="C29" s="91">
        <v>216.98</v>
      </c>
      <c r="D29" s="91">
        <v>216.98</v>
      </c>
      <c r="E29" s="91">
        <v>216.98</v>
      </c>
      <c r="F29" s="91">
        <v>216.98</v>
      </c>
      <c r="G29" s="91">
        <f t="shared" si="2"/>
        <v>1084.8999999999999</v>
      </c>
    </row>
    <row r="30" spans="1:7" x14ac:dyDescent="0.25">
      <c r="A30" t="s">
        <v>369</v>
      </c>
      <c r="B30" s="91">
        <v>400</v>
      </c>
      <c r="C30" s="91">
        <v>400</v>
      </c>
      <c r="D30" s="91">
        <v>400</v>
      </c>
      <c r="E30" s="91">
        <v>400</v>
      </c>
      <c r="F30" s="91">
        <v>400</v>
      </c>
      <c r="G30" s="91">
        <f t="shared" si="2"/>
        <v>2000</v>
      </c>
    </row>
    <row r="31" spans="1:7" x14ac:dyDescent="0.25">
      <c r="A31" t="s">
        <v>324</v>
      </c>
      <c r="B31" s="91">
        <v>64.989999999999995</v>
      </c>
      <c r="C31" s="91">
        <v>64.989999999999995</v>
      </c>
      <c r="D31" s="91">
        <v>64.989999999999995</v>
      </c>
      <c r="E31" s="91">
        <v>419.95</v>
      </c>
      <c r="F31" s="91">
        <v>65.09</v>
      </c>
      <c r="G31" s="91">
        <f t="shared" si="2"/>
        <v>680.01</v>
      </c>
    </row>
    <row r="32" spans="1:7" x14ac:dyDescent="0.25">
      <c r="A32" s="66" t="s">
        <v>265</v>
      </c>
      <c r="B32" s="123">
        <f>SUM(B26:B31)</f>
        <v>13970.6</v>
      </c>
      <c r="C32" s="123">
        <f t="shared" ref="C32:G32" si="7">SUM(C26:C31)</f>
        <v>12474.9</v>
      </c>
      <c r="D32" s="123">
        <f t="shared" si="7"/>
        <v>14068.6</v>
      </c>
      <c r="E32" s="123">
        <f t="shared" ref="E32" si="8">SUM(E26:E31)</f>
        <v>13415.130000000001</v>
      </c>
      <c r="F32" s="123">
        <f t="shared" si="7"/>
        <v>13860.41</v>
      </c>
      <c r="G32" s="123">
        <f t="shared" si="7"/>
        <v>67789.64</v>
      </c>
    </row>
    <row r="33" spans="1:7" x14ac:dyDescent="0.25">
      <c r="A33" t="s">
        <v>62</v>
      </c>
    </row>
    <row r="34" spans="1:7" x14ac:dyDescent="0.25">
      <c r="A34" s="66" t="s">
        <v>325</v>
      </c>
    </row>
    <row r="35" spans="1:7" x14ac:dyDescent="0.25">
      <c r="A35" t="s">
        <v>267</v>
      </c>
      <c r="B35" s="91">
        <f>25000+12500</f>
        <v>37500</v>
      </c>
      <c r="C35" s="91">
        <f>25000+12500</f>
        <v>37500</v>
      </c>
      <c r="D35" s="91">
        <f>25000+12500</f>
        <v>37500</v>
      </c>
      <c r="E35" s="91">
        <f>25000+12500</f>
        <v>37500</v>
      </c>
      <c r="F35" s="91">
        <f>25000+12500</f>
        <v>37500</v>
      </c>
      <c r="G35" s="91">
        <f t="shared" si="2"/>
        <v>187500</v>
      </c>
    </row>
    <row r="36" spans="1:7" x14ac:dyDescent="0.25">
      <c r="A36" t="s">
        <v>326</v>
      </c>
      <c r="B36" s="91">
        <v>8518.2800000000007</v>
      </c>
      <c r="C36" s="91">
        <v>5856.39</v>
      </c>
      <c r="D36" s="91">
        <v>8346.2199999999993</v>
      </c>
      <c r="E36" s="91">
        <v>4857.8599999999997</v>
      </c>
      <c r="F36" s="91">
        <f>5661.41+210.04</f>
        <v>5871.45</v>
      </c>
      <c r="G36" s="91">
        <f t="shared" si="2"/>
        <v>33450.199999999997</v>
      </c>
    </row>
    <row r="37" spans="1:7" x14ac:dyDescent="0.25">
      <c r="A37" t="s">
        <v>327</v>
      </c>
      <c r="B37" s="91">
        <v>150</v>
      </c>
      <c r="C37" s="91">
        <v>150</v>
      </c>
      <c r="D37" s="91">
        <v>150</v>
      </c>
      <c r="E37" s="91">
        <v>150</v>
      </c>
      <c r="F37" s="91">
        <v>150</v>
      </c>
      <c r="G37" s="91">
        <f t="shared" si="2"/>
        <v>750</v>
      </c>
    </row>
    <row r="38" spans="1:7" x14ac:dyDescent="0.25">
      <c r="A38" t="s">
        <v>270</v>
      </c>
      <c r="B38" s="91">
        <v>3575</v>
      </c>
      <c r="C38" s="91">
        <v>0</v>
      </c>
      <c r="D38" s="91">
        <v>1210</v>
      </c>
      <c r="E38" s="91">
        <v>1875</v>
      </c>
      <c r="F38" s="91">
        <v>0</v>
      </c>
      <c r="G38" s="91">
        <f t="shared" si="2"/>
        <v>6660</v>
      </c>
    </row>
    <row r="39" spans="1:7" x14ac:dyDescent="0.25">
      <c r="A39" t="s">
        <v>328</v>
      </c>
      <c r="B39" s="91">
        <v>959.14</v>
      </c>
      <c r="C39" s="91">
        <v>519.59</v>
      </c>
      <c r="D39" s="91">
        <v>1411.26</v>
      </c>
      <c r="E39" s="91">
        <v>2829.73</v>
      </c>
      <c r="F39" s="91">
        <v>1685.25</v>
      </c>
      <c r="G39" s="91">
        <f t="shared" si="2"/>
        <v>7404.9699999999993</v>
      </c>
    </row>
    <row r="40" spans="1:7" x14ac:dyDescent="0.25">
      <c r="A40" t="s">
        <v>273</v>
      </c>
      <c r="B40" s="91">
        <v>5394.18</v>
      </c>
      <c r="C40" s="91">
        <v>5394.18</v>
      </c>
      <c r="D40" s="91">
        <v>5394.18</v>
      </c>
      <c r="E40" s="91">
        <v>5394.18</v>
      </c>
      <c r="F40" s="91">
        <v>5394.18</v>
      </c>
      <c r="G40" s="91">
        <f t="shared" si="2"/>
        <v>26970.9</v>
      </c>
    </row>
    <row r="41" spans="1:7" x14ac:dyDescent="0.25">
      <c r="A41" t="s">
        <v>274</v>
      </c>
      <c r="B41" s="91">
        <v>1568.56</v>
      </c>
      <c r="C41" s="91">
        <v>2423.8000000000002</v>
      </c>
      <c r="D41" s="91">
        <v>2122.8000000000002</v>
      </c>
      <c r="E41" s="91">
        <v>2200</v>
      </c>
      <c r="F41" s="91">
        <v>-1041.1199999999999</v>
      </c>
      <c r="G41" s="91">
        <f t="shared" si="2"/>
        <v>7274.04</v>
      </c>
    </row>
    <row r="42" spans="1:7" x14ac:dyDescent="0.25">
      <c r="A42" t="s">
        <v>272</v>
      </c>
      <c r="B42" s="91">
        <v>18020.830000000002</v>
      </c>
      <c r="C42" s="91">
        <v>18020.84</v>
      </c>
      <c r="D42" s="91">
        <v>18020.84</v>
      </c>
      <c r="E42" s="91">
        <v>18020.82</v>
      </c>
      <c r="F42" s="91">
        <v>18020.830000000002</v>
      </c>
      <c r="G42" s="91">
        <f t="shared" si="2"/>
        <v>90104.159999999989</v>
      </c>
    </row>
    <row r="43" spans="1:7" x14ac:dyDescent="0.25">
      <c r="A43" t="s">
        <v>275</v>
      </c>
      <c r="B43" s="91">
        <v>5.49</v>
      </c>
      <c r="C43" s="91">
        <v>0</v>
      </c>
      <c r="D43" s="91">
        <v>100.81</v>
      </c>
      <c r="E43" s="91">
        <v>0</v>
      </c>
      <c r="F43" s="91">
        <v>46.17</v>
      </c>
      <c r="G43" s="91">
        <f t="shared" si="2"/>
        <v>152.47</v>
      </c>
    </row>
    <row r="44" spans="1:7" x14ac:dyDescent="0.25">
      <c r="A44" t="s">
        <v>282</v>
      </c>
      <c r="B44" s="91">
        <v>7320.8</v>
      </c>
      <c r="C44" s="91">
        <v>7321.95</v>
      </c>
      <c r="D44" s="91">
        <v>6956.8</v>
      </c>
      <c r="E44" s="91">
        <v>7611.52</v>
      </c>
      <c r="F44" s="91">
        <v>7241.42</v>
      </c>
      <c r="G44" s="91">
        <f t="shared" si="2"/>
        <v>36452.49</v>
      </c>
    </row>
    <row r="45" spans="1:7" x14ac:dyDescent="0.25">
      <c r="A45" t="s">
        <v>276</v>
      </c>
      <c r="B45" s="91">
        <v>649.54999999999995</v>
      </c>
      <c r="C45" s="91">
        <v>160.78</v>
      </c>
      <c r="D45" s="91">
        <v>278.7</v>
      </c>
      <c r="E45" s="91">
        <v>536.80999999999995</v>
      </c>
      <c r="F45" s="91">
        <v>160.78</v>
      </c>
      <c r="G45" s="91">
        <f t="shared" si="2"/>
        <v>1786.62</v>
      </c>
    </row>
    <row r="46" spans="1:7" x14ac:dyDescent="0.25">
      <c r="A46" t="s">
        <v>329</v>
      </c>
      <c r="B46" s="91">
        <v>9962.11</v>
      </c>
      <c r="C46" s="91">
        <v>10391.68</v>
      </c>
      <c r="D46" s="91">
        <v>10391.68</v>
      </c>
      <c r="E46" s="91">
        <v>10391.68</v>
      </c>
      <c r="F46" s="91">
        <v>10581.56</v>
      </c>
      <c r="G46" s="91">
        <f t="shared" si="2"/>
        <v>51718.71</v>
      </c>
    </row>
    <row r="47" spans="1:7" x14ac:dyDescent="0.25">
      <c r="A47" t="s">
        <v>332</v>
      </c>
      <c r="B47" s="91">
        <v>1351.56</v>
      </c>
      <c r="C47" s="91">
        <v>1938.84</v>
      </c>
      <c r="D47" s="91">
        <v>1938.84</v>
      </c>
      <c r="E47" s="91">
        <v>1937.28</v>
      </c>
      <c r="F47" s="91">
        <v>1939.84</v>
      </c>
      <c r="G47" s="91">
        <f t="shared" si="2"/>
        <v>9106.3599999999988</v>
      </c>
    </row>
    <row r="48" spans="1:7" x14ac:dyDescent="0.25">
      <c r="A48" t="s">
        <v>296</v>
      </c>
      <c r="B48" s="91">
        <v>1018.09</v>
      </c>
      <c r="C48" s="91">
        <v>1018.09</v>
      </c>
      <c r="D48" s="91">
        <v>1018.09</v>
      </c>
      <c r="E48" s="91">
        <v>1049.5999999999999</v>
      </c>
      <c r="F48" s="91">
        <v>316.17</v>
      </c>
      <c r="G48" s="91">
        <f t="shared" ref="G48" si="9">SUM(B48:F48)</f>
        <v>4420.04</v>
      </c>
    </row>
    <row r="49" spans="1:7" x14ac:dyDescent="0.25">
      <c r="A49" t="s">
        <v>427</v>
      </c>
      <c r="B49" s="91">
        <v>0</v>
      </c>
      <c r="C49" s="91">
        <v>0</v>
      </c>
      <c r="D49" s="91">
        <v>0</v>
      </c>
      <c r="E49" s="91">
        <v>0</v>
      </c>
      <c r="F49" s="91">
        <v>920.12</v>
      </c>
      <c r="G49" s="91">
        <f t="shared" si="2"/>
        <v>920.12</v>
      </c>
    </row>
    <row r="50" spans="1:7" x14ac:dyDescent="0.25">
      <c r="A50" s="66" t="s">
        <v>371</v>
      </c>
      <c r="B50" s="123">
        <f t="shared" ref="B50:G50" si="10">SUM(B35:B49)</f>
        <v>95993.59</v>
      </c>
      <c r="C50" s="123">
        <f t="shared" si="10"/>
        <v>90696.139999999985</v>
      </c>
      <c r="D50" s="123">
        <f t="shared" si="10"/>
        <v>94840.22</v>
      </c>
      <c r="E50" s="123">
        <f t="shared" si="10"/>
        <v>94354.48000000001</v>
      </c>
      <c r="F50" s="123">
        <f t="shared" si="10"/>
        <v>88786.64999999998</v>
      </c>
      <c r="G50" s="123">
        <f t="shared" si="10"/>
        <v>464671.0799999999</v>
      </c>
    </row>
    <row r="52" spans="1:7" x14ac:dyDescent="0.25">
      <c r="A52" s="66" t="s">
        <v>330</v>
      </c>
    </row>
    <row r="53" spans="1:7" x14ac:dyDescent="0.25">
      <c r="A53" t="s">
        <v>285</v>
      </c>
      <c r="B53" s="91">
        <v>231.6</v>
      </c>
      <c r="C53" s="91">
        <v>181.9</v>
      </c>
      <c r="D53" s="91">
        <v>151.94999999999999</v>
      </c>
      <c r="E53" s="91">
        <v>135.54</v>
      </c>
      <c r="F53" s="91">
        <v>147.36000000000001</v>
      </c>
      <c r="G53" s="91">
        <f t="shared" si="2"/>
        <v>848.35</v>
      </c>
    </row>
    <row r="54" spans="1:7" x14ac:dyDescent="0.25">
      <c r="A54" t="s">
        <v>286</v>
      </c>
      <c r="B54" s="91">
        <v>763.06</v>
      </c>
      <c r="C54" s="91">
        <v>700.02</v>
      </c>
      <c r="D54" s="91">
        <v>701.8</v>
      </c>
      <c r="E54" s="91">
        <v>709.3</v>
      </c>
      <c r="F54" s="91">
        <v>754.79</v>
      </c>
      <c r="G54" s="91">
        <f t="shared" si="2"/>
        <v>3628.9700000000003</v>
      </c>
    </row>
    <row r="55" spans="1:7" x14ac:dyDescent="0.25">
      <c r="A55" t="s">
        <v>331</v>
      </c>
      <c r="B55" s="91">
        <v>0</v>
      </c>
      <c r="C55" s="91">
        <v>0</v>
      </c>
      <c r="D55" s="91">
        <v>0</v>
      </c>
      <c r="E55" s="91">
        <v>300</v>
      </c>
      <c r="F55" s="91">
        <v>0</v>
      </c>
      <c r="G55" s="91">
        <f t="shared" si="2"/>
        <v>300</v>
      </c>
    </row>
    <row r="56" spans="1:7" x14ac:dyDescent="0.25">
      <c r="A56" t="s">
        <v>343</v>
      </c>
      <c r="B56" s="91">
        <v>0</v>
      </c>
      <c r="C56" s="91">
        <v>1250</v>
      </c>
      <c r="D56" s="91">
        <v>0</v>
      </c>
      <c r="E56" s="91">
        <v>0</v>
      </c>
      <c r="F56" s="91">
        <v>0</v>
      </c>
      <c r="G56" s="91">
        <f t="shared" si="2"/>
        <v>1250</v>
      </c>
    </row>
    <row r="57" spans="1:7" x14ac:dyDescent="0.25">
      <c r="A57" t="s">
        <v>428</v>
      </c>
      <c r="B57" s="91">
        <v>5000</v>
      </c>
      <c r="C57" s="91">
        <v>5000</v>
      </c>
      <c r="D57" s="91">
        <v>5000</v>
      </c>
      <c r="E57" s="91">
        <v>5000</v>
      </c>
      <c r="F57" s="91">
        <v>5000</v>
      </c>
      <c r="G57" s="91">
        <f t="shared" si="2"/>
        <v>25000</v>
      </c>
    </row>
    <row r="58" spans="1:7" x14ac:dyDescent="0.25">
      <c r="A58" t="s">
        <v>399</v>
      </c>
      <c r="B58" s="91">
        <v>2250</v>
      </c>
      <c r="C58" s="91">
        <v>2250</v>
      </c>
      <c r="D58" s="91">
        <v>2250</v>
      </c>
      <c r="E58" s="91">
        <v>2250</v>
      </c>
      <c r="F58" s="91">
        <v>2250</v>
      </c>
      <c r="G58" s="91">
        <f t="shared" ref="G58:G60" si="11">SUM(B58:F58)</f>
        <v>11250</v>
      </c>
    </row>
    <row r="59" spans="1:7" x14ac:dyDescent="0.25">
      <c r="A59" t="s">
        <v>429</v>
      </c>
      <c r="B59" s="91">
        <v>791.67</v>
      </c>
      <c r="C59" s="91">
        <v>791.67</v>
      </c>
      <c r="D59" s="91">
        <v>791.67</v>
      </c>
      <c r="E59" s="91">
        <v>791.67</v>
      </c>
      <c r="F59" s="91">
        <f>8791.67-8000.01</f>
        <v>791.65999999999985</v>
      </c>
      <c r="G59" s="91">
        <f t="shared" si="11"/>
        <v>3958.3399999999997</v>
      </c>
    </row>
    <row r="60" spans="1:7" x14ac:dyDescent="0.25">
      <c r="A60" t="s">
        <v>430</v>
      </c>
      <c r="B60" s="91">
        <v>109</v>
      </c>
      <c r="C60" s="91">
        <v>0</v>
      </c>
      <c r="D60" s="91">
        <v>40</v>
      </c>
      <c r="E60" s="91">
        <v>0</v>
      </c>
      <c r="F60" s="91">
        <v>0</v>
      </c>
      <c r="G60" s="91">
        <f t="shared" si="11"/>
        <v>149</v>
      </c>
    </row>
    <row r="61" spans="1:7" x14ac:dyDescent="0.25">
      <c r="A61" t="s">
        <v>290</v>
      </c>
      <c r="B61" s="91">
        <v>225</v>
      </c>
      <c r="C61" s="91">
        <v>352.5</v>
      </c>
      <c r="D61" s="91">
        <v>0</v>
      </c>
      <c r="E61" s="91">
        <v>0</v>
      </c>
      <c r="G61" s="91">
        <f t="shared" si="2"/>
        <v>577.5</v>
      </c>
    </row>
    <row r="62" spans="1:7" x14ac:dyDescent="0.25">
      <c r="A62" s="66" t="s">
        <v>333</v>
      </c>
      <c r="B62" s="123">
        <f>SUM(B53:B61)</f>
        <v>9370.33</v>
      </c>
      <c r="C62" s="123">
        <f t="shared" ref="C62:G62" si="12">SUM(C53:C61)</f>
        <v>10526.09</v>
      </c>
      <c r="D62" s="123">
        <f t="shared" si="12"/>
        <v>8935.42</v>
      </c>
      <c r="E62" s="123">
        <f t="shared" ref="E62" si="13">SUM(E53:E61)</f>
        <v>9186.51</v>
      </c>
      <c r="F62" s="123">
        <f t="shared" si="12"/>
        <v>8943.81</v>
      </c>
      <c r="G62" s="123">
        <f t="shared" si="12"/>
        <v>46962.159999999996</v>
      </c>
    </row>
    <row r="63" spans="1:7" x14ac:dyDescent="0.25">
      <c r="A63" t="s">
        <v>279</v>
      </c>
    </row>
    <row r="64" spans="1:7" ht="15.75" thickBot="1" x14ac:dyDescent="0.3">
      <c r="A64" s="66" t="s">
        <v>241</v>
      </c>
      <c r="B64" s="124">
        <f t="shared" ref="B64:G64" si="14">B32+B50+B62</f>
        <v>119334.52</v>
      </c>
      <c r="C64" s="124">
        <f t="shared" si="14"/>
        <v>113697.12999999998</v>
      </c>
      <c r="D64" s="124">
        <f t="shared" si="14"/>
        <v>117844.24</v>
      </c>
      <c r="E64" s="124">
        <f t="shared" si="14"/>
        <v>116956.12000000001</v>
      </c>
      <c r="F64" s="124">
        <f t="shared" si="14"/>
        <v>111590.86999999998</v>
      </c>
      <c r="G64" s="124">
        <f t="shared" si="14"/>
        <v>579422.87999999989</v>
      </c>
    </row>
    <row r="66" spans="1:8" x14ac:dyDescent="0.25">
      <c r="A66" s="66" t="s">
        <v>334</v>
      </c>
    </row>
    <row r="67" spans="1:8" x14ac:dyDescent="0.25">
      <c r="A67" t="s">
        <v>335</v>
      </c>
      <c r="B67" s="91">
        <v>12500</v>
      </c>
      <c r="C67" s="91">
        <v>12500</v>
      </c>
      <c r="D67" s="91">
        <v>12500</v>
      </c>
      <c r="E67" s="91">
        <v>12500</v>
      </c>
      <c r="F67" s="91">
        <v>12500</v>
      </c>
      <c r="G67" s="91">
        <f t="shared" si="2"/>
        <v>62500</v>
      </c>
    </row>
    <row r="68" spans="1:8" x14ac:dyDescent="0.25">
      <c r="A68" t="s">
        <v>304</v>
      </c>
      <c r="B68" s="91">
        <v>2109.7199999999998</v>
      </c>
      <c r="C68" s="91">
        <v>2488.89</v>
      </c>
      <c r="D68" s="91">
        <v>2770.21</v>
      </c>
      <c r="E68" s="91">
        <v>2666.67</v>
      </c>
      <c r="F68" s="91">
        <v>2755.56</v>
      </c>
      <c r="G68" s="91">
        <f t="shared" si="2"/>
        <v>12791.05</v>
      </c>
    </row>
    <row r="69" spans="1:8" x14ac:dyDescent="0.25">
      <c r="A69" s="66" t="s">
        <v>336</v>
      </c>
      <c r="B69" s="123">
        <f>SUM(B67:B68)</f>
        <v>14609.72</v>
      </c>
      <c r="C69" s="123">
        <f t="shared" ref="C69:G69" si="15">SUM(C67:C68)</f>
        <v>14988.89</v>
      </c>
      <c r="D69" s="123">
        <f t="shared" si="15"/>
        <v>15270.21</v>
      </c>
      <c r="E69" s="123">
        <f t="shared" ref="E69" si="16">SUM(E67:E68)</f>
        <v>15166.67</v>
      </c>
      <c r="F69" s="123">
        <f t="shared" si="15"/>
        <v>15255.56</v>
      </c>
      <c r="G69" s="123">
        <f t="shared" si="15"/>
        <v>75291.05</v>
      </c>
    </row>
    <row r="71" spans="1:8" ht="15.75" thickBot="1" x14ac:dyDescent="0.3">
      <c r="A71" s="66" t="s">
        <v>337</v>
      </c>
      <c r="B71" s="125">
        <f t="shared" ref="B71:G71" si="17">B22-B64+B69</f>
        <v>-1834.0699999999943</v>
      </c>
      <c r="C71" s="125">
        <f t="shared" si="17"/>
        <v>8655.3500000000204</v>
      </c>
      <c r="D71" s="125">
        <f t="shared" si="17"/>
        <v>83095.28</v>
      </c>
      <c r="E71" s="125">
        <f t="shared" si="17"/>
        <v>32817.569999999978</v>
      </c>
      <c r="F71" s="125">
        <f t="shared" si="17"/>
        <v>177775.43000000005</v>
      </c>
      <c r="G71" s="125">
        <f t="shared" si="17"/>
        <v>300509.56000000023</v>
      </c>
      <c r="H71"/>
    </row>
    <row r="72" spans="1:8" ht="15.75" thickTop="1" x14ac:dyDescent="0.25"/>
    <row r="73" spans="1:8" x14ac:dyDescent="0.25">
      <c r="B73" s="91">
        <v>-1834.07</v>
      </c>
      <c r="C73" s="91">
        <v>8655.35</v>
      </c>
      <c r="D73" s="91">
        <v>83095.28</v>
      </c>
      <c r="E73" s="91">
        <v>32817.57</v>
      </c>
      <c r="F73" s="91">
        <v>177775.43</v>
      </c>
      <c r="G73" s="91">
        <f>SUM(B73:F73)</f>
        <v>300509.56</v>
      </c>
    </row>
    <row r="74" spans="1:8" x14ac:dyDescent="0.25">
      <c r="B74" s="91">
        <f t="shared" ref="B74:E74" si="18">B71-B73</f>
        <v>5.6843418860808015E-12</v>
      </c>
      <c r="C74" s="91">
        <f t="shared" si="18"/>
        <v>2.0008883439004421E-11</v>
      </c>
      <c r="D74" s="91">
        <f t="shared" si="18"/>
        <v>0</v>
      </c>
      <c r="E74" s="91">
        <f t="shared" si="18"/>
        <v>0</v>
      </c>
      <c r="F74" s="91">
        <f>F71-F73</f>
        <v>0</v>
      </c>
      <c r="G74" s="91">
        <f>G71-G73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82" orientation="portrait" r:id="rId1"/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2976-5E32-4C40-B495-BB10F59D33DD}">
  <sheetPr>
    <tabColor theme="9" tint="0.79998168889431442"/>
  </sheetPr>
  <dimension ref="A1:H60"/>
  <sheetViews>
    <sheetView zoomScaleNormal="100" workbookViewId="0">
      <pane ySplit="6" topLeftCell="A43" activePane="bottomLeft" state="frozen"/>
      <selection pane="bottomLeft" activeCell="F32" sqref="F32"/>
    </sheetView>
  </sheetViews>
  <sheetFormatPr defaultRowHeight="15" x14ac:dyDescent="0.25"/>
  <cols>
    <col min="1" max="1" width="41.28515625" bestFit="1" customWidth="1"/>
    <col min="2" max="2" width="14.140625" style="91" bestFit="1" customWidth="1"/>
    <col min="3" max="3" width="14.42578125" style="91" customWidth="1"/>
    <col min="4" max="4" width="15.140625" style="91" bestFit="1" customWidth="1"/>
    <col min="5" max="6" width="14.7109375" style="91" bestFit="1" customWidth="1"/>
    <col min="7" max="7" width="15.42578125" style="91" bestFit="1" customWidth="1"/>
    <col min="8" max="8" width="8.85546875" style="91"/>
  </cols>
  <sheetData>
    <row r="1" spans="1:7" x14ac:dyDescent="0.25">
      <c r="A1" s="214" t="s">
        <v>373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7" spans="1:7" x14ac:dyDescent="0.25">
      <c r="A7" s="66" t="s">
        <v>63</v>
      </c>
    </row>
    <row r="8" spans="1:7" x14ac:dyDescent="0.25">
      <c r="A8" t="s">
        <v>345</v>
      </c>
      <c r="B8" s="91">
        <v>1259181.27</v>
      </c>
      <c r="C8" s="91">
        <v>3842825.02</v>
      </c>
      <c r="D8" s="91">
        <v>6380777.25</v>
      </c>
      <c r="E8" s="91">
        <v>7202321.2999999998</v>
      </c>
      <c r="F8" s="91">
        <v>8920930.5899999999</v>
      </c>
      <c r="G8" s="91">
        <f>SUM(B8:F8)</f>
        <v>27606035.43</v>
      </c>
    </row>
    <row r="9" spans="1:7" x14ac:dyDescent="0.25">
      <c r="A9" t="s">
        <v>353</v>
      </c>
      <c r="B9" s="91">
        <v>236007.94</v>
      </c>
      <c r="C9" s="91">
        <v>379397.28</v>
      </c>
      <c r="D9" s="91">
        <v>545988.51</v>
      </c>
      <c r="E9" s="91">
        <v>295631.26</v>
      </c>
      <c r="F9" s="91">
        <v>282253.62</v>
      </c>
      <c r="G9" s="91">
        <f t="shared" ref="G9:G14" si="0">SUM(B9:F9)</f>
        <v>1739278.6099999999</v>
      </c>
    </row>
    <row r="10" spans="1:7" x14ac:dyDescent="0.25">
      <c r="A10" t="s">
        <v>354</v>
      </c>
      <c r="B10" s="91">
        <v>61335.59</v>
      </c>
      <c r="C10" s="91">
        <v>17413.54</v>
      </c>
      <c r="D10" s="91">
        <v>27676.38</v>
      </c>
      <c r="E10" s="91">
        <v>53826.559999999998</v>
      </c>
      <c r="F10" s="91">
        <v>37554.74</v>
      </c>
      <c r="G10" s="91">
        <f t="shared" si="0"/>
        <v>197806.81</v>
      </c>
    </row>
    <row r="11" spans="1:7" x14ac:dyDescent="0.25">
      <c r="A11" t="s">
        <v>418</v>
      </c>
      <c r="B11" s="91">
        <v>0</v>
      </c>
      <c r="C11" s="91">
        <v>0</v>
      </c>
      <c r="D11" s="91">
        <v>0</v>
      </c>
      <c r="E11" s="91">
        <v>0</v>
      </c>
      <c r="F11" s="91">
        <v>3310.3</v>
      </c>
      <c r="G11" s="91">
        <f t="shared" si="0"/>
        <v>3310.3</v>
      </c>
    </row>
    <row r="12" spans="1:7" x14ac:dyDescent="0.25">
      <c r="A12" t="s">
        <v>355</v>
      </c>
      <c r="B12" s="91">
        <v>658</v>
      </c>
      <c r="C12" s="91">
        <v>1919</v>
      </c>
      <c r="D12" s="91">
        <v>477</v>
      </c>
      <c r="E12" s="91">
        <v>592.5</v>
      </c>
      <c r="F12" s="91">
        <f>1227.5</f>
        <v>1227.5</v>
      </c>
      <c r="G12" s="91">
        <f t="shared" si="0"/>
        <v>4874</v>
      </c>
    </row>
    <row r="13" spans="1:7" x14ac:dyDescent="0.25">
      <c r="A13" t="s">
        <v>356</v>
      </c>
      <c r="B13" s="91">
        <v>59302.75</v>
      </c>
      <c r="C13" s="91">
        <v>176078.5</v>
      </c>
      <c r="D13" s="91">
        <v>289922.25</v>
      </c>
      <c r="E13" s="91">
        <v>364686</v>
      </c>
      <c r="F13" s="91">
        <v>414150.75</v>
      </c>
      <c r="G13" s="91">
        <f t="shared" si="0"/>
        <v>1304140.25</v>
      </c>
    </row>
    <row r="14" spans="1:7" x14ac:dyDescent="0.25">
      <c r="A14" t="s">
        <v>357</v>
      </c>
      <c r="B14" s="91">
        <v>-878.76</v>
      </c>
      <c r="C14" s="91">
        <v>0</v>
      </c>
      <c r="D14" s="91">
        <v>0</v>
      </c>
      <c r="E14" s="91">
        <v>-5916</v>
      </c>
      <c r="F14" s="91">
        <v>0</v>
      </c>
      <c r="G14" s="91">
        <f t="shared" si="0"/>
        <v>-6794.76</v>
      </c>
    </row>
    <row r="15" spans="1:7" x14ac:dyDescent="0.25">
      <c r="A15" s="66" t="s">
        <v>255</v>
      </c>
      <c r="B15" s="123">
        <f t="shared" ref="B15:G15" si="1">SUM(B8:B14)</f>
        <v>1615606.79</v>
      </c>
      <c r="C15" s="123">
        <f t="shared" si="1"/>
        <v>4417633.34</v>
      </c>
      <c r="D15" s="123">
        <f t="shared" si="1"/>
        <v>7244841.3899999997</v>
      </c>
      <c r="E15" s="123">
        <f t="shared" si="1"/>
        <v>7911141.6199999992</v>
      </c>
      <c r="F15" s="123">
        <f t="shared" si="1"/>
        <v>9659427.5</v>
      </c>
      <c r="G15" s="123">
        <f t="shared" si="1"/>
        <v>30848650.639999997</v>
      </c>
    </row>
    <row r="17" spans="1:7" x14ac:dyDescent="0.25">
      <c r="A17" s="66" t="s">
        <v>316</v>
      </c>
      <c r="G17" s="91">
        <f t="shared" ref="G17:G48" si="2">SUM(B17:F17)</f>
        <v>0</v>
      </c>
    </row>
    <row r="18" spans="1:7" x14ac:dyDescent="0.25">
      <c r="A18" t="s">
        <v>346</v>
      </c>
      <c r="B18" s="91">
        <v>1244716.24</v>
      </c>
      <c r="C18" s="91">
        <v>3821573.32</v>
      </c>
      <c r="D18" s="91">
        <v>6368245.5999999996</v>
      </c>
      <c r="E18" s="91">
        <v>7185367.1200000001</v>
      </c>
      <c r="F18" s="91">
        <v>8899243.3100000005</v>
      </c>
      <c r="G18" s="91">
        <f>SUM(B18:F18)</f>
        <v>27519145.590000004</v>
      </c>
    </row>
    <row r="19" spans="1:7" x14ac:dyDescent="0.25">
      <c r="A19" t="s">
        <v>347</v>
      </c>
      <c r="B19" s="91">
        <v>220469.8</v>
      </c>
      <c r="C19" s="91">
        <v>359444.27</v>
      </c>
      <c r="D19" s="91">
        <v>528840.88</v>
      </c>
      <c r="E19" s="91">
        <v>274773.03000000003</v>
      </c>
      <c r="F19" s="91">
        <v>264969.81</v>
      </c>
      <c r="G19" s="91">
        <f t="shared" ref="G19:G30" si="3">SUM(B19:F19)</f>
        <v>1648497.7900000003</v>
      </c>
    </row>
    <row r="20" spans="1:7" x14ac:dyDescent="0.25">
      <c r="A20" t="s">
        <v>348</v>
      </c>
      <c r="B20" s="91">
        <v>58837.5</v>
      </c>
      <c r="C20" s="91">
        <v>16027.01</v>
      </c>
      <c r="D20" s="91">
        <v>26000.22</v>
      </c>
      <c r="E20" s="91">
        <v>51375.17</v>
      </c>
      <c r="F20" s="91">
        <v>34978.86</v>
      </c>
      <c r="G20" s="91">
        <f t="shared" si="3"/>
        <v>187218.76</v>
      </c>
    </row>
    <row r="21" spans="1:7" x14ac:dyDescent="0.25">
      <c r="A21" t="s">
        <v>419</v>
      </c>
      <c r="B21" s="91">
        <v>0</v>
      </c>
      <c r="C21" s="91">
        <v>0</v>
      </c>
      <c r="D21" s="91">
        <v>0</v>
      </c>
      <c r="E21" s="91">
        <v>0</v>
      </c>
      <c r="F21" s="91">
        <v>2079</v>
      </c>
      <c r="G21" s="91">
        <f t="shared" si="3"/>
        <v>2079</v>
      </c>
    </row>
    <row r="22" spans="1:7" x14ac:dyDescent="0.25">
      <c r="A22" t="s">
        <v>349</v>
      </c>
      <c r="B22" s="91">
        <v>658</v>
      </c>
      <c r="C22" s="91">
        <v>1919</v>
      </c>
      <c r="D22" s="91">
        <v>477</v>
      </c>
      <c r="E22" s="91">
        <v>592.5</v>
      </c>
      <c r="F22" s="91">
        <v>1227.5</v>
      </c>
      <c r="G22" s="91">
        <f t="shared" si="3"/>
        <v>4874</v>
      </c>
    </row>
    <row r="23" spans="1:7" x14ac:dyDescent="0.25">
      <c r="A23" t="s">
        <v>318</v>
      </c>
      <c r="B23" s="91">
        <v>19986.22</v>
      </c>
      <c r="C23" s="91">
        <v>12338.52</v>
      </c>
      <c r="D23" s="91">
        <v>39850.800000000003</v>
      </c>
      <c r="E23" s="91">
        <v>28631.47</v>
      </c>
      <c r="F23" s="91">
        <v>35548.99</v>
      </c>
      <c r="G23" s="91">
        <f t="shared" si="3"/>
        <v>136356</v>
      </c>
    </row>
    <row r="24" spans="1:7" x14ac:dyDescent="0.25">
      <c r="A24" t="s">
        <v>350</v>
      </c>
      <c r="B24" s="91">
        <v>-3444.15</v>
      </c>
      <c r="C24" s="91">
        <v>79.5</v>
      </c>
      <c r="D24" s="91">
        <v>-574</v>
      </c>
      <c r="E24" s="91">
        <v>602.98</v>
      </c>
      <c r="F24" s="91">
        <v>-2955.7</v>
      </c>
      <c r="G24" s="91">
        <f t="shared" si="3"/>
        <v>-6291.37</v>
      </c>
    </row>
    <row r="25" spans="1:7" x14ac:dyDescent="0.25">
      <c r="A25" t="s">
        <v>421</v>
      </c>
      <c r="B25" s="91">
        <v>0</v>
      </c>
      <c r="C25" s="91">
        <v>0</v>
      </c>
      <c r="D25" s="91">
        <v>0</v>
      </c>
      <c r="E25" s="91">
        <v>820.8</v>
      </c>
      <c r="F25" s="91">
        <v>0</v>
      </c>
      <c r="G25" s="91">
        <f t="shared" si="3"/>
        <v>820.8</v>
      </c>
    </row>
    <row r="26" spans="1:7" x14ac:dyDescent="0.25">
      <c r="A26" t="s">
        <v>422</v>
      </c>
      <c r="B26" s="91">
        <v>0</v>
      </c>
      <c r="C26" s="91">
        <v>1.92</v>
      </c>
      <c r="D26" s="91">
        <v>0</v>
      </c>
      <c r="E26" s="91">
        <v>0</v>
      </c>
      <c r="F26" s="91">
        <v>0</v>
      </c>
      <c r="G26" s="91">
        <f t="shared" si="3"/>
        <v>1.92</v>
      </c>
    </row>
    <row r="27" spans="1:7" x14ac:dyDescent="0.25">
      <c r="A27" t="s">
        <v>351</v>
      </c>
      <c r="B27" s="91">
        <v>720.74</v>
      </c>
      <c r="C27" s="91">
        <f>-1643.32</f>
        <v>-1643.32</v>
      </c>
      <c r="D27" s="91">
        <v>3077.78</v>
      </c>
      <c r="E27" s="91">
        <v>0</v>
      </c>
      <c r="F27" s="91">
        <f>-173.2</f>
        <v>-173.2</v>
      </c>
      <c r="G27" s="91">
        <f>SUM(B27:F27)</f>
        <v>1982.0000000000002</v>
      </c>
    </row>
    <row r="28" spans="1:7" x14ac:dyDescent="0.25">
      <c r="A28" t="s">
        <v>362</v>
      </c>
      <c r="B28" s="91">
        <v>0</v>
      </c>
      <c r="C28" s="91">
        <v>0</v>
      </c>
      <c r="D28" s="91">
        <v>-3.34</v>
      </c>
      <c r="E28" s="91">
        <v>0</v>
      </c>
      <c r="F28" s="91">
        <v>-38.909999999999997</v>
      </c>
      <c r="G28" s="91">
        <f t="shared" si="3"/>
        <v>-42.25</v>
      </c>
    </row>
    <row r="29" spans="1:7" x14ac:dyDescent="0.25">
      <c r="A29" t="s">
        <v>420</v>
      </c>
      <c r="B29" s="91">
        <v>0</v>
      </c>
      <c r="C29" s="91">
        <v>0</v>
      </c>
      <c r="D29" s="91">
        <v>0</v>
      </c>
      <c r="E29" s="91">
        <v>0</v>
      </c>
      <c r="F29" s="91">
        <v>-4.2</v>
      </c>
      <c r="G29" s="91">
        <f t="shared" si="3"/>
        <v>-4.2</v>
      </c>
    </row>
    <row r="30" spans="1:7" x14ac:dyDescent="0.25">
      <c r="A30" t="s">
        <v>372</v>
      </c>
      <c r="B30" s="91">
        <v>34120.78</v>
      </c>
      <c r="C30" s="91">
        <v>75014.87</v>
      </c>
      <c r="D30" s="91">
        <v>138492.9</v>
      </c>
      <c r="E30" s="91">
        <v>140698.1</v>
      </c>
      <c r="F30" s="91">
        <v>179668.82</v>
      </c>
      <c r="G30" s="91">
        <f t="shared" si="3"/>
        <v>567995.47</v>
      </c>
    </row>
    <row r="31" spans="1:7" x14ac:dyDescent="0.25">
      <c r="A31" t="s">
        <v>352</v>
      </c>
      <c r="B31" s="91">
        <v>38830.42</v>
      </c>
      <c r="C31" s="91">
        <v>54101.21</v>
      </c>
      <c r="D31" s="91">
        <v>74590.929999999993</v>
      </c>
      <c r="E31" s="91">
        <v>87541.119999999995</v>
      </c>
      <c r="F31" s="91">
        <f>19816.75+99518.52</f>
        <v>119335.27</v>
      </c>
      <c r="G31" s="91">
        <f>SUM(B31:F31)</f>
        <v>374398.95</v>
      </c>
    </row>
    <row r="32" spans="1:7" x14ac:dyDescent="0.25">
      <c r="A32" s="66" t="s">
        <v>319</v>
      </c>
      <c r="B32" s="123">
        <f t="shared" ref="B32:G32" si="4">SUM(B18:B31)</f>
        <v>1614895.55</v>
      </c>
      <c r="C32" s="123">
        <f t="shared" si="4"/>
        <v>4338856.2999999989</v>
      </c>
      <c r="D32" s="123">
        <f t="shared" si="4"/>
        <v>7178998.7699999996</v>
      </c>
      <c r="E32" s="123">
        <f t="shared" si="4"/>
        <v>7770402.29</v>
      </c>
      <c r="F32" s="123">
        <f t="shared" si="4"/>
        <v>9533879.5500000026</v>
      </c>
      <c r="G32" s="123">
        <f t="shared" si="4"/>
        <v>30437032.460000005</v>
      </c>
    </row>
    <row r="34" spans="1:7" ht="15.75" thickBot="1" x14ac:dyDescent="0.3">
      <c r="A34" s="66" t="s">
        <v>242</v>
      </c>
      <c r="B34" s="124">
        <f t="shared" ref="B34:G34" si="5">B15-B32</f>
        <v>711.23999999999069</v>
      </c>
      <c r="C34" s="124">
        <f t="shared" si="5"/>
        <v>78777.040000000969</v>
      </c>
      <c r="D34" s="124">
        <f t="shared" si="5"/>
        <v>65842.620000000112</v>
      </c>
      <c r="E34" s="124">
        <f t="shared" si="5"/>
        <v>140739.32999999914</v>
      </c>
      <c r="F34" s="124">
        <f t="shared" si="5"/>
        <v>125547.94999999739</v>
      </c>
      <c r="G34" s="124">
        <f t="shared" si="5"/>
        <v>411618.17999999225</v>
      </c>
    </row>
    <row r="36" spans="1:7" x14ac:dyDescent="0.25">
      <c r="A36" s="66" t="s">
        <v>240</v>
      </c>
    </row>
    <row r="37" spans="1:7" x14ac:dyDescent="0.25">
      <c r="A37" s="66" t="s">
        <v>325</v>
      </c>
    </row>
    <row r="38" spans="1:7" x14ac:dyDescent="0.25">
      <c r="A38" t="s">
        <v>328</v>
      </c>
      <c r="B38" s="91">
        <v>838.82</v>
      </c>
      <c r="C38" s="91">
        <v>672.84</v>
      </c>
      <c r="D38" s="91">
        <v>0</v>
      </c>
      <c r="E38" s="91">
        <v>0</v>
      </c>
      <c r="F38" s="91">
        <v>0</v>
      </c>
      <c r="G38" s="91">
        <f t="shared" si="2"/>
        <v>1511.66</v>
      </c>
    </row>
    <row r="39" spans="1:7" x14ac:dyDescent="0.25">
      <c r="A39" t="s">
        <v>329</v>
      </c>
      <c r="B39" s="91">
        <v>142.41999999999999</v>
      </c>
      <c r="C39" s="91">
        <v>418.29</v>
      </c>
      <c r="D39" s="91">
        <v>418.29</v>
      </c>
      <c r="E39" s="91">
        <v>418.29</v>
      </c>
      <c r="F39" s="91">
        <v>418.29</v>
      </c>
      <c r="G39" s="91">
        <f t="shared" si="2"/>
        <v>1815.58</v>
      </c>
    </row>
    <row r="40" spans="1:7" x14ac:dyDescent="0.25">
      <c r="A40" s="66" t="s">
        <v>371</v>
      </c>
      <c r="B40" s="123">
        <f t="shared" ref="B40:G40" si="6">SUM(B38:B39)</f>
        <v>981.24</v>
      </c>
      <c r="C40" s="123">
        <f t="shared" si="6"/>
        <v>1091.1300000000001</v>
      </c>
      <c r="D40" s="123">
        <f t="shared" si="6"/>
        <v>418.29</v>
      </c>
      <c r="E40" s="123">
        <f t="shared" si="6"/>
        <v>418.29</v>
      </c>
      <c r="F40" s="123">
        <f t="shared" si="6"/>
        <v>418.29</v>
      </c>
      <c r="G40" s="123">
        <f t="shared" si="6"/>
        <v>3327.24</v>
      </c>
    </row>
    <row r="42" spans="1:7" x14ac:dyDescent="0.25">
      <c r="A42" s="66" t="s">
        <v>330</v>
      </c>
    </row>
    <row r="43" spans="1:7" x14ac:dyDescent="0.25">
      <c r="A43" t="s">
        <v>286</v>
      </c>
      <c r="B43" s="91">
        <v>699.09</v>
      </c>
      <c r="C43" s="91">
        <v>609.66</v>
      </c>
      <c r="D43" s="91">
        <v>670.54</v>
      </c>
      <c r="E43" s="91">
        <v>716.49</v>
      </c>
      <c r="F43" s="91">
        <v>816.61</v>
      </c>
      <c r="G43" s="91">
        <f t="shared" si="2"/>
        <v>3512.39</v>
      </c>
    </row>
    <row r="44" spans="1:7" x14ac:dyDescent="0.25">
      <c r="A44" t="s">
        <v>290</v>
      </c>
      <c r="B44" s="91">
        <v>0</v>
      </c>
      <c r="C44" s="91">
        <v>587.5</v>
      </c>
      <c r="D44" s="91">
        <v>0</v>
      </c>
      <c r="E44" s="91">
        <v>0</v>
      </c>
      <c r="F44" s="91">
        <v>0</v>
      </c>
      <c r="G44" s="91">
        <f>SUM(B44:F44)</f>
        <v>587.5</v>
      </c>
    </row>
    <row r="45" spans="1:7" x14ac:dyDescent="0.25">
      <c r="A45" t="s">
        <v>296</v>
      </c>
      <c r="B45" s="91">
        <v>0</v>
      </c>
      <c r="C45" s="91">
        <v>0</v>
      </c>
      <c r="D45" s="91">
        <v>672.84</v>
      </c>
      <c r="E45" s="91">
        <v>672.82</v>
      </c>
      <c r="F45" s="91">
        <v>672.82</v>
      </c>
      <c r="G45" s="91">
        <f>SUM(B45:F45)</f>
        <v>2018.48</v>
      </c>
    </row>
    <row r="46" spans="1:7" x14ac:dyDescent="0.25">
      <c r="A46" t="s">
        <v>423</v>
      </c>
      <c r="B46" s="91">
        <v>3000</v>
      </c>
      <c r="C46" s="91">
        <v>3000</v>
      </c>
      <c r="D46" s="91">
        <v>3000</v>
      </c>
      <c r="E46" s="91">
        <v>3000</v>
      </c>
      <c r="F46" s="91">
        <v>3000</v>
      </c>
      <c r="G46" s="91">
        <f t="shared" si="2"/>
        <v>15000</v>
      </c>
    </row>
    <row r="47" spans="1:7" x14ac:dyDescent="0.25">
      <c r="A47" t="s">
        <v>399</v>
      </c>
      <c r="B47" s="91">
        <v>3750</v>
      </c>
      <c r="C47" s="91">
        <v>3750</v>
      </c>
      <c r="D47" s="91">
        <v>3750</v>
      </c>
      <c r="E47" s="91">
        <v>3750</v>
      </c>
      <c r="F47" s="91">
        <v>3750</v>
      </c>
      <c r="G47" s="91">
        <f t="shared" ref="G47" si="7">SUM(B47:F47)</f>
        <v>18750</v>
      </c>
    </row>
    <row r="48" spans="1:7" x14ac:dyDescent="0.25">
      <c r="A48" t="s">
        <v>424</v>
      </c>
      <c r="B48" s="91">
        <v>109</v>
      </c>
      <c r="C48" s="91">
        <v>29.99</v>
      </c>
      <c r="D48" s="91">
        <v>29.99</v>
      </c>
      <c r="E48" s="91">
        <v>29.99</v>
      </c>
      <c r="F48" s="91">
        <v>0</v>
      </c>
      <c r="G48" s="91">
        <f t="shared" si="2"/>
        <v>198.97000000000003</v>
      </c>
    </row>
    <row r="49" spans="1:8" x14ac:dyDescent="0.25">
      <c r="A49" s="66" t="s">
        <v>333</v>
      </c>
      <c r="B49" s="123">
        <f t="shared" ref="B49:G49" si="8">SUM(B43:B48)</f>
        <v>7558.09</v>
      </c>
      <c r="C49" s="123">
        <f t="shared" si="8"/>
        <v>7977.15</v>
      </c>
      <c r="D49" s="123">
        <f t="shared" si="8"/>
        <v>8123.37</v>
      </c>
      <c r="E49" s="123">
        <f t="shared" si="8"/>
        <v>8169.2999999999993</v>
      </c>
      <c r="F49" s="123">
        <f t="shared" si="8"/>
        <v>8239.43</v>
      </c>
      <c r="G49" s="123">
        <f t="shared" si="8"/>
        <v>40067.339999999997</v>
      </c>
    </row>
    <row r="50" spans="1:8" x14ac:dyDescent="0.25">
      <c r="A50" t="s">
        <v>279</v>
      </c>
    </row>
    <row r="51" spans="1:8" x14ac:dyDescent="0.25">
      <c r="A51" s="66" t="s">
        <v>358</v>
      </c>
    </row>
    <row r="52" spans="1:8" x14ac:dyDescent="0.25">
      <c r="A52" t="s">
        <v>359</v>
      </c>
      <c r="B52" s="91">
        <v>34022.5</v>
      </c>
      <c r="C52" s="91">
        <v>34265</v>
      </c>
      <c r="D52" s="91">
        <v>34451.25</v>
      </c>
      <c r="E52" s="91">
        <v>34845</v>
      </c>
      <c r="F52" s="91">
        <v>34565</v>
      </c>
      <c r="G52" s="91">
        <f>SUM(B52:F52)</f>
        <v>172148.75</v>
      </c>
    </row>
    <row r="53" spans="1:8" x14ac:dyDescent="0.25">
      <c r="A53" s="66" t="s">
        <v>425</v>
      </c>
      <c r="B53" s="91">
        <v>0</v>
      </c>
      <c r="C53" s="91">
        <v>0</v>
      </c>
      <c r="D53" s="91">
        <v>0</v>
      </c>
      <c r="E53" s="91">
        <v>0</v>
      </c>
      <c r="F53" s="91">
        <v>31752.38</v>
      </c>
      <c r="G53" s="91">
        <f>SUM(B53:F53)</f>
        <v>31752.38</v>
      </c>
    </row>
    <row r="54" spans="1:8" x14ac:dyDescent="0.25">
      <c r="A54" s="66" t="s">
        <v>304</v>
      </c>
      <c r="B54" s="91">
        <v>0</v>
      </c>
      <c r="C54" s="91">
        <v>0</v>
      </c>
      <c r="D54" s="91">
        <v>0</v>
      </c>
      <c r="E54" s="91">
        <v>-219.74</v>
      </c>
      <c r="F54" s="91">
        <v>-5033.32</v>
      </c>
      <c r="G54" s="91">
        <f>SUM(B54:F54)</f>
        <v>-5253.0599999999995</v>
      </c>
    </row>
    <row r="55" spans="1:8" x14ac:dyDescent="0.25">
      <c r="A55" s="66" t="s">
        <v>360</v>
      </c>
      <c r="B55" s="123">
        <f>SUM(B52:B54)</f>
        <v>34022.5</v>
      </c>
      <c r="C55" s="123">
        <f t="shared" ref="C55:G55" si="9">SUM(C52:C54)</f>
        <v>34265</v>
      </c>
      <c r="D55" s="123">
        <f t="shared" si="9"/>
        <v>34451.25</v>
      </c>
      <c r="E55" s="123">
        <f t="shared" si="9"/>
        <v>34625.26</v>
      </c>
      <c r="F55" s="123">
        <f t="shared" si="9"/>
        <v>61284.060000000005</v>
      </c>
      <c r="G55" s="123">
        <f t="shared" si="9"/>
        <v>198648.07</v>
      </c>
    </row>
    <row r="57" spans="1:8" ht="15.75" thickBot="1" x14ac:dyDescent="0.3">
      <c r="A57" s="66" t="s">
        <v>241</v>
      </c>
      <c r="B57" s="124">
        <f t="shared" ref="B57:G57" si="10">B40+B49+B55</f>
        <v>42561.83</v>
      </c>
      <c r="C57" s="124">
        <f t="shared" si="10"/>
        <v>43333.279999999999</v>
      </c>
      <c r="D57" s="124">
        <f t="shared" si="10"/>
        <v>42992.91</v>
      </c>
      <c r="E57" s="124">
        <f t="shared" si="10"/>
        <v>43212.850000000006</v>
      </c>
      <c r="F57" s="124">
        <f t="shared" si="10"/>
        <v>69941.78</v>
      </c>
      <c r="G57" s="124">
        <f t="shared" si="10"/>
        <v>242042.65</v>
      </c>
    </row>
    <row r="59" spans="1:8" ht="15.75" thickBot="1" x14ac:dyDescent="0.3">
      <c r="A59" s="66" t="s">
        <v>337</v>
      </c>
      <c r="B59" s="125">
        <f t="shared" ref="B59:G59" si="11">B34-B57</f>
        <v>-41850.590000000011</v>
      </c>
      <c r="C59" s="125">
        <f t="shared" si="11"/>
        <v>35443.76000000097</v>
      </c>
      <c r="D59" s="125">
        <f t="shared" si="11"/>
        <v>22849.710000000108</v>
      </c>
      <c r="E59" s="125">
        <f t="shared" si="11"/>
        <v>97526.479999999137</v>
      </c>
      <c r="F59" s="125">
        <f t="shared" si="11"/>
        <v>55606.169999997393</v>
      </c>
      <c r="G59" s="125">
        <f t="shared" si="11"/>
        <v>169575.52999999226</v>
      </c>
      <c r="H59"/>
    </row>
    <row r="60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4EA3-8459-40E5-8D33-7E1539254BBA}">
  <sheetPr>
    <tabColor theme="9" tint="0.79998168889431442"/>
  </sheetPr>
  <dimension ref="A1:H20"/>
  <sheetViews>
    <sheetView zoomScaleNormal="100" workbookViewId="0">
      <pane ySplit="6" topLeftCell="A7" activePane="bottomLeft" state="frozen"/>
      <selection pane="bottomLeft" activeCell="M36" sqref="M36"/>
    </sheetView>
  </sheetViews>
  <sheetFormatPr defaultRowHeight="15" x14ac:dyDescent="0.25"/>
  <cols>
    <col min="1" max="1" width="41.28515625" bestFit="1" customWidth="1"/>
    <col min="2" max="6" width="13.28515625" style="91" bestFit="1" customWidth="1"/>
    <col min="7" max="7" width="14.28515625" style="91" bestFit="1" customWidth="1"/>
    <col min="8" max="8" width="9.140625" style="91"/>
  </cols>
  <sheetData>
    <row r="1" spans="1:7" x14ac:dyDescent="0.25">
      <c r="A1" s="214" t="s">
        <v>364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8" spans="1:7" s="91" customFormat="1" x14ac:dyDescent="0.25">
      <c r="A8" s="66" t="s">
        <v>330</v>
      </c>
    </row>
    <row r="9" spans="1:7" s="91" customFormat="1" x14ac:dyDescent="0.25">
      <c r="A9" t="s">
        <v>286</v>
      </c>
      <c r="B9" s="91">
        <v>218.79</v>
      </c>
      <c r="C9" s="91">
        <v>218.72</v>
      </c>
      <c r="D9" s="91">
        <v>219.51</v>
      </c>
      <c r="E9" s="91">
        <v>218.41</v>
      </c>
      <c r="F9" s="91">
        <v>216.38</v>
      </c>
      <c r="G9" s="91">
        <f t="shared" ref="G9:G10" si="0">SUM(B9:F9)</f>
        <v>1091.81</v>
      </c>
    </row>
    <row r="10" spans="1:7" s="91" customFormat="1" x14ac:dyDescent="0.25">
      <c r="A10" t="s">
        <v>365</v>
      </c>
      <c r="B10" s="91">
        <v>109</v>
      </c>
      <c r="C10" s="91">
        <v>0</v>
      </c>
      <c r="D10" s="91">
        <v>0</v>
      </c>
      <c r="E10" s="91">
        <v>0</v>
      </c>
      <c r="F10" s="91">
        <v>0</v>
      </c>
      <c r="G10" s="91">
        <f t="shared" si="0"/>
        <v>109</v>
      </c>
    </row>
    <row r="11" spans="1:7" s="91" customFormat="1" x14ac:dyDescent="0.25">
      <c r="A11" s="66" t="s">
        <v>333</v>
      </c>
      <c r="B11" s="123">
        <f t="shared" ref="B11:G11" si="1">SUM(B9:B10)</f>
        <v>327.78999999999996</v>
      </c>
      <c r="C11" s="123">
        <f t="shared" si="1"/>
        <v>218.72</v>
      </c>
      <c r="D11" s="123">
        <f t="shared" si="1"/>
        <v>219.51</v>
      </c>
      <c r="E11" s="123">
        <f t="shared" si="1"/>
        <v>218.41</v>
      </c>
      <c r="F11" s="123">
        <f t="shared" si="1"/>
        <v>216.38</v>
      </c>
      <c r="G11" s="123">
        <f t="shared" si="1"/>
        <v>1200.81</v>
      </c>
    </row>
    <row r="12" spans="1:7" s="91" customFormat="1" x14ac:dyDescent="0.25">
      <c r="A12" t="s">
        <v>279</v>
      </c>
    </row>
    <row r="13" spans="1:7" s="91" customFormat="1" x14ac:dyDescent="0.25">
      <c r="A13" s="66" t="s">
        <v>358</v>
      </c>
    </row>
    <row r="14" spans="1:7" s="91" customFormat="1" x14ac:dyDescent="0.25">
      <c r="A14" t="s">
        <v>304</v>
      </c>
      <c r="B14" s="91">
        <v>3744.3</v>
      </c>
      <c r="C14" s="91">
        <v>2815.01</v>
      </c>
      <c r="D14" s="91">
        <v>3116.6</v>
      </c>
      <c r="E14" s="91">
        <v>2687.25</v>
      </c>
      <c r="F14" s="91">
        <v>3286.89</v>
      </c>
      <c r="G14" s="91">
        <f>SUM(B14:F14)</f>
        <v>15650.05</v>
      </c>
    </row>
    <row r="15" spans="1:7" s="91" customFormat="1" x14ac:dyDescent="0.25">
      <c r="A15" t="s">
        <v>305</v>
      </c>
      <c r="B15" s="91">
        <v>-881.76</v>
      </c>
      <c r="C15" s="91">
        <v>-506.4</v>
      </c>
      <c r="D15" s="91">
        <v>-560.66</v>
      </c>
      <c r="E15" s="91">
        <v>-542.57000000000005</v>
      </c>
      <c r="F15" s="91">
        <v>-280.69</v>
      </c>
      <c r="G15" s="91">
        <f>SUM(B15:F15)</f>
        <v>-2772.08</v>
      </c>
    </row>
    <row r="16" spans="1:7" s="91" customFormat="1" x14ac:dyDescent="0.25">
      <c r="A16" t="s">
        <v>426</v>
      </c>
      <c r="B16" s="91">
        <v>0</v>
      </c>
      <c r="C16" s="91">
        <v>0</v>
      </c>
      <c r="D16" s="91">
        <v>0</v>
      </c>
      <c r="E16" s="91">
        <v>0</v>
      </c>
      <c r="F16" s="91">
        <v>-1250</v>
      </c>
      <c r="G16" s="91">
        <f>SUM(B16:F16)</f>
        <v>-1250</v>
      </c>
    </row>
    <row r="17" spans="1:8" s="91" customFormat="1" x14ac:dyDescent="0.25">
      <c r="A17" s="66" t="s">
        <v>360</v>
      </c>
      <c r="B17" s="123">
        <f>SUM(B14:B16)</f>
        <v>2862.54</v>
      </c>
      <c r="C17" s="123">
        <f t="shared" ref="C17:G17" si="2">SUM(C14:C16)</f>
        <v>2308.61</v>
      </c>
      <c r="D17" s="123">
        <f t="shared" si="2"/>
        <v>2555.94</v>
      </c>
      <c r="E17" s="123">
        <f t="shared" si="2"/>
        <v>2144.6799999999998</v>
      </c>
      <c r="F17" s="123">
        <f t="shared" si="2"/>
        <v>1756.1999999999998</v>
      </c>
      <c r="G17" s="123">
        <f t="shared" si="2"/>
        <v>11627.97</v>
      </c>
    </row>
    <row r="19" spans="1:8" ht="15.75" thickBot="1" x14ac:dyDescent="0.3">
      <c r="A19" s="66" t="s">
        <v>337</v>
      </c>
      <c r="B19" s="125">
        <f>B17-B11</f>
        <v>2534.75</v>
      </c>
      <c r="C19" s="125">
        <f t="shared" ref="C19:F19" si="3">C17-C11</f>
        <v>2089.8900000000003</v>
      </c>
      <c r="D19" s="125">
        <f t="shared" si="3"/>
        <v>2336.4300000000003</v>
      </c>
      <c r="E19" s="125">
        <f t="shared" ref="E19" si="4">E17-E11</f>
        <v>1926.2699999999998</v>
      </c>
      <c r="F19" s="125">
        <f t="shared" si="3"/>
        <v>1539.8199999999997</v>
      </c>
      <c r="G19" s="125">
        <f>G17-G11</f>
        <v>10427.16</v>
      </c>
      <c r="H19"/>
    </row>
    <row r="20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357A-4B88-4B90-AAD9-1420B2979BC4}">
  <sheetPr>
    <tabColor theme="9" tint="0.79998168889431442"/>
  </sheetPr>
  <dimension ref="A1:H83"/>
  <sheetViews>
    <sheetView zoomScaleNormal="100" workbookViewId="0">
      <pane ySplit="6" topLeftCell="A34" activePane="bottomLeft" state="frozen"/>
      <selection pane="bottomLeft" activeCell="J24" sqref="J24"/>
    </sheetView>
  </sheetViews>
  <sheetFormatPr defaultRowHeight="15" x14ac:dyDescent="0.25"/>
  <cols>
    <col min="1" max="1" width="44.42578125" bestFit="1" customWidth="1"/>
    <col min="2" max="3" width="13" style="91" bestFit="1" customWidth="1"/>
    <col min="4" max="4" width="13.42578125" style="91" bestFit="1" customWidth="1"/>
    <col min="5" max="6" width="13" style="91" bestFit="1" customWidth="1"/>
    <col min="7" max="7" width="13.42578125" style="91" bestFit="1" customWidth="1"/>
    <col min="8" max="8" width="9.140625" style="91"/>
    <col min="9" max="9" width="9.5703125" bestFit="1" customWidth="1"/>
    <col min="11" max="11" width="11.5703125" bestFit="1" customWidth="1"/>
  </cols>
  <sheetData>
    <row r="1" spans="1:7" x14ac:dyDescent="0.25">
      <c r="A1" s="214" t="s">
        <v>385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7" spans="1:7" x14ac:dyDescent="0.25">
      <c r="A7" s="66" t="s">
        <v>63</v>
      </c>
    </row>
    <row r="8" spans="1:7" x14ac:dyDescent="0.25">
      <c r="A8" t="s">
        <v>386</v>
      </c>
      <c r="B8" s="91">
        <v>365</v>
      </c>
      <c r="C8" s="91">
        <v>372</v>
      </c>
      <c r="D8" s="91">
        <v>340</v>
      </c>
      <c r="E8" s="91">
        <v>208</v>
      </c>
      <c r="G8" s="91">
        <f>SUM(B8:F8)</f>
        <v>1285</v>
      </c>
    </row>
    <row r="9" spans="1:7" x14ac:dyDescent="0.25">
      <c r="A9" t="s">
        <v>387</v>
      </c>
      <c r="B9" s="91">
        <v>697</v>
      </c>
      <c r="C9" s="91">
        <v>736</v>
      </c>
      <c r="D9" s="91">
        <v>692</v>
      </c>
      <c r="E9" s="91">
        <v>462</v>
      </c>
      <c r="G9" s="91">
        <f t="shared" ref="G9:G13" si="0">SUM(B9:F9)</f>
        <v>2587</v>
      </c>
    </row>
    <row r="10" spans="1:7" x14ac:dyDescent="0.25">
      <c r="A10" t="s">
        <v>411</v>
      </c>
      <c r="B10" s="91">
        <v>207.81</v>
      </c>
      <c r="C10" s="91">
        <v>0</v>
      </c>
      <c r="D10" s="91">
        <v>101.02</v>
      </c>
      <c r="E10" s="91">
        <f>55.84+184</f>
        <v>239.84</v>
      </c>
      <c r="F10" s="91">
        <v>52.71</v>
      </c>
      <c r="G10" s="91">
        <f t="shared" si="0"/>
        <v>601.38</v>
      </c>
    </row>
    <row r="11" spans="1:7" x14ac:dyDescent="0.25">
      <c r="A11" t="s">
        <v>389</v>
      </c>
      <c r="B11" s="91">
        <v>55.65</v>
      </c>
      <c r="C11" s="91">
        <v>1299.6300000000001</v>
      </c>
      <c r="D11" s="91">
        <v>1258.3699999999999</v>
      </c>
      <c r="E11" s="91">
        <v>992.9</v>
      </c>
      <c r="F11" s="91">
        <v>403.64</v>
      </c>
      <c r="G11" s="91">
        <f t="shared" si="0"/>
        <v>4010.19</v>
      </c>
    </row>
    <row r="12" spans="1:7" x14ac:dyDescent="0.25">
      <c r="A12" t="s">
        <v>388</v>
      </c>
      <c r="B12" s="91">
        <v>904.5</v>
      </c>
      <c r="C12" s="91">
        <v>0</v>
      </c>
      <c r="D12" s="91">
        <v>0</v>
      </c>
      <c r="E12" s="91">
        <v>0</v>
      </c>
      <c r="G12" s="91">
        <f t="shared" si="0"/>
        <v>904.5</v>
      </c>
    </row>
    <row r="13" spans="1:7" x14ac:dyDescent="0.25">
      <c r="A13" t="s">
        <v>390</v>
      </c>
      <c r="B13" s="91">
        <v>140541.41</v>
      </c>
      <c r="C13" s="91">
        <v>129527.17</v>
      </c>
      <c r="D13" s="91">
        <v>122190.47</v>
      </c>
      <c r="E13" s="91">
        <v>75732.429999999993</v>
      </c>
      <c r="F13" s="91">
        <v>28298</v>
      </c>
      <c r="G13" s="91">
        <f t="shared" si="0"/>
        <v>496289.48000000004</v>
      </c>
    </row>
    <row r="14" spans="1:7" s="91" customFormat="1" x14ac:dyDescent="0.25">
      <c r="A14" s="66" t="s">
        <v>255</v>
      </c>
      <c r="B14" s="123">
        <f t="shared" ref="B14:G14" si="1">SUM(B8:B13)</f>
        <v>142771.37</v>
      </c>
      <c r="C14" s="123">
        <f t="shared" si="1"/>
        <v>131934.79999999999</v>
      </c>
      <c r="D14" s="123">
        <f t="shared" si="1"/>
        <v>124581.86</v>
      </c>
      <c r="E14" s="123">
        <f t="shared" si="1"/>
        <v>77635.17</v>
      </c>
      <c r="F14" s="123">
        <f t="shared" si="1"/>
        <v>28754.35</v>
      </c>
      <c r="G14" s="123">
        <f t="shared" si="1"/>
        <v>505677.55000000005</v>
      </c>
    </row>
    <row r="16" spans="1:7" s="91" customFormat="1" x14ac:dyDescent="0.25">
      <c r="A16" s="66" t="s">
        <v>316</v>
      </c>
    </row>
    <row r="17" spans="1:7" s="91" customFormat="1" x14ac:dyDescent="0.25">
      <c r="A17" t="s">
        <v>391</v>
      </c>
      <c r="B17" s="91">
        <v>489.92</v>
      </c>
      <c r="C17" s="91">
        <v>578.66999999999996</v>
      </c>
      <c r="D17" s="91">
        <v>0</v>
      </c>
      <c r="E17" s="91">
        <v>0</v>
      </c>
      <c r="F17" s="91">
        <v>0</v>
      </c>
      <c r="G17" s="91">
        <f>SUM(B17:F17)</f>
        <v>1068.5899999999999</v>
      </c>
    </row>
    <row r="18" spans="1:7" s="91" customFormat="1" x14ac:dyDescent="0.25">
      <c r="A18" s="66" t="s">
        <v>319</v>
      </c>
      <c r="B18" s="123">
        <f t="shared" ref="B18:G18" si="2">SUM(B17:B17)</f>
        <v>489.92</v>
      </c>
      <c r="C18" s="123">
        <f t="shared" si="2"/>
        <v>578.66999999999996</v>
      </c>
      <c r="D18" s="123">
        <f t="shared" si="2"/>
        <v>0</v>
      </c>
      <c r="E18" s="123">
        <f t="shared" si="2"/>
        <v>0</v>
      </c>
      <c r="F18" s="123">
        <f t="shared" si="2"/>
        <v>0</v>
      </c>
      <c r="G18" s="123">
        <f t="shared" si="2"/>
        <v>1068.5899999999999</v>
      </c>
    </row>
    <row r="20" spans="1:7" s="91" customFormat="1" ht="15.75" thickBot="1" x14ac:dyDescent="0.3">
      <c r="A20" s="66" t="s">
        <v>242</v>
      </c>
      <c r="B20" s="124">
        <f t="shared" ref="B20:G20" si="3">B14-B18</f>
        <v>142281.44999999998</v>
      </c>
      <c r="C20" s="124">
        <f t="shared" si="3"/>
        <v>131356.12999999998</v>
      </c>
      <c r="D20" s="124">
        <f t="shared" si="3"/>
        <v>124581.86</v>
      </c>
      <c r="E20" s="124">
        <f t="shared" si="3"/>
        <v>77635.17</v>
      </c>
      <c r="F20" s="124">
        <f t="shared" si="3"/>
        <v>28754.35</v>
      </c>
      <c r="G20" s="124">
        <f t="shared" si="3"/>
        <v>504608.96</v>
      </c>
    </row>
    <row r="22" spans="1:7" s="91" customFormat="1" x14ac:dyDescent="0.25">
      <c r="A22" s="66" t="s">
        <v>240</v>
      </c>
    </row>
    <row r="23" spans="1:7" s="91" customFormat="1" x14ac:dyDescent="0.25">
      <c r="A23" t="s">
        <v>257</v>
      </c>
      <c r="G23" s="91">
        <f t="shared" ref="G23" si="4">SUM(B23:E23)</f>
        <v>0</v>
      </c>
    </row>
    <row r="24" spans="1:7" s="91" customFormat="1" x14ac:dyDescent="0.25">
      <c r="A24" t="s">
        <v>320</v>
      </c>
      <c r="B24" s="91">
        <v>12275.35</v>
      </c>
      <c r="C24" s="91">
        <v>24352.44</v>
      </c>
      <c r="D24" s="91">
        <v>34915.49</v>
      </c>
      <c r="E24" s="91">
        <v>21281.54</v>
      </c>
      <c r="F24" s="91">
        <v>16338.69</v>
      </c>
      <c r="G24" s="91">
        <f>SUM(B24:F24)</f>
        <v>109163.51000000001</v>
      </c>
    </row>
    <row r="25" spans="1:7" s="91" customFormat="1" x14ac:dyDescent="0.25">
      <c r="A25" t="s">
        <v>321</v>
      </c>
      <c r="B25" s="91">
        <f>1186.7</f>
        <v>1186.7</v>
      </c>
      <c r="C25" s="91">
        <v>2326.7600000000002</v>
      </c>
      <c r="D25" s="91">
        <v>3211.52</v>
      </c>
      <c r="E25" s="91">
        <v>1831.17</v>
      </c>
      <c r="F25" s="91">
        <v>1300.06</v>
      </c>
      <c r="G25" s="91">
        <f t="shared" ref="G25:G31" si="5">SUM(B25:F25)</f>
        <v>9856.2099999999991</v>
      </c>
    </row>
    <row r="26" spans="1:7" s="91" customFormat="1" x14ac:dyDescent="0.25">
      <c r="A26" t="s">
        <v>322</v>
      </c>
      <c r="B26" s="91">
        <v>5181.21</v>
      </c>
      <c r="C26" s="91">
        <v>5181.21</v>
      </c>
      <c r="D26" s="91">
        <v>5370.82</v>
      </c>
      <c r="E26" s="91">
        <v>5181.21</v>
      </c>
      <c r="F26" s="91">
        <v>5181.21</v>
      </c>
      <c r="G26" s="91">
        <f t="shared" si="5"/>
        <v>26095.66</v>
      </c>
    </row>
    <row r="27" spans="1:7" s="91" customFormat="1" x14ac:dyDescent="0.25">
      <c r="A27" t="s">
        <v>323</v>
      </c>
      <c r="B27" s="91">
        <v>362.79</v>
      </c>
      <c r="C27" s="91">
        <v>362.79</v>
      </c>
      <c r="D27" s="91">
        <v>0</v>
      </c>
      <c r="E27" s="91">
        <v>362.79</v>
      </c>
      <c r="F27" s="91">
        <v>362.79</v>
      </c>
      <c r="G27" s="91">
        <f t="shared" si="5"/>
        <v>1451.16</v>
      </c>
    </row>
    <row r="28" spans="1:7" s="91" customFormat="1" x14ac:dyDescent="0.25">
      <c r="A28" t="s">
        <v>393</v>
      </c>
      <c r="B28" s="91">
        <v>131.22999999999999</v>
      </c>
      <c r="C28" s="91">
        <v>131.22999999999999</v>
      </c>
      <c r="D28" s="91">
        <v>131.13</v>
      </c>
      <c r="E28" s="91">
        <v>131.22999999999999</v>
      </c>
      <c r="F28" s="91">
        <v>131.22999999999999</v>
      </c>
      <c r="G28" s="91">
        <f t="shared" si="5"/>
        <v>656.05</v>
      </c>
    </row>
    <row r="29" spans="1:7" s="91" customFormat="1" x14ac:dyDescent="0.25">
      <c r="A29" t="s">
        <v>369</v>
      </c>
      <c r="B29" s="91">
        <v>450</v>
      </c>
      <c r="C29" s="91">
        <v>450</v>
      </c>
      <c r="D29" s="91">
        <v>450</v>
      </c>
      <c r="E29" s="91">
        <v>450</v>
      </c>
      <c r="F29" s="91">
        <v>450</v>
      </c>
      <c r="G29" s="91">
        <f t="shared" si="5"/>
        <v>2250</v>
      </c>
    </row>
    <row r="30" spans="1:7" s="91" customFormat="1" x14ac:dyDescent="0.25">
      <c r="A30" t="s">
        <v>324</v>
      </c>
      <c r="B30" s="91">
        <v>0</v>
      </c>
      <c r="C30" s="91">
        <v>0</v>
      </c>
      <c r="D30" s="91">
        <v>0</v>
      </c>
      <c r="E30" s="91">
        <v>0</v>
      </c>
      <c r="G30" s="91">
        <f t="shared" si="5"/>
        <v>0</v>
      </c>
    </row>
    <row r="31" spans="1:7" s="91" customFormat="1" x14ac:dyDescent="0.25">
      <c r="A31" t="s">
        <v>392</v>
      </c>
      <c r="B31" s="91">
        <v>5210</v>
      </c>
      <c r="C31" s="91">
        <v>11813</v>
      </c>
      <c r="D31" s="91">
        <v>16429</v>
      </c>
      <c r="E31" s="91">
        <v>6337</v>
      </c>
      <c r="F31" s="91">
        <v>1500</v>
      </c>
      <c r="G31" s="91">
        <f t="shared" si="5"/>
        <v>41289</v>
      </c>
    </row>
    <row r="32" spans="1:7" s="91" customFormat="1" x14ac:dyDescent="0.25">
      <c r="A32" s="66" t="s">
        <v>265</v>
      </c>
      <c r="B32" s="123">
        <f>SUM(B24:B31)</f>
        <v>24797.280000000002</v>
      </c>
      <c r="C32" s="123">
        <f t="shared" ref="C32:G32" si="6">SUM(C24:C31)</f>
        <v>44617.429999999993</v>
      </c>
      <c r="D32" s="123">
        <f t="shared" si="6"/>
        <v>60507.959999999992</v>
      </c>
      <c r="E32" s="123">
        <f t="shared" si="6"/>
        <v>35574.94</v>
      </c>
      <c r="F32" s="123">
        <f t="shared" ref="F32" si="7">SUM(F24:F31)</f>
        <v>25263.98</v>
      </c>
      <c r="G32" s="123">
        <f t="shared" si="6"/>
        <v>190761.59</v>
      </c>
    </row>
    <row r="33" spans="1:7" s="91" customFormat="1" x14ac:dyDescent="0.25">
      <c r="A33" t="s">
        <v>62</v>
      </c>
    </row>
    <row r="34" spans="1:7" s="91" customFormat="1" x14ac:dyDescent="0.25">
      <c r="A34" s="66" t="s">
        <v>325</v>
      </c>
    </row>
    <row r="35" spans="1:7" s="91" customFormat="1" x14ac:dyDescent="0.25">
      <c r="A35" t="s">
        <v>267</v>
      </c>
      <c r="B35" s="91">
        <v>1000</v>
      </c>
      <c r="C35" s="91">
        <v>1000</v>
      </c>
      <c r="D35" s="91">
        <v>1000</v>
      </c>
      <c r="E35" s="91">
        <v>1000</v>
      </c>
      <c r="F35" s="91">
        <v>1000</v>
      </c>
      <c r="G35" s="91">
        <f>SUM(B35:F35)</f>
        <v>5000</v>
      </c>
    </row>
    <row r="36" spans="1:7" s="91" customFormat="1" x14ac:dyDescent="0.25">
      <c r="A36" t="s">
        <v>269</v>
      </c>
      <c r="B36" s="91">
        <v>18970.560000000001</v>
      </c>
      <c r="C36" s="91">
        <v>2008.94</v>
      </c>
      <c r="D36" s="91">
        <v>22275.65</v>
      </c>
      <c r="E36" s="91">
        <v>11359.93</v>
      </c>
      <c r="F36" s="91">
        <v>3739.77</v>
      </c>
      <c r="G36" s="91">
        <f t="shared" ref="G36:G54" si="8">SUM(B36:F36)</f>
        <v>58354.85</v>
      </c>
    </row>
    <row r="37" spans="1:7" s="91" customFormat="1" x14ac:dyDescent="0.25">
      <c r="A37" t="s">
        <v>268</v>
      </c>
      <c r="B37" s="91">
        <v>883.5</v>
      </c>
      <c r="C37" s="91">
        <v>864.5</v>
      </c>
      <c r="D37" s="91">
        <v>800</v>
      </c>
      <c r="E37" s="91">
        <v>739.5</v>
      </c>
      <c r="F37" s="91">
        <v>416</v>
      </c>
      <c r="G37" s="91">
        <f t="shared" si="8"/>
        <v>3703.5</v>
      </c>
    </row>
    <row r="38" spans="1:7" s="91" customFormat="1" x14ac:dyDescent="0.25">
      <c r="A38" t="s">
        <v>374</v>
      </c>
      <c r="B38" s="91">
        <v>233.88</v>
      </c>
      <c r="C38" s="91">
        <v>0</v>
      </c>
      <c r="D38" s="91">
        <v>0</v>
      </c>
      <c r="E38" s="91">
        <v>0</v>
      </c>
      <c r="F38" s="91">
        <v>1298.1400000000001</v>
      </c>
      <c r="G38" s="91">
        <f t="shared" si="8"/>
        <v>1532.02</v>
      </c>
    </row>
    <row r="39" spans="1:7" s="91" customFormat="1" x14ac:dyDescent="0.25">
      <c r="A39" t="s">
        <v>327</v>
      </c>
      <c r="B39" s="91">
        <v>624.76</v>
      </c>
      <c r="C39" s="91">
        <v>504.76</v>
      </c>
      <c r="D39" s="91">
        <v>624.76</v>
      </c>
      <c r="E39" s="91">
        <v>624.76</v>
      </c>
      <c r="F39" s="91">
        <v>624.76</v>
      </c>
      <c r="G39" s="91">
        <f t="shared" si="8"/>
        <v>3003.8</v>
      </c>
    </row>
    <row r="40" spans="1:7" s="91" customFormat="1" x14ac:dyDescent="0.25">
      <c r="A40" t="s">
        <v>270</v>
      </c>
      <c r="B40" s="91">
        <v>0</v>
      </c>
      <c r="C40" s="91">
        <v>0</v>
      </c>
      <c r="D40" s="91">
        <v>0</v>
      </c>
      <c r="E40" s="91">
        <v>0</v>
      </c>
      <c r="F40" s="91">
        <v>0</v>
      </c>
      <c r="G40" s="91">
        <f t="shared" si="8"/>
        <v>0</v>
      </c>
    </row>
    <row r="41" spans="1:7" s="91" customFormat="1" x14ac:dyDescent="0.25">
      <c r="A41" t="s">
        <v>395</v>
      </c>
      <c r="B41" s="91">
        <v>990</v>
      </c>
      <c r="C41" s="91">
        <v>399.19</v>
      </c>
      <c r="D41" s="91">
        <f>292.3+700.49</f>
        <v>992.79</v>
      </c>
      <c r="E41" s="91">
        <v>0</v>
      </c>
      <c r="F41" s="91">
        <v>0</v>
      </c>
      <c r="G41" s="91">
        <f t="shared" si="8"/>
        <v>2381.98</v>
      </c>
    </row>
    <row r="42" spans="1:7" s="91" customFormat="1" x14ac:dyDescent="0.25">
      <c r="A42" t="s">
        <v>396</v>
      </c>
      <c r="B42" s="91">
        <v>1367.42</v>
      </c>
      <c r="C42" s="91">
        <v>0</v>
      </c>
      <c r="D42" s="91">
        <v>573.99</v>
      </c>
      <c r="E42" s="91">
        <v>425.44</v>
      </c>
      <c r="F42" s="91">
        <v>1130</v>
      </c>
      <c r="G42" s="91">
        <f t="shared" si="8"/>
        <v>3496.85</v>
      </c>
    </row>
    <row r="43" spans="1:7" s="91" customFormat="1" x14ac:dyDescent="0.25">
      <c r="A43" t="s">
        <v>397</v>
      </c>
      <c r="B43" s="91">
        <f>103.4+4531.26</f>
        <v>4634.66</v>
      </c>
      <c r="C43" s="91">
        <f>106.4+1356.39</f>
        <v>1462.7900000000002</v>
      </c>
      <c r="D43" s="91">
        <f>106.4+1345.43</f>
        <v>1451.8300000000002</v>
      </c>
      <c r="E43" s="91">
        <f>106.4+873.33</f>
        <v>979.73</v>
      </c>
      <c r="F43" s="91">
        <f>106.4+1079.16</f>
        <v>1185.5600000000002</v>
      </c>
      <c r="G43" s="91">
        <f t="shared" si="8"/>
        <v>9714.57</v>
      </c>
    </row>
    <row r="44" spans="1:7" s="91" customFormat="1" x14ac:dyDescent="0.25">
      <c r="A44" t="s">
        <v>273</v>
      </c>
      <c r="B44" s="91">
        <v>0</v>
      </c>
      <c r="C44" s="91">
        <v>0</v>
      </c>
      <c r="D44" s="91">
        <v>0</v>
      </c>
      <c r="E44" s="91">
        <v>233.66</v>
      </c>
      <c r="F44" s="91">
        <v>0</v>
      </c>
      <c r="G44" s="91">
        <f t="shared" si="8"/>
        <v>233.66</v>
      </c>
    </row>
    <row r="45" spans="1:7" s="91" customFormat="1" x14ac:dyDescent="0.25">
      <c r="A45" t="s">
        <v>274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  <c r="G45" s="91">
        <f t="shared" si="8"/>
        <v>0</v>
      </c>
    </row>
    <row r="46" spans="1:7" s="91" customFormat="1" x14ac:dyDescent="0.25">
      <c r="A46" t="s">
        <v>272</v>
      </c>
      <c r="B46" s="91">
        <v>2424</v>
      </c>
      <c r="C46" s="91">
        <v>2424</v>
      </c>
      <c r="D46" s="91">
        <v>2424</v>
      </c>
      <c r="E46" s="91">
        <v>2424</v>
      </c>
      <c r="F46" s="91">
        <v>2426</v>
      </c>
      <c r="G46" s="91">
        <f t="shared" si="8"/>
        <v>12122</v>
      </c>
    </row>
    <row r="47" spans="1:7" s="91" customFormat="1" x14ac:dyDescent="0.25">
      <c r="A47" t="s">
        <v>394</v>
      </c>
      <c r="B47" s="91">
        <v>109</v>
      </c>
      <c r="C47" s="91">
        <v>0</v>
      </c>
      <c r="D47" s="91">
        <v>456</v>
      </c>
      <c r="E47" s="91">
        <v>0</v>
      </c>
      <c r="G47" s="91">
        <f t="shared" si="8"/>
        <v>565</v>
      </c>
    </row>
    <row r="48" spans="1:7" s="91" customFormat="1" x14ac:dyDescent="0.25">
      <c r="A48" t="s">
        <v>410</v>
      </c>
      <c r="B48" s="91">
        <v>0</v>
      </c>
      <c r="C48" s="91">
        <v>0</v>
      </c>
      <c r="D48" s="91">
        <v>803.9</v>
      </c>
      <c r="E48" s="91">
        <v>0</v>
      </c>
      <c r="F48" s="91">
        <v>1736.17</v>
      </c>
      <c r="G48" s="91">
        <f t="shared" si="8"/>
        <v>2540.0700000000002</v>
      </c>
    </row>
    <row r="49" spans="1:7" s="91" customFormat="1" x14ac:dyDescent="0.25">
      <c r="A49" t="s">
        <v>275</v>
      </c>
      <c r="B49" s="91">
        <v>491.08</v>
      </c>
      <c r="C49" s="91">
        <v>758.32</v>
      </c>
      <c r="D49" s="91">
        <v>0</v>
      </c>
      <c r="E49" s="91">
        <v>168.11</v>
      </c>
      <c r="F49" s="91">
        <v>0</v>
      </c>
      <c r="G49" s="91">
        <f t="shared" si="8"/>
        <v>1417.5100000000002</v>
      </c>
    </row>
    <row r="50" spans="1:7" s="91" customFormat="1" x14ac:dyDescent="0.25">
      <c r="A50" t="s">
        <v>282</v>
      </c>
      <c r="B50" s="91">
        <v>0</v>
      </c>
      <c r="C50" s="91">
        <v>0</v>
      </c>
      <c r="D50" s="91">
        <v>0</v>
      </c>
      <c r="E50" s="91">
        <v>0</v>
      </c>
      <c r="F50" s="91">
        <v>0</v>
      </c>
      <c r="G50" s="91">
        <f t="shared" si="8"/>
        <v>0</v>
      </c>
    </row>
    <row r="51" spans="1:7" s="91" customFormat="1" x14ac:dyDescent="0.25">
      <c r="A51" t="s">
        <v>276</v>
      </c>
      <c r="B51" s="91">
        <v>0</v>
      </c>
      <c r="C51" s="91">
        <v>0</v>
      </c>
      <c r="D51" s="91">
        <v>0</v>
      </c>
      <c r="E51" s="91">
        <v>0</v>
      </c>
      <c r="F51" s="91">
        <v>0</v>
      </c>
      <c r="G51" s="91">
        <f t="shared" si="8"/>
        <v>0</v>
      </c>
    </row>
    <row r="52" spans="1:7" s="91" customFormat="1" x14ac:dyDescent="0.25">
      <c r="A52" t="s">
        <v>329</v>
      </c>
      <c r="B52" s="91">
        <v>9382.49</v>
      </c>
      <c r="C52" s="91">
        <v>9382.09</v>
      </c>
      <c r="D52" s="91">
        <v>9382.09</v>
      </c>
      <c r="E52" s="91">
        <v>9382.09</v>
      </c>
      <c r="F52" s="91">
        <v>9382.09</v>
      </c>
      <c r="G52" s="91">
        <f t="shared" si="8"/>
        <v>46910.850000000006</v>
      </c>
    </row>
    <row r="53" spans="1:7" s="91" customFormat="1" x14ac:dyDescent="0.25">
      <c r="A53" t="s">
        <v>332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  <c r="G53" s="91">
        <f t="shared" si="8"/>
        <v>0</v>
      </c>
    </row>
    <row r="54" spans="1:7" s="91" customFormat="1" x14ac:dyDescent="0.25">
      <c r="A54" t="s">
        <v>407</v>
      </c>
      <c r="B54" s="91">
        <v>0</v>
      </c>
      <c r="C54" s="91">
        <v>2048</v>
      </c>
      <c r="D54" s="91">
        <v>0</v>
      </c>
      <c r="E54" s="91">
        <v>324.79000000000002</v>
      </c>
      <c r="F54" s="91">
        <v>0</v>
      </c>
      <c r="G54" s="91">
        <f t="shared" si="8"/>
        <v>2372.79</v>
      </c>
    </row>
    <row r="55" spans="1:7" s="91" customFormat="1" x14ac:dyDescent="0.25">
      <c r="A55" t="s">
        <v>408</v>
      </c>
      <c r="B55" s="91">
        <v>1140.8399999999999</v>
      </c>
      <c r="C55" s="91">
        <v>925.84</v>
      </c>
      <c r="D55" s="91">
        <v>0</v>
      </c>
      <c r="E55" s="91">
        <v>795.42</v>
      </c>
      <c r="F55" s="91">
        <v>345.42</v>
      </c>
      <c r="G55" s="91">
        <f>SUM(B55:F55)</f>
        <v>3207.52</v>
      </c>
    </row>
    <row r="56" spans="1:7" s="91" customFormat="1" x14ac:dyDescent="0.25">
      <c r="A56" s="66" t="s">
        <v>371</v>
      </c>
      <c r="B56" s="123">
        <f t="shared" ref="B56:G56" si="9">SUM(B35:B55)</f>
        <v>42252.19</v>
      </c>
      <c r="C56" s="123">
        <f t="shared" si="9"/>
        <v>21778.43</v>
      </c>
      <c r="D56" s="123">
        <f t="shared" si="9"/>
        <v>40785.010000000009</v>
      </c>
      <c r="E56" s="123">
        <f t="shared" si="9"/>
        <v>28457.43</v>
      </c>
      <c r="F56" s="123">
        <f t="shared" si="9"/>
        <v>23283.91</v>
      </c>
      <c r="G56" s="123">
        <f t="shared" si="9"/>
        <v>156556.97000000003</v>
      </c>
    </row>
    <row r="58" spans="1:7" s="91" customFormat="1" x14ac:dyDescent="0.25">
      <c r="A58" s="66" t="s">
        <v>330</v>
      </c>
    </row>
    <row r="59" spans="1:7" s="91" customFormat="1" x14ac:dyDescent="0.25">
      <c r="A59" t="s">
        <v>285</v>
      </c>
      <c r="B59" s="91">
        <v>312.36</v>
      </c>
      <c r="C59" s="91">
        <v>716.18</v>
      </c>
      <c r="D59" s="91">
        <v>449.5</v>
      </c>
      <c r="E59" s="91">
        <v>269.7</v>
      </c>
      <c r="F59" s="91">
        <v>285.98</v>
      </c>
      <c r="G59" s="91">
        <f>SUM(B59:F59)</f>
        <v>2033.72</v>
      </c>
    </row>
    <row r="60" spans="1:7" s="91" customFormat="1" ht="14.25" customHeight="1" x14ac:dyDescent="0.25">
      <c r="A60" t="s">
        <v>286</v>
      </c>
      <c r="B60" s="91">
        <v>695.17</v>
      </c>
      <c r="C60" s="91">
        <v>459.08</v>
      </c>
      <c r="D60" s="91">
        <v>395.17</v>
      </c>
      <c r="E60" s="91">
        <v>502.1</v>
      </c>
      <c r="F60" s="91">
        <v>-168.47</v>
      </c>
      <c r="G60" s="91">
        <f t="shared" ref="G60:G69" si="10">SUM(B60:F60)</f>
        <v>1883.05</v>
      </c>
    </row>
    <row r="61" spans="1:7" s="91" customFormat="1" ht="14.25" customHeight="1" x14ac:dyDescent="0.25">
      <c r="A61" t="s">
        <v>401</v>
      </c>
      <c r="B61" s="91">
        <v>485.42</v>
      </c>
      <c r="C61" s="91">
        <v>636.49</v>
      </c>
      <c r="D61" s="91">
        <v>407.96</v>
      </c>
      <c r="E61" s="91">
        <v>543.39</v>
      </c>
      <c r="F61" s="91">
        <v>372.65</v>
      </c>
      <c r="G61" s="91">
        <f t="shared" si="10"/>
        <v>2445.9100000000003</v>
      </c>
    </row>
    <row r="62" spans="1:7" s="91" customFormat="1" x14ac:dyDescent="0.25">
      <c r="A62" t="s">
        <v>331</v>
      </c>
      <c r="B62" s="91">
        <v>0</v>
      </c>
      <c r="C62" s="91">
        <v>200</v>
      </c>
      <c r="D62" s="91">
        <v>250</v>
      </c>
      <c r="E62" s="91">
        <v>300</v>
      </c>
      <c r="F62" s="91">
        <v>850</v>
      </c>
      <c r="G62" s="91">
        <f t="shared" si="10"/>
        <v>1600</v>
      </c>
    </row>
    <row r="63" spans="1:7" s="91" customFormat="1" x14ac:dyDescent="0.25">
      <c r="A63" t="s">
        <v>343</v>
      </c>
      <c r="B63" s="91">
        <v>265.62</v>
      </c>
      <c r="C63" s="91">
        <v>265.62</v>
      </c>
      <c r="D63" s="91">
        <v>0</v>
      </c>
      <c r="E63" s="91">
        <v>132.81</v>
      </c>
      <c r="F63" s="91">
        <v>132.81</v>
      </c>
      <c r="G63" s="91">
        <f t="shared" si="10"/>
        <v>796.8599999999999</v>
      </c>
    </row>
    <row r="64" spans="1:7" s="91" customFormat="1" x14ac:dyDescent="0.25">
      <c r="A64" t="s">
        <v>409</v>
      </c>
      <c r="B64" s="91">
        <v>0</v>
      </c>
      <c r="C64" s="91">
        <v>7242.01</v>
      </c>
      <c r="D64" s="91">
        <v>0</v>
      </c>
      <c r="E64" s="91">
        <v>3087.89</v>
      </c>
      <c r="F64" s="91">
        <v>0</v>
      </c>
      <c r="G64" s="91">
        <f t="shared" si="10"/>
        <v>10329.9</v>
      </c>
    </row>
    <row r="65" spans="1:7" s="91" customFormat="1" x14ac:dyDescent="0.25">
      <c r="A65" t="s">
        <v>287</v>
      </c>
      <c r="B65" s="91">
        <v>792.59</v>
      </c>
      <c r="C65" s="91">
        <v>18.940000000000001</v>
      </c>
      <c r="D65" s="91">
        <v>0</v>
      </c>
      <c r="E65" s="91">
        <v>164.03</v>
      </c>
      <c r="F65" s="91">
        <v>0</v>
      </c>
      <c r="G65" s="91">
        <f t="shared" si="10"/>
        <v>975.56000000000006</v>
      </c>
    </row>
    <row r="66" spans="1:7" s="91" customFormat="1" x14ac:dyDescent="0.25">
      <c r="A66" t="s">
        <v>398</v>
      </c>
      <c r="B66" s="91">
        <v>550</v>
      </c>
      <c r="C66" s="91">
        <v>550</v>
      </c>
      <c r="D66" s="91">
        <v>550</v>
      </c>
      <c r="E66" s="91">
        <v>550</v>
      </c>
      <c r="F66" s="91">
        <v>550</v>
      </c>
      <c r="G66" s="91">
        <f t="shared" si="10"/>
        <v>2750</v>
      </c>
    </row>
    <row r="67" spans="1:7" s="91" customFormat="1" x14ac:dyDescent="0.25">
      <c r="A67" t="s">
        <v>399</v>
      </c>
      <c r="B67" s="91">
        <v>1500</v>
      </c>
      <c r="C67" s="91">
        <v>1500</v>
      </c>
      <c r="D67" s="91">
        <v>1500</v>
      </c>
      <c r="E67" s="91">
        <v>1500</v>
      </c>
      <c r="F67" s="91">
        <v>1500</v>
      </c>
      <c r="G67" s="91">
        <f t="shared" si="10"/>
        <v>7500</v>
      </c>
    </row>
    <row r="68" spans="1:7" s="91" customFormat="1" x14ac:dyDescent="0.25">
      <c r="A68" t="s">
        <v>400</v>
      </c>
      <c r="B68" s="91">
        <v>0</v>
      </c>
      <c r="C68" s="91">
        <v>0</v>
      </c>
      <c r="D68" s="91">
        <v>0</v>
      </c>
      <c r="E68" s="91">
        <v>0</v>
      </c>
      <c r="F68" s="91">
        <v>0</v>
      </c>
      <c r="G68" s="91">
        <f t="shared" si="10"/>
        <v>0</v>
      </c>
    </row>
    <row r="69" spans="1:7" s="91" customFormat="1" x14ac:dyDescent="0.25">
      <c r="A69" t="s">
        <v>290</v>
      </c>
      <c r="B69" s="91">
        <v>0</v>
      </c>
      <c r="C69" s="91">
        <v>0</v>
      </c>
      <c r="D69" s="91">
        <v>0</v>
      </c>
      <c r="E69" s="91">
        <v>0</v>
      </c>
      <c r="F69" s="91">
        <v>0</v>
      </c>
      <c r="G69" s="91">
        <f t="shared" si="10"/>
        <v>0</v>
      </c>
    </row>
    <row r="70" spans="1:7" s="91" customFormat="1" x14ac:dyDescent="0.25">
      <c r="A70" s="66" t="s">
        <v>333</v>
      </c>
      <c r="B70" s="123">
        <f>SUM(B59:B69)</f>
        <v>4601.16</v>
      </c>
      <c r="C70" s="123">
        <f t="shared" ref="C70:G70" si="11">SUM(C59:C69)</f>
        <v>11588.320000000002</v>
      </c>
      <c r="D70" s="123">
        <f t="shared" si="11"/>
        <v>3552.63</v>
      </c>
      <c r="E70" s="123">
        <f t="shared" si="11"/>
        <v>7049.9199999999992</v>
      </c>
      <c r="F70" s="123">
        <f t="shared" ref="F70" si="12">SUM(F59:F69)</f>
        <v>3522.97</v>
      </c>
      <c r="G70" s="123">
        <f t="shared" si="11"/>
        <v>30315.000000000004</v>
      </c>
    </row>
    <row r="71" spans="1:7" s="91" customFormat="1" x14ac:dyDescent="0.25">
      <c r="A71" t="s">
        <v>279</v>
      </c>
    </row>
    <row r="72" spans="1:7" s="91" customFormat="1" ht="15.75" thickBot="1" x14ac:dyDescent="0.3">
      <c r="A72" s="66" t="s">
        <v>241</v>
      </c>
      <c r="B72" s="124">
        <f t="shared" ref="B72:G72" si="13">B32+B56+B70</f>
        <v>71650.63</v>
      </c>
      <c r="C72" s="124">
        <f t="shared" si="13"/>
        <v>77984.179999999993</v>
      </c>
      <c r="D72" s="124">
        <f t="shared" si="13"/>
        <v>104845.6</v>
      </c>
      <c r="E72" s="124">
        <f t="shared" si="13"/>
        <v>71082.290000000008</v>
      </c>
      <c r="F72" s="124">
        <f t="shared" si="13"/>
        <v>52070.86</v>
      </c>
      <c r="G72" s="124">
        <f t="shared" si="13"/>
        <v>377633.56000000006</v>
      </c>
    </row>
    <row r="74" spans="1:7" s="91" customFormat="1" x14ac:dyDescent="0.25">
      <c r="A74" s="66" t="s">
        <v>334</v>
      </c>
    </row>
    <row r="75" spans="1:7" s="91" customFormat="1" x14ac:dyDescent="0.25">
      <c r="A75" t="s">
        <v>403</v>
      </c>
      <c r="B75" s="91">
        <v>5000</v>
      </c>
      <c r="C75" s="91">
        <v>5000</v>
      </c>
      <c r="D75" s="91">
        <v>5000</v>
      </c>
      <c r="E75" s="91">
        <v>5000</v>
      </c>
      <c r="F75" s="91">
        <v>5000</v>
      </c>
      <c r="G75" s="91">
        <f>SUM(B75:F75)</f>
        <v>25000</v>
      </c>
    </row>
    <row r="76" spans="1:7" s="91" customFormat="1" x14ac:dyDescent="0.25">
      <c r="A76" t="s">
        <v>402</v>
      </c>
      <c r="B76" s="91">
        <v>1000</v>
      </c>
      <c r="C76" s="91">
        <v>1000</v>
      </c>
      <c r="D76" s="91">
        <v>1000</v>
      </c>
      <c r="E76" s="91">
        <v>1000</v>
      </c>
      <c r="F76" s="91">
        <v>0</v>
      </c>
      <c r="G76" s="91">
        <f t="shared" ref="G76:G79" si="14">SUM(B76:F76)</f>
        <v>4000</v>
      </c>
    </row>
    <row r="77" spans="1:7" s="91" customFormat="1" x14ac:dyDescent="0.25">
      <c r="A77" t="s">
        <v>404</v>
      </c>
      <c r="B77" s="91">
        <v>1833.08</v>
      </c>
      <c r="C77" s="91">
        <v>0</v>
      </c>
      <c r="D77" s="91">
        <v>0</v>
      </c>
      <c r="E77" s="91">
        <v>0</v>
      </c>
      <c r="F77" s="91">
        <v>0</v>
      </c>
      <c r="G77" s="91">
        <f t="shared" si="14"/>
        <v>1833.08</v>
      </c>
    </row>
    <row r="78" spans="1:7" s="91" customFormat="1" x14ac:dyDescent="0.25">
      <c r="A78" t="s">
        <v>405</v>
      </c>
      <c r="B78" s="91">
        <v>-3691.03</v>
      </c>
      <c r="C78" s="91">
        <v>-3673.36</v>
      </c>
      <c r="D78" s="91">
        <v>-3655.63</v>
      </c>
      <c r="E78" s="91">
        <v>-3637.86</v>
      </c>
      <c r="F78" s="91">
        <v>-3620.04</v>
      </c>
      <c r="G78" s="91">
        <f t="shared" si="14"/>
        <v>-18277.920000000002</v>
      </c>
    </row>
    <row r="79" spans="1:7" s="91" customFormat="1" x14ac:dyDescent="0.25">
      <c r="A79" t="s">
        <v>406</v>
      </c>
      <c r="B79" s="91">
        <v>-6058.71</v>
      </c>
      <c r="C79" s="91">
        <v>-6058.71</v>
      </c>
      <c r="D79" s="91">
        <v>-6058.71</v>
      </c>
      <c r="E79" s="91">
        <v>-6058.71</v>
      </c>
      <c r="F79" s="91">
        <v>-6058.71</v>
      </c>
      <c r="G79" s="91">
        <f t="shared" si="14"/>
        <v>-30293.55</v>
      </c>
    </row>
    <row r="80" spans="1:7" x14ac:dyDescent="0.25">
      <c r="A80" s="66" t="s">
        <v>336</v>
      </c>
      <c r="B80" s="123">
        <f t="shared" ref="B80:G80" si="15">SUM(B75:B79)</f>
        <v>-1916.6600000000008</v>
      </c>
      <c r="C80" s="123">
        <f t="shared" si="15"/>
        <v>-3732.07</v>
      </c>
      <c r="D80" s="123">
        <f t="shared" si="15"/>
        <v>-3714.34</v>
      </c>
      <c r="E80" s="123">
        <f t="shared" si="15"/>
        <v>-3696.57</v>
      </c>
      <c r="F80" s="123">
        <f t="shared" si="15"/>
        <v>-4678.75</v>
      </c>
      <c r="G80" s="123">
        <f t="shared" si="15"/>
        <v>-17738.39</v>
      </c>
    </row>
    <row r="82" spans="1:8" ht="15.75" thickBot="1" x14ac:dyDescent="0.3">
      <c r="A82" s="66" t="s">
        <v>337</v>
      </c>
      <c r="B82" s="125">
        <f t="shared" ref="B82:G82" si="16">B20-B72+B80</f>
        <v>68714.159999999974</v>
      </c>
      <c r="C82" s="125">
        <f t="shared" si="16"/>
        <v>49639.879999999983</v>
      </c>
      <c r="D82" s="125">
        <f t="shared" si="16"/>
        <v>16021.919999999995</v>
      </c>
      <c r="E82" s="125">
        <f t="shared" si="16"/>
        <v>2856.3099999999899</v>
      </c>
      <c r="F82" s="125">
        <f t="shared" si="16"/>
        <v>-27995.260000000002</v>
      </c>
      <c r="G82" s="125">
        <f t="shared" si="16"/>
        <v>109237.00999999997</v>
      </c>
      <c r="H82"/>
    </row>
    <row r="83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73" orientation="portrait" r:id="rId1"/>
  <rowBreaks count="1" manualBreakCount="1">
    <brk id="57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D844B-ABAB-447D-916D-9CCBD6CD94FC}">
  <sheetPr>
    <tabColor theme="9" tint="0.79998168889431442"/>
  </sheetPr>
  <dimension ref="A1:H29"/>
  <sheetViews>
    <sheetView zoomScaleNormal="100" workbookViewId="0">
      <pane ySplit="6" topLeftCell="A7" activePane="bottomLeft" state="frozen"/>
      <selection pane="bottomLeft" activeCell="A2" sqref="A2:G2"/>
    </sheetView>
  </sheetViews>
  <sheetFormatPr defaultRowHeight="15" x14ac:dyDescent="0.25"/>
  <cols>
    <col min="1" max="1" width="44.42578125" bestFit="1" customWidth="1"/>
    <col min="2" max="3" width="13" style="91" bestFit="1" customWidth="1"/>
    <col min="4" max="4" width="13.42578125" style="91" bestFit="1" customWidth="1"/>
    <col min="5" max="6" width="13" style="91" bestFit="1" customWidth="1"/>
    <col min="7" max="7" width="13.42578125" style="91" bestFit="1" customWidth="1"/>
    <col min="8" max="8" width="9.140625" style="91"/>
    <col min="9" max="9" width="9.5703125" bestFit="1" customWidth="1"/>
    <col min="11" max="11" width="11.5703125" bestFit="1" customWidth="1"/>
  </cols>
  <sheetData>
    <row r="1" spans="1:7" x14ac:dyDescent="0.25">
      <c r="A1" s="214" t="s">
        <v>461</v>
      </c>
      <c r="B1" s="214"/>
      <c r="C1" s="214"/>
      <c r="D1" s="214"/>
      <c r="E1" s="214"/>
      <c r="F1" s="214"/>
      <c r="G1" s="214"/>
    </row>
    <row r="2" spans="1:7" x14ac:dyDescent="0.25">
      <c r="A2" s="214" t="s">
        <v>310</v>
      </c>
      <c r="B2" s="214"/>
      <c r="C2" s="214"/>
      <c r="D2" s="214"/>
      <c r="E2" s="214"/>
      <c r="F2" s="214"/>
      <c r="G2" s="214"/>
    </row>
    <row r="3" spans="1:7" x14ac:dyDescent="0.25">
      <c r="A3" s="214">
        <v>2018</v>
      </c>
      <c r="B3" s="214"/>
      <c r="C3" s="214"/>
      <c r="D3" s="214"/>
      <c r="E3" s="214"/>
      <c r="F3" s="214"/>
      <c r="G3" s="214"/>
    </row>
    <row r="4" spans="1:7" x14ac:dyDescent="0.25">
      <c r="A4" s="122"/>
      <c r="B4" s="122"/>
      <c r="C4" s="122"/>
      <c r="D4" s="122"/>
      <c r="E4" s="122"/>
      <c r="F4" s="122"/>
      <c r="G4" s="122"/>
    </row>
    <row r="5" spans="1:7" x14ac:dyDescent="0.25">
      <c r="A5" s="122"/>
      <c r="B5" s="122"/>
      <c r="C5" s="122"/>
      <c r="D5" s="122"/>
      <c r="E5" s="122"/>
      <c r="F5" s="122"/>
      <c r="G5" s="122"/>
    </row>
    <row r="6" spans="1:7" x14ac:dyDescent="0.25">
      <c r="B6" s="126" t="s">
        <v>338</v>
      </c>
      <c r="C6" s="126" t="s">
        <v>339</v>
      </c>
      <c r="D6" s="126" t="s">
        <v>340</v>
      </c>
      <c r="E6" s="126" t="s">
        <v>341</v>
      </c>
      <c r="F6" s="126" t="s">
        <v>417</v>
      </c>
      <c r="G6" s="126" t="s">
        <v>217</v>
      </c>
    </row>
    <row r="8" spans="1:7" s="91" customFormat="1" x14ac:dyDescent="0.25">
      <c r="A8" s="66" t="s">
        <v>240</v>
      </c>
    </row>
    <row r="9" spans="1:7" s="91" customFormat="1" x14ac:dyDescent="0.25">
      <c r="A9" s="66" t="s">
        <v>325</v>
      </c>
    </row>
    <row r="10" spans="1:7" s="91" customFormat="1" x14ac:dyDescent="0.25">
      <c r="A10" t="s">
        <v>394</v>
      </c>
      <c r="E10" s="91">
        <v>520</v>
      </c>
      <c r="G10" s="91">
        <f t="shared" ref="G10:G11" si="0">SUM(B10:F10)</f>
        <v>520</v>
      </c>
    </row>
    <row r="11" spans="1:7" s="91" customFormat="1" x14ac:dyDescent="0.25">
      <c r="A11" t="s">
        <v>329</v>
      </c>
      <c r="B11" s="91">
        <v>9251.27</v>
      </c>
      <c r="C11" s="91">
        <v>9251.27</v>
      </c>
      <c r="D11" s="91">
        <v>9251.27</v>
      </c>
      <c r="E11" s="91">
        <v>9251.27</v>
      </c>
      <c r="F11" s="91">
        <v>9251.27</v>
      </c>
      <c r="G11" s="91">
        <f t="shared" si="0"/>
        <v>46256.350000000006</v>
      </c>
    </row>
    <row r="12" spans="1:7" s="91" customFormat="1" x14ac:dyDescent="0.25">
      <c r="A12" s="66" t="s">
        <v>371</v>
      </c>
      <c r="B12" s="123">
        <f t="shared" ref="B12:G12" si="1">SUM(B10:B11)</f>
        <v>9251.27</v>
      </c>
      <c r="C12" s="123">
        <f t="shared" si="1"/>
        <v>9251.27</v>
      </c>
      <c r="D12" s="123">
        <f t="shared" si="1"/>
        <v>9251.27</v>
      </c>
      <c r="E12" s="123">
        <f t="shared" si="1"/>
        <v>9771.27</v>
      </c>
      <c r="F12" s="123">
        <f t="shared" si="1"/>
        <v>9251.27</v>
      </c>
      <c r="G12" s="123">
        <f t="shared" si="1"/>
        <v>46776.350000000006</v>
      </c>
    </row>
    <row r="14" spans="1:7" s="91" customFormat="1" x14ac:dyDescent="0.25">
      <c r="A14" s="66" t="s">
        <v>330</v>
      </c>
    </row>
    <row r="15" spans="1:7" s="91" customFormat="1" x14ac:dyDescent="0.25">
      <c r="A15" t="s">
        <v>398</v>
      </c>
      <c r="B15" s="91">
        <v>265</v>
      </c>
      <c r="C15" s="91">
        <v>265</v>
      </c>
      <c r="D15" s="91">
        <v>265</v>
      </c>
      <c r="E15" s="91">
        <v>265</v>
      </c>
      <c r="F15" s="91">
        <v>265</v>
      </c>
      <c r="G15" s="91">
        <f t="shared" ref="G15" si="2">SUM(B15:F15)</f>
        <v>1325</v>
      </c>
    </row>
    <row r="16" spans="1:7" s="91" customFormat="1" x14ac:dyDescent="0.25">
      <c r="A16" s="66" t="s">
        <v>333</v>
      </c>
      <c r="B16" s="123">
        <f t="shared" ref="B16:G16" si="3">SUM(B15:B15)</f>
        <v>265</v>
      </c>
      <c r="C16" s="123">
        <f t="shared" si="3"/>
        <v>265</v>
      </c>
      <c r="D16" s="123">
        <f t="shared" si="3"/>
        <v>265</v>
      </c>
      <c r="E16" s="123">
        <f t="shared" si="3"/>
        <v>265</v>
      </c>
      <c r="F16" s="123">
        <f t="shared" si="3"/>
        <v>265</v>
      </c>
      <c r="G16" s="123">
        <f t="shared" si="3"/>
        <v>1325</v>
      </c>
    </row>
    <row r="17" spans="1:8" s="91" customFormat="1" x14ac:dyDescent="0.25">
      <c r="A17" t="s">
        <v>279</v>
      </c>
    </row>
    <row r="18" spans="1:8" s="91" customFormat="1" ht="15.75" thickBot="1" x14ac:dyDescent="0.3">
      <c r="A18" s="66" t="s">
        <v>241</v>
      </c>
      <c r="B18" s="124">
        <f t="shared" ref="B18:G18" si="4">B12+B16</f>
        <v>9516.27</v>
      </c>
      <c r="C18" s="124">
        <f t="shared" si="4"/>
        <v>9516.27</v>
      </c>
      <c r="D18" s="124">
        <f t="shared" si="4"/>
        <v>9516.27</v>
      </c>
      <c r="E18" s="124">
        <f t="shared" si="4"/>
        <v>10036.27</v>
      </c>
      <c r="F18" s="124">
        <f t="shared" si="4"/>
        <v>9516.27</v>
      </c>
      <c r="G18" s="124">
        <f t="shared" si="4"/>
        <v>48101.350000000006</v>
      </c>
    </row>
    <row r="20" spans="1:8" s="91" customFormat="1" x14ac:dyDescent="0.25">
      <c r="A20" s="66" t="s">
        <v>334</v>
      </c>
    </row>
    <row r="21" spans="1:8" s="91" customFormat="1" x14ac:dyDescent="0.25">
      <c r="A21" t="s">
        <v>403</v>
      </c>
      <c r="B21" s="91">
        <v>16700</v>
      </c>
      <c r="C21" s="91">
        <v>16700</v>
      </c>
      <c r="D21" s="91">
        <v>16700</v>
      </c>
      <c r="E21" s="91">
        <v>16700</v>
      </c>
      <c r="F21" s="91">
        <v>16700</v>
      </c>
      <c r="G21" s="91">
        <f>SUM(B21:F21)</f>
        <v>83500</v>
      </c>
    </row>
    <row r="22" spans="1:8" s="91" customFormat="1" x14ac:dyDescent="0.25">
      <c r="A22" t="s">
        <v>452</v>
      </c>
      <c r="B22" s="91">
        <v>1000</v>
      </c>
      <c r="C22" s="91">
        <v>1000</v>
      </c>
      <c r="D22" s="91">
        <v>1000</v>
      </c>
      <c r="E22" s="91">
        <v>1000</v>
      </c>
      <c r="F22" s="91">
        <v>1000</v>
      </c>
      <c r="G22" s="91">
        <f t="shared" ref="G22:G25" si="5">SUM(B22:F22)</f>
        <v>5000</v>
      </c>
    </row>
    <row r="23" spans="1:8" s="91" customFormat="1" x14ac:dyDescent="0.25">
      <c r="A23" t="s">
        <v>404</v>
      </c>
      <c r="B23" s="91">
        <v>1.01</v>
      </c>
      <c r="G23" s="91">
        <f t="shared" si="5"/>
        <v>1.01</v>
      </c>
    </row>
    <row r="24" spans="1:8" s="91" customFormat="1" x14ac:dyDescent="0.25">
      <c r="A24" t="s">
        <v>304</v>
      </c>
      <c r="B24" s="91">
        <v>3691.03</v>
      </c>
      <c r="C24" s="91">
        <v>3673.36</v>
      </c>
      <c r="D24" s="91">
        <v>3655.63</v>
      </c>
      <c r="E24" s="91">
        <v>3637.86</v>
      </c>
      <c r="F24" s="91">
        <v>3620.04</v>
      </c>
      <c r="G24" s="91">
        <f t="shared" si="5"/>
        <v>18277.920000000002</v>
      </c>
    </row>
    <row r="25" spans="1:8" s="91" customFormat="1" x14ac:dyDescent="0.25">
      <c r="A25" t="s">
        <v>305</v>
      </c>
      <c r="B25" s="91">
        <v>-860.93</v>
      </c>
      <c r="C25" s="91">
        <v>-860.93</v>
      </c>
      <c r="D25" s="91">
        <v>-860.93</v>
      </c>
      <c r="E25" s="91">
        <v>-860.93</v>
      </c>
      <c r="F25" s="91">
        <v>-860.93</v>
      </c>
      <c r="G25" s="91">
        <f t="shared" si="5"/>
        <v>-4304.6499999999996</v>
      </c>
    </row>
    <row r="26" spans="1:8" s="91" customFormat="1" x14ac:dyDescent="0.25">
      <c r="A26" s="66" t="s">
        <v>336</v>
      </c>
      <c r="B26" s="123">
        <f t="shared" ref="B26:G26" si="6">SUM(B21:B25)</f>
        <v>20531.109999999997</v>
      </c>
      <c r="C26" s="123">
        <f t="shared" si="6"/>
        <v>20512.43</v>
      </c>
      <c r="D26" s="123">
        <f t="shared" si="6"/>
        <v>20494.7</v>
      </c>
      <c r="E26" s="123">
        <f t="shared" si="6"/>
        <v>20476.93</v>
      </c>
      <c r="F26" s="123">
        <f t="shared" si="6"/>
        <v>20459.11</v>
      </c>
      <c r="G26" s="123">
        <f t="shared" si="6"/>
        <v>102474.28</v>
      </c>
    </row>
    <row r="28" spans="1:8" ht="15.75" thickBot="1" x14ac:dyDescent="0.3">
      <c r="A28" s="66" t="s">
        <v>337</v>
      </c>
      <c r="B28" s="125">
        <f>B26-B18</f>
        <v>11014.839999999997</v>
      </c>
      <c r="C28" s="125">
        <f t="shared" ref="C28:G28" si="7">C26-C18</f>
        <v>10996.16</v>
      </c>
      <c r="D28" s="125">
        <f t="shared" si="7"/>
        <v>10978.43</v>
      </c>
      <c r="E28" s="125">
        <f t="shared" si="7"/>
        <v>10440.66</v>
      </c>
      <c r="F28" s="125">
        <f t="shared" si="7"/>
        <v>10942.84</v>
      </c>
      <c r="G28" s="125">
        <f t="shared" si="7"/>
        <v>54372.929999999993</v>
      </c>
      <c r="H28"/>
    </row>
    <row r="29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7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Summary YTD 05.31.18 (condensd)</vt:lpstr>
      <vt:lpstr>Summary YTD 05.31.18</vt:lpstr>
      <vt:lpstr>Comp Summary YTD 2018-2017 May</vt:lpstr>
      <vt:lpstr>Comparative YTD 2018-2017 May</vt:lpstr>
      <vt:lpstr>DEP</vt:lpstr>
      <vt:lpstr>BPM</vt:lpstr>
      <vt:lpstr>Lending</vt:lpstr>
      <vt:lpstr>BSC (Dome)</vt:lpstr>
      <vt:lpstr>Oliari Co.</vt:lpstr>
      <vt:lpstr>722 Bedford St</vt:lpstr>
      <vt:lpstr>Sheet1</vt:lpstr>
      <vt:lpstr>CNT (G.P. by Metal)</vt:lpstr>
      <vt:lpstr>CNT (from FS Analysis)</vt:lpstr>
      <vt:lpstr>'722 Bedford St'!Print_Area</vt:lpstr>
      <vt:lpstr>'BSC (Dome)'!Print_Area</vt:lpstr>
      <vt:lpstr>'CNT (from FS Analysis)'!Print_Area</vt:lpstr>
      <vt:lpstr>'CNT (G.P. by Metal)'!Print_Area</vt:lpstr>
      <vt:lpstr>'Comp Summary YTD 2018-2017 May'!Print_Area</vt:lpstr>
      <vt:lpstr>'Comparative YTD 2018-2017 May'!Print_Area</vt:lpstr>
      <vt:lpstr>'Oliari Co.'!Print_Area</vt:lpstr>
      <vt:lpstr>'Summary YTD 05.31.18'!Print_Area</vt:lpstr>
      <vt:lpstr>'Summary YTD 05.31.18 (condensd)'!Print_Area</vt:lpstr>
      <vt:lpstr>'CNT (from FS Analysis)'!Print_Titles</vt:lpstr>
      <vt:lpstr>'Comp Summary YTD 2018-2017 May'!Print_Titles</vt:lpstr>
      <vt:lpstr>'Comparative YTD 2018-2017 May'!Print_Titles</vt:lpstr>
      <vt:lpstr>'Summary YTD 05.31.18'!Print_Titles</vt:lpstr>
      <vt:lpstr>'Summary YTD 05.31.18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2018-06-28T20:49:47Z</cp:lastPrinted>
  <dcterms:created xsi:type="dcterms:W3CDTF">2018-05-13T15:03:39Z</dcterms:created>
  <dcterms:modified xsi:type="dcterms:W3CDTF">2018-09-27T12:53:20Z</dcterms:modified>
</cp:coreProperties>
</file>