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2389FEE2-A79A-4FBF-BD90-FA68556A5B34}" xr6:coauthVersionLast="36" xr6:coauthVersionMax="36" xr10:uidLastSave="{00000000-0000-0000-0000-000000000000}"/>
  <bookViews>
    <workbookView xWindow="0" yWindow="0" windowWidth="24000" windowHeight="9615" tabRatio="911" xr2:uid="{B5677E00-C93E-46D9-A581-8329D76220FA}"/>
  </bookViews>
  <sheets>
    <sheet name="Summary YTD 06.30.18 (condensd)" sheetId="16" r:id="rId1"/>
    <sheet name="Summary YTD 06.30.18" sheetId="11" r:id="rId2"/>
    <sheet name="Comp Summary YTD 2018-2017 June" sheetId="15" r:id="rId3"/>
    <sheet name="Comparative YTD 2018-2017 June" sheetId="12" r:id="rId4"/>
    <sheet name="DEP" sheetId="5" r:id="rId5"/>
    <sheet name="BPM" sheetId="6" r:id="rId6"/>
    <sheet name="Lending" sheetId="7" r:id="rId7"/>
    <sheet name="BSC (Dome)" sheetId="10" r:id="rId8"/>
    <sheet name="Oliari Co." sheetId="14" r:id="rId9"/>
    <sheet name="722 Bedford St" sheetId="17" r:id="rId10"/>
    <sheet name="CNT (G.P. by Metal)" sheetId="3" r:id="rId11"/>
    <sheet name="CNT (from FS Analysis)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9">'722 Bedford St'!$A$1:$H$29</definedName>
    <definedName name="_xlnm.Print_Area" localSheetId="7">'BSC (Dome)'!$A$1:$H$82</definedName>
    <definedName name="_xlnm.Print_Area" localSheetId="11">'CNT (from FS Analysis)'!$A$1:$N$267</definedName>
    <definedName name="_xlnm.Print_Area" localSheetId="10">'CNT (G.P. by Metal)'!$A$186:$A$256</definedName>
    <definedName name="_xlnm.Print_Area" localSheetId="2">'Comp Summary YTD 2018-2017 June'!$A$9:$AE$37</definedName>
    <definedName name="_xlnm.Print_Area" localSheetId="3">'Comparative YTD 2018-2017 June'!$A$5:$AF$115</definedName>
    <definedName name="_xlnm.Print_Area" localSheetId="8">'Oliari Co.'!$A$1:$H$28</definedName>
    <definedName name="_xlnm.Print_Area" localSheetId="1">'Summary YTD 06.30.18'!$A$1:$I$106</definedName>
    <definedName name="_xlnm.Print_Area" localSheetId="0">'Summary YTD 06.30.18 (condensd)'!$A$1:$I$63</definedName>
    <definedName name="_xlnm.Print_Titles" localSheetId="11">'CNT (from FS Analysis)'!$A:$A,'CNT (from FS Analysis)'!$1:$3</definedName>
    <definedName name="_xlnm.Print_Titles" localSheetId="2">'Comp Summary YTD 2018-2017 June'!$9:$18</definedName>
    <definedName name="_xlnm.Print_Titles" localSheetId="3">'Comparative YTD 2018-2017 June'!$5:$14</definedName>
    <definedName name="_xlnm.Print_Titles" localSheetId="1">'Summary YTD 06.30.18'!$1:$6</definedName>
    <definedName name="_xlnm.Print_Titles" localSheetId="0">'Summary YTD 06.30.18 (condensd)'!$1:$6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8" i="11" l="1"/>
  <c r="AF86" i="12"/>
  <c r="AF85" i="12"/>
  <c r="AF84" i="12"/>
  <c r="B197" i="2" l="1"/>
  <c r="C197" i="2"/>
  <c r="D197" i="2"/>
  <c r="E197" i="2"/>
  <c r="F197" i="2"/>
  <c r="F68" i="2" s="1"/>
  <c r="H104" i="11" l="1"/>
  <c r="G42" i="2"/>
  <c r="G41" i="2"/>
  <c r="G40" i="2"/>
  <c r="G39" i="2"/>
  <c r="G38" i="2"/>
  <c r="G20" i="2"/>
  <c r="G18" i="2"/>
  <c r="G8" i="2"/>
  <c r="N258" i="2"/>
  <c r="B110" i="12" s="1"/>
  <c r="I110" i="12" s="1"/>
  <c r="N239" i="2"/>
  <c r="B73" i="12" s="1"/>
  <c r="C247" i="2"/>
  <c r="D247" i="2"/>
  <c r="F247" i="2"/>
  <c r="N246" i="2"/>
  <c r="B216" i="2"/>
  <c r="C216" i="2"/>
  <c r="D216" i="2"/>
  <c r="E216" i="2"/>
  <c r="F216" i="2"/>
  <c r="B183" i="2"/>
  <c r="C183" i="2"/>
  <c r="N157" i="2"/>
  <c r="N182" i="2"/>
  <c r="N181" i="2"/>
  <c r="G57" i="2"/>
  <c r="G59" i="2"/>
  <c r="G60" i="2"/>
  <c r="G62" i="2"/>
  <c r="G64" i="2"/>
  <c r="G51" i="2"/>
  <c r="G52" i="2"/>
  <c r="G53" i="2"/>
  <c r="G54" i="2"/>
  <c r="B101" i="11" l="1"/>
  <c r="I101" i="11" s="1"/>
  <c r="B65" i="11"/>
  <c r="G261" i="2"/>
  <c r="G216" i="2"/>
  <c r="G247" i="2"/>
  <c r="G183" i="2"/>
  <c r="G197" i="2"/>
  <c r="G61" i="2"/>
  <c r="G58" i="2"/>
  <c r="F88" i="12" l="1"/>
  <c r="H60" i="5" l="1"/>
  <c r="D75" i="11" s="1"/>
  <c r="G38" i="5"/>
  <c r="G34" i="5"/>
  <c r="C23" i="5"/>
  <c r="D23" i="5"/>
  <c r="E23" i="5"/>
  <c r="F23" i="5"/>
  <c r="G23" i="5"/>
  <c r="B23" i="5"/>
  <c r="H22" i="5"/>
  <c r="H16" i="5"/>
  <c r="H15" i="5"/>
  <c r="C17" i="5"/>
  <c r="D17" i="5"/>
  <c r="E17" i="5"/>
  <c r="F17" i="5"/>
  <c r="B17" i="5"/>
  <c r="G8" i="5"/>
  <c r="G17" i="5" s="1"/>
  <c r="D84" i="12" l="1"/>
  <c r="G43" i="10"/>
  <c r="G18" i="7" l="1"/>
  <c r="H16" i="7"/>
  <c r="E84" i="12" s="1"/>
  <c r="H17" i="7"/>
  <c r="E82" i="12" s="1"/>
  <c r="E74" i="11" l="1"/>
  <c r="N27" i="12"/>
  <c r="N26" i="12"/>
  <c r="N29" i="12"/>
  <c r="N28" i="12"/>
  <c r="N32" i="12"/>
  <c r="N22" i="12"/>
  <c r="N17" i="12"/>
  <c r="M46" i="12"/>
  <c r="M32" i="12"/>
  <c r="M26" i="12"/>
  <c r="M30" i="12"/>
  <c r="M29" i="12"/>
  <c r="M28" i="12"/>
  <c r="M27" i="12"/>
  <c r="M22" i="12"/>
  <c r="M20" i="12"/>
  <c r="M19" i="12"/>
  <c r="M18" i="12"/>
  <c r="M17" i="12"/>
  <c r="M16" i="12"/>
  <c r="Q107" i="12"/>
  <c r="Q101" i="12"/>
  <c r="Q81" i="12"/>
  <c r="Q79" i="12"/>
  <c r="Q59" i="12"/>
  <c r="Q40" i="12"/>
  <c r="Q22" i="12"/>
  <c r="R101" i="12"/>
  <c r="R82" i="12"/>
  <c r="R107" i="12"/>
  <c r="P69" i="12"/>
  <c r="Q113" i="12" l="1"/>
  <c r="F27" i="17"/>
  <c r="F17" i="17"/>
  <c r="F12" i="17"/>
  <c r="F19" i="17" s="1"/>
  <c r="F26" i="14"/>
  <c r="F16" i="14"/>
  <c r="F12" i="14"/>
  <c r="F80" i="10"/>
  <c r="F70" i="10"/>
  <c r="F43" i="10"/>
  <c r="F56" i="10" s="1"/>
  <c r="F32" i="10"/>
  <c r="F18" i="10"/>
  <c r="F14" i="10"/>
  <c r="H9" i="7"/>
  <c r="F18" i="7"/>
  <c r="F11" i="7"/>
  <c r="G40" i="6"/>
  <c r="H8" i="6"/>
  <c r="F55" i="6"/>
  <c r="F49" i="6"/>
  <c r="F40" i="6"/>
  <c r="F27" i="6"/>
  <c r="F32" i="6" s="1"/>
  <c r="F12" i="6"/>
  <c r="F15" i="6" s="1"/>
  <c r="H72" i="5"/>
  <c r="H71" i="5"/>
  <c r="H57" i="5"/>
  <c r="H58" i="5"/>
  <c r="H59" i="5"/>
  <c r="H61" i="5"/>
  <c r="H62" i="5"/>
  <c r="H64" i="5"/>
  <c r="H65" i="5"/>
  <c r="H56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34" i="5"/>
  <c r="H30" i="5"/>
  <c r="H31" i="5"/>
  <c r="H32" i="5"/>
  <c r="H33" i="5"/>
  <c r="H29" i="5"/>
  <c r="H21" i="5"/>
  <c r="H20" i="5"/>
  <c r="H9" i="5"/>
  <c r="H10" i="5"/>
  <c r="H14" i="5"/>
  <c r="H11" i="5"/>
  <c r="H12" i="5"/>
  <c r="H13" i="5"/>
  <c r="H8" i="5"/>
  <c r="G73" i="5"/>
  <c r="G66" i="5"/>
  <c r="G53" i="5"/>
  <c r="G35" i="5"/>
  <c r="F20" i="7" l="1"/>
  <c r="F18" i="14"/>
  <c r="F28" i="14" s="1"/>
  <c r="F57" i="6"/>
  <c r="F20" i="10"/>
  <c r="H23" i="5"/>
  <c r="H17" i="5"/>
  <c r="G25" i="5"/>
  <c r="F29" i="17"/>
  <c r="F72" i="10"/>
  <c r="F82" i="10" s="1"/>
  <c r="F85" i="10" s="1"/>
  <c r="F34" i="6"/>
  <c r="F59" i="6" s="1"/>
  <c r="G68" i="5"/>
  <c r="H66" i="16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Q24" i="15"/>
  <c r="Q25" i="15" s="1"/>
  <c r="H16" i="17"/>
  <c r="H79" i="12" s="1"/>
  <c r="G49" i="12"/>
  <c r="G30" i="15" s="1"/>
  <c r="G33" i="12"/>
  <c r="G24" i="15" s="1"/>
  <c r="G25" i="15" s="1"/>
  <c r="G9" i="16" s="1"/>
  <c r="G23" i="12"/>
  <c r="G35" i="12" s="1"/>
  <c r="T118" i="12"/>
  <c r="R113" i="12"/>
  <c r="Q35" i="15" s="1"/>
  <c r="R96" i="12"/>
  <c r="Q32" i="15" s="1"/>
  <c r="R74" i="12"/>
  <c r="Q31" i="15" s="1"/>
  <c r="R49" i="12"/>
  <c r="Q30" i="15" s="1"/>
  <c r="R33" i="12"/>
  <c r="R23" i="12"/>
  <c r="R35" i="12" s="1"/>
  <c r="H11" i="17"/>
  <c r="H60" i="11" s="1"/>
  <c r="H23" i="17"/>
  <c r="H24" i="17"/>
  <c r="H25" i="17"/>
  <c r="H26" i="17"/>
  <c r="H22" i="17"/>
  <c r="H10" i="17"/>
  <c r="H55" i="11" s="1"/>
  <c r="C17" i="17"/>
  <c r="D17" i="17"/>
  <c r="E17" i="17"/>
  <c r="G17" i="17"/>
  <c r="B17" i="17"/>
  <c r="G27" i="17"/>
  <c r="E27" i="17"/>
  <c r="D27" i="17"/>
  <c r="C27" i="17"/>
  <c r="B27" i="17"/>
  <c r="G12" i="17"/>
  <c r="E12" i="17"/>
  <c r="D12" i="17"/>
  <c r="C12" i="17"/>
  <c r="B12" i="17"/>
  <c r="G20" i="15" l="1"/>
  <c r="G21" i="15" s="1"/>
  <c r="G7" i="16" s="1"/>
  <c r="G11" i="16" s="1"/>
  <c r="Q20" i="15"/>
  <c r="Q21" i="15" s="1"/>
  <c r="G27" i="11"/>
  <c r="G19" i="16"/>
  <c r="G75" i="5"/>
  <c r="G78" i="5" s="1"/>
  <c r="Q27" i="15"/>
  <c r="Q33" i="15"/>
  <c r="H69" i="12"/>
  <c r="H67" i="12"/>
  <c r="H70" i="11"/>
  <c r="H40" i="16" s="1"/>
  <c r="E19" i="17"/>
  <c r="G27" i="15"/>
  <c r="H17" i="17"/>
  <c r="T101" i="12"/>
  <c r="R98" i="12"/>
  <c r="R115" i="12" s="1"/>
  <c r="R119" i="12" s="1"/>
  <c r="H27" i="17"/>
  <c r="C19" i="17"/>
  <c r="C29" i="17" s="1"/>
  <c r="D19" i="17"/>
  <c r="D29" i="17" s="1"/>
  <c r="G19" i="17"/>
  <c r="G29" i="17" s="1"/>
  <c r="B19" i="17"/>
  <c r="B29" i="17" s="1"/>
  <c r="H12" i="17"/>
  <c r="E29" i="17"/>
  <c r="D60" i="16"/>
  <c r="E60" i="16"/>
  <c r="F60" i="16"/>
  <c r="B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E28" i="16"/>
  <c r="C27" i="16"/>
  <c r="E27" i="16"/>
  <c r="H27" i="16"/>
  <c r="C26" i="16"/>
  <c r="E26" i="16"/>
  <c r="F26" i="16"/>
  <c r="H26" i="16"/>
  <c r="C25" i="16"/>
  <c r="E25" i="16"/>
  <c r="E24" i="16"/>
  <c r="C22" i="16"/>
  <c r="E22" i="16"/>
  <c r="C23" i="16"/>
  <c r="E23" i="16"/>
  <c r="C18" i="16"/>
  <c r="E18" i="16"/>
  <c r="C17" i="16"/>
  <c r="E17" i="16"/>
  <c r="C16" i="16"/>
  <c r="E16" i="16"/>
  <c r="H18" i="16"/>
  <c r="I66" i="16"/>
  <c r="I62" i="16"/>
  <c r="D56" i="16"/>
  <c r="I52" i="16"/>
  <c r="H48" i="16"/>
  <c r="I38" i="16"/>
  <c r="I37" i="16"/>
  <c r="S40" i="15"/>
  <c r="I40" i="15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I109" i="11"/>
  <c r="H31" i="16"/>
  <c r="H28" i="16"/>
  <c r="H47" i="16"/>
  <c r="H44" i="16"/>
  <c r="H42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6" i="14"/>
  <c r="G26" i="14"/>
  <c r="E26" i="14"/>
  <c r="D26" i="14"/>
  <c r="C26" i="14"/>
  <c r="H24" i="14"/>
  <c r="H23" i="14"/>
  <c r="H22" i="14"/>
  <c r="H21" i="14"/>
  <c r="G16" i="14"/>
  <c r="E16" i="14"/>
  <c r="D16" i="14"/>
  <c r="C16" i="14"/>
  <c r="B16" i="14"/>
  <c r="H15" i="14"/>
  <c r="H11" i="14"/>
  <c r="H10" i="14"/>
  <c r="G12" i="14"/>
  <c r="E12" i="14"/>
  <c r="C12" i="14"/>
  <c r="B12" i="14"/>
  <c r="S113" i="12"/>
  <c r="R35" i="15" s="1"/>
  <c r="P35" i="15"/>
  <c r="Q74" i="12"/>
  <c r="P31" i="15" s="1"/>
  <c r="Q49" i="12"/>
  <c r="Q33" i="12"/>
  <c r="P24" i="15" s="1"/>
  <c r="P25" i="15" s="1"/>
  <c r="Q23" i="12"/>
  <c r="H49" i="12"/>
  <c r="H30" i="15" s="1"/>
  <c r="P20" i="15" l="1"/>
  <c r="P21" i="15" s="1"/>
  <c r="P27" i="15" s="1"/>
  <c r="Q35" i="12"/>
  <c r="Q37" i="15"/>
  <c r="Q41" i="15" s="1"/>
  <c r="H27" i="11"/>
  <c r="G73" i="11"/>
  <c r="G82" i="12"/>
  <c r="G96" i="12" s="1"/>
  <c r="G32" i="15" s="1"/>
  <c r="G97" i="11"/>
  <c r="G58" i="16" s="1"/>
  <c r="G106" i="12"/>
  <c r="G67" i="12"/>
  <c r="G60" i="11"/>
  <c r="G31" i="16" s="1"/>
  <c r="G99" i="11"/>
  <c r="G57" i="16" s="1"/>
  <c r="G108" i="12"/>
  <c r="G55" i="11"/>
  <c r="G69" i="12"/>
  <c r="G101" i="12"/>
  <c r="G92" i="11"/>
  <c r="H43" i="16"/>
  <c r="H51" i="16" s="1"/>
  <c r="H87" i="11"/>
  <c r="H19" i="17"/>
  <c r="H29" i="17" s="1"/>
  <c r="Q96" i="12"/>
  <c r="P32" i="15" s="1"/>
  <c r="P30" i="15"/>
  <c r="E36" i="16"/>
  <c r="E19" i="16"/>
  <c r="C19" i="16"/>
  <c r="H19" i="16"/>
  <c r="H61" i="16"/>
  <c r="H36" i="16"/>
  <c r="H66" i="11"/>
  <c r="E18" i="14"/>
  <c r="E28" i="14" s="1"/>
  <c r="G18" i="14"/>
  <c r="G28" i="14" s="1"/>
  <c r="C18" i="14"/>
  <c r="C28" i="14" s="1"/>
  <c r="H25" i="14"/>
  <c r="B18" i="14"/>
  <c r="B28" i="14" s="1"/>
  <c r="D12" i="14"/>
  <c r="D18" i="14" s="1"/>
  <c r="D28" i="14" s="1"/>
  <c r="H16" i="14"/>
  <c r="H12" i="14"/>
  <c r="P33" i="15" l="1"/>
  <c r="P37" i="15" s="1"/>
  <c r="P41" i="15" s="1"/>
  <c r="G56" i="16"/>
  <c r="H26" i="14"/>
  <c r="G98" i="11"/>
  <c r="G59" i="16" s="1"/>
  <c r="G107" i="12"/>
  <c r="G113" i="12" s="1"/>
  <c r="G35" i="15" s="1"/>
  <c r="G28" i="16"/>
  <c r="G36" i="16" s="1"/>
  <c r="G66" i="11"/>
  <c r="G74" i="12"/>
  <c r="G43" i="16"/>
  <c r="G51" i="16" s="1"/>
  <c r="G87" i="11"/>
  <c r="Q98" i="12"/>
  <c r="H53" i="16"/>
  <c r="H89" i="11"/>
  <c r="H106" i="11" s="1"/>
  <c r="H18" i="14"/>
  <c r="Z50" i="12"/>
  <c r="Z51" i="12"/>
  <c r="Z75" i="12"/>
  <c r="Z76" i="12"/>
  <c r="Z99" i="12"/>
  <c r="Z100" i="12"/>
  <c r="Z104" i="12"/>
  <c r="Z109" i="12"/>
  <c r="Z112" i="12"/>
  <c r="H28" i="14" l="1"/>
  <c r="G104" i="11"/>
  <c r="G89" i="11"/>
  <c r="G53" i="16"/>
  <c r="Q115" i="12"/>
  <c r="Q119" i="12" s="1"/>
  <c r="G98" i="12"/>
  <c r="G115" i="12" s="1"/>
  <c r="G119" i="12" s="1"/>
  <c r="G31" i="15"/>
  <c r="G33" i="15" s="1"/>
  <c r="G37" i="15" s="1"/>
  <c r="G41" i="15" s="1"/>
  <c r="G61" i="16"/>
  <c r="H110" i="11"/>
  <c r="I118" i="12"/>
  <c r="T103" i="12"/>
  <c r="Z103" i="12" s="1"/>
  <c r="D134" i="2"/>
  <c r="D183" i="2" s="1"/>
  <c r="F134" i="2"/>
  <c r="F183" i="2" s="1"/>
  <c r="T85" i="12"/>
  <c r="Z85" i="12" s="1"/>
  <c r="G63" i="16" l="1"/>
  <c r="G67" i="16" s="1"/>
  <c r="G106" i="11"/>
  <c r="G110" i="11" s="1"/>
  <c r="N131" i="2"/>
  <c r="E261" i="2"/>
  <c r="D261" i="2"/>
  <c r="C261" i="2"/>
  <c r="B261" i="2"/>
  <c r="B247" i="2"/>
  <c r="F59" i="2"/>
  <c r="F19" i="2"/>
  <c r="N19" i="2" s="1"/>
  <c r="F261" i="2"/>
  <c r="N257" i="2"/>
  <c r="B109" i="12" s="1"/>
  <c r="I109" i="12" s="1"/>
  <c r="X109" i="12" s="1"/>
  <c r="N259" i="2"/>
  <c r="B112" i="12" s="1"/>
  <c r="I112" i="12" s="1"/>
  <c r="X112" i="12" s="1"/>
  <c r="N260" i="2"/>
  <c r="H261" i="2"/>
  <c r="I261" i="2"/>
  <c r="J261" i="2"/>
  <c r="K261" i="2"/>
  <c r="L261" i="2"/>
  <c r="M261" i="2"/>
  <c r="H247" i="2"/>
  <c r="I247" i="2"/>
  <c r="J247" i="2"/>
  <c r="K247" i="2"/>
  <c r="L247" i="2"/>
  <c r="M247" i="2"/>
  <c r="N252" i="2"/>
  <c r="B104" i="12" s="1"/>
  <c r="N245" i="2"/>
  <c r="N244" i="2"/>
  <c r="B69" i="12" s="1"/>
  <c r="N243" i="2"/>
  <c r="B85" i="12" s="1"/>
  <c r="I85" i="12" s="1"/>
  <c r="N242" i="2"/>
  <c r="B83" i="12" s="1"/>
  <c r="N241" i="2"/>
  <c r="B82" i="12" s="1"/>
  <c r="N240" i="2"/>
  <c r="B84" i="12" s="1"/>
  <c r="N215" i="2"/>
  <c r="F5" i="2"/>
  <c r="B111" i="12" l="1"/>
  <c r="I111" i="12" s="1"/>
  <c r="B102" i="11"/>
  <c r="I102" i="11" s="1"/>
  <c r="B103" i="11"/>
  <c r="I103" i="11" s="1"/>
  <c r="B100" i="11"/>
  <c r="I100" i="11" s="1"/>
  <c r="B73" i="11"/>
  <c r="B76" i="11"/>
  <c r="I76" i="11" s="1"/>
  <c r="AB85" i="12"/>
  <c r="X85" i="12"/>
  <c r="B74" i="11"/>
  <c r="B55" i="11"/>
  <c r="B95" i="11"/>
  <c r="B75" i="11"/>
  <c r="B28" i="16" l="1"/>
  <c r="B43" i="16"/>
  <c r="T78" i="12"/>
  <c r="Z78" i="12" s="1"/>
  <c r="T16" i="12"/>
  <c r="T69" i="12" l="1"/>
  <c r="Z69" i="12" s="1"/>
  <c r="D69" i="12"/>
  <c r="T86" i="12"/>
  <c r="Z86" i="12" s="1"/>
  <c r="D83" i="12"/>
  <c r="D72" i="12"/>
  <c r="D55" i="11"/>
  <c r="D28" i="16" s="1"/>
  <c r="D64" i="11"/>
  <c r="D74" i="11"/>
  <c r="F63" i="5"/>
  <c r="H63" i="5" s="1"/>
  <c r="D86" i="12" s="1"/>
  <c r="I86" i="12" s="1"/>
  <c r="X86" i="12" s="1"/>
  <c r="F39" i="5"/>
  <c r="H39" i="5" s="1"/>
  <c r="F38" i="5"/>
  <c r="E73" i="5"/>
  <c r="E66" i="5"/>
  <c r="E38" i="5"/>
  <c r="E53" i="5" s="1"/>
  <c r="E35" i="5"/>
  <c r="C18" i="7"/>
  <c r="D18" i="7"/>
  <c r="E18" i="7"/>
  <c r="E20" i="7" s="1"/>
  <c r="B18" i="7"/>
  <c r="H15" i="7"/>
  <c r="E98" i="11" s="1"/>
  <c r="E59" i="16" s="1"/>
  <c r="E11" i="7"/>
  <c r="G32" i="6"/>
  <c r="C55" i="6"/>
  <c r="D55" i="6"/>
  <c r="E55" i="6"/>
  <c r="G55" i="6"/>
  <c r="B55" i="6"/>
  <c r="H53" i="6"/>
  <c r="C95" i="11" s="1"/>
  <c r="I95" i="11" s="1"/>
  <c r="H46" i="6"/>
  <c r="H47" i="6"/>
  <c r="C83" i="12" s="1"/>
  <c r="C27" i="6"/>
  <c r="H26" i="6"/>
  <c r="H25" i="6"/>
  <c r="H31" i="6"/>
  <c r="H19" i="6"/>
  <c r="H20" i="6"/>
  <c r="H21" i="6"/>
  <c r="C29" i="12" s="1"/>
  <c r="H22" i="6"/>
  <c r="H23" i="6"/>
  <c r="H24" i="6"/>
  <c r="H28" i="6"/>
  <c r="H29" i="6"/>
  <c r="H30" i="6"/>
  <c r="H18" i="6"/>
  <c r="D77" i="11" l="1"/>
  <c r="I77" i="11" s="1"/>
  <c r="E25" i="5"/>
  <c r="E107" i="12"/>
  <c r="C74" i="11"/>
  <c r="C28" i="12"/>
  <c r="C24" i="11"/>
  <c r="C32" i="12"/>
  <c r="C20" i="11"/>
  <c r="C104" i="12"/>
  <c r="I104" i="12" s="1"/>
  <c r="AB104" i="12" s="1"/>
  <c r="C21" i="11"/>
  <c r="AB86" i="12"/>
  <c r="E68" i="5"/>
  <c r="N33" i="12"/>
  <c r="M24" i="15" s="1"/>
  <c r="H27" i="6"/>
  <c r="E75" i="5" l="1"/>
  <c r="E78" i="5" s="1"/>
  <c r="X104" i="12"/>
  <c r="H32" i="6"/>
  <c r="C26" i="12"/>
  <c r="M25" i="15"/>
  <c r="H11" i="6"/>
  <c r="G15" i="6"/>
  <c r="E49" i="6"/>
  <c r="E40" i="6"/>
  <c r="E32" i="6"/>
  <c r="E15" i="6"/>
  <c r="S74" i="12"/>
  <c r="R31" i="15" s="1"/>
  <c r="T107" i="12"/>
  <c r="Z107" i="12" s="1"/>
  <c r="T87" i="12"/>
  <c r="Z87" i="12" s="1"/>
  <c r="T114" i="12"/>
  <c r="Z114" i="12" s="1"/>
  <c r="I114" i="12"/>
  <c r="P113" i="12"/>
  <c r="O35" i="15" s="1"/>
  <c r="O113" i="12"/>
  <c r="N35" i="15" s="1"/>
  <c r="N113" i="12"/>
  <c r="M35" i="15" s="1"/>
  <c r="T108" i="12"/>
  <c r="Z108" i="12" s="1"/>
  <c r="T106" i="12"/>
  <c r="Z106" i="12" s="1"/>
  <c r="T105" i="12"/>
  <c r="Z105" i="12" s="1"/>
  <c r="T102" i="12"/>
  <c r="Z102" i="12" s="1"/>
  <c r="M113" i="12"/>
  <c r="T97" i="12"/>
  <c r="Z97" i="12" s="1"/>
  <c r="I97" i="12"/>
  <c r="P96" i="12"/>
  <c r="O32" i="15" s="1"/>
  <c r="O96" i="12"/>
  <c r="N32" i="15" s="1"/>
  <c r="N96" i="12"/>
  <c r="M32" i="15" s="1"/>
  <c r="M96" i="12"/>
  <c r="L32" i="15" s="1"/>
  <c r="T95" i="12"/>
  <c r="Z95" i="12" s="1"/>
  <c r="T94" i="12"/>
  <c r="Z94" i="12" s="1"/>
  <c r="T93" i="12"/>
  <c r="Z93" i="12" s="1"/>
  <c r="T92" i="12"/>
  <c r="Z92" i="12" s="1"/>
  <c r="D92" i="12"/>
  <c r="C92" i="12"/>
  <c r="T91" i="12"/>
  <c r="Z91" i="12" s="1"/>
  <c r="T90" i="12"/>
  <c r="Z90" i="12" s="1"/>
  <c r="C90" i="12"/>
  <c r="T89" i="12"/>
  <c r="Z89" i="12" s="1"/>
  <c r="C89" i="12"/>
  <c r="T88" i="12"/>
  <c r="Z88" i="12" s="1"/>
  <c r="T84" i="12"/>
  <c r="Z84" i="12" s="1"/>
  <c r="I84" i="12"/>
  <c r="X84" i="12" s="1"/>
  <c r="T83" i="12"/>
  <c r="Z83" i="12" s="1"/>
  <c r="T82" i="12"/>
  <c r="Z82" i="12" s="1"/>
  <c r="T81" i="12"/>
  <c r="Z81" i="12" s="1"/>
  <c r="T80" i="12"/>
  <c r="Z80" i="12" s="1"/>
  <c r="T79" i="12"/>
  <c r="Z79" i="12" s="1"/>
  <c r="T77" i="12"/>
  <c r="Z77" i="12" s="1"/>
  <c r="P74" i="12"/>
  <c r="O31" i="15" s="1"/>
  <c r="N74" i="12"/>
  <c r="M31" i="15" s="1"/>
  <c r="AF73" i="12"/>
  <c r="T73" i="12"/>
  <c r="Z73" i="12" s="1"/>
  <c r="AF72" i="12"/>
  <c r="T72" i="12"/>
  <c r="Z72" i="12" s="1"/>
  <c r="T71" i="12"/>
  <c r="Z71" i="12" s="1"/>
  <c r="T70" i="12"/>
  <c r="Z70" i="12" s="1"/>
  <c r="T68" i="12"/>
  <c r="Z68" i="12" s="1"/>
  <c r="T67" i="12"/>
  <c r="Z67" i="12" s="1"/>
  <c r="T66" i="12"/>
  <c r="Z66" i="12" s="1"/>
  <c r="T65" i="12"/>
  <c r="Z65" i="12" s="1"/>
  <c r="T64" i="12"/>
  <c r="Z64" i="12" s="1"/>
  <c r="T63" i="12"/>
  <c r="Z63" i="12" s="1"/>
  <c r="T62" i="12"/>
  <c r="Z62" i="12" s="1"/>
  <c r="T61" i="12"/>
  <c r="Z61" i="12" s="1"/>
  <c r="T60" i="12"/>
  <c r="Z60" i="12" s="1"/>
  <c r="T59" i="12"/>
  <c r="Z59" i="12" s="1"/>
  <c r="T57" i="12"/>
  <c r="Z57" i="12" s="1"/>
  <c r="T56" i="12"/>
  <c r="Z56" i="12" s="1"/>
  <c r="T55" i="12"/>
  <c r="Z55" i="12" s="1"/>
  <c r="T54" i="12"/>
  <c r="Z54" i="12" s="1"/>
  <c r="T53" i="12"/>
  <c r="Z53" i="12" s="1"/>
  <c r="O74" i="12"/>
  <c r="N31" i="15" s="1"/>
  <c r="M74" i="12"/>
  <c r="L31" i="15" s="1"/>
  <c r="P49" i="12"/>
  <c r="O30" i="15" s="1"/>
  <c r="O49" i="12"/>
  <c r="N30" i="15" s="1"/>
  <c r="N49" i="12"/>
  <c r="M30" i="15" s="1"/>
  <c r="E49" i="12"/>
  <c r="E30" i="15" s="1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 s="1"/>
  <c r="T44" i="12"/>
  <c r="Z44" i="12" s="1"/>
  <c r="T43" i="12"/>
  <c r="Z43" i="12" s="1"/>
  <c r="T42" i="12"/>
  <c r="Z42" i="12" s="1"/>
  <c r="T41" i="12"/>
  <c r="Z41" i="12" s="1"/>
  <c r="T40" i="12"/>
  <c r="Z40" i="12" s="1"/>
  <c r="S49" i="12"/>
  <c r="R30" i="15" s="1"/>
  <c r="T39" i="12"/>
  <c r="Z39" i="12" s="1"/>
  <c r="I39" i="12"/>
  <c r="T38" i="12"/>
  <c r="Z38" i="12" s="1"/>
  <c r="I38" i="12"/>
  <c r="I37" i="12"/>
  <c r="T36" i="12"/>
  <c r="Z36" i="12" s="1"/>
  <c r="I36" i="12"/>
  <c r="T34" i="12"/>
  <c r="Z34" i="12" s="1"/>
  <c r="I34" i="12"/>
  <c r="X34" i="12" s="1"/>
  <c r="S33" i="12"/>
  <c r="R24" i="15" s="1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T31" i="12"/>
  <c r="Z31" i="12" s="1"/>
  <c r="C31" i="12"/>
  <c r="T30" i="12"/>
  <c r="Z30" i="12" s="1"/>
  <c r="C30" i="12"/>
  <c r="T29" i="12"/>
  <c r="Z29" i="12" s="1"/>
  <c r="T28" i="12"/>
  <c r="Z28" i="12" s="1"/>
  <c r="I25" i="12"/>
  <c r="T24" i="12"/>
  <c r="Z24" i="12" s="1"/>
  <c r="I24" i="12"/>
  <c r="S23" i="12"/>
  <c r="R20" i="15" s="1"/>
  <c r="R21" i="15" s="1"/>
  <c r="R27" i="15" s="1"/>
  <c r="P23" i="12"/>
  <c r="O20" i="15" s="1"/>
  <c r="O21" i="15" s="1"/>
  <c r="O23" i="12"/>
  <c r="N20" i="15" s="1"/>
  <c r="N21" i="15" s="1"/>
  <c r="E23" i="12"/>
  <c r="E20" i="15" s="1"/>
  <c r="E21" i="15" s="1"/>
  <c r="T22" i="12"/>
  <c r="Z22" i="12" s="1"/>
  <c r="H23" i="12"/>
  <c r="H20" i="15" s="1"/>
  <c r="H21" i="15" s="1"/>
  <c r="T21" i="12"/>
  <c r="Z21" i="12" s="1"/>
  <c r="T20" i="12"/>
  <c r="Z20" i="12" s="1"/>
  <c r="C20" i="12"/>
  <c r="T19" i="12"/>
  <c r="Z19" i="12" s="1"/>
  <c r="T18" i="12"/>
  <c r="Z18" i="12" s="1"/>
  <c r="N23" i="12"/>
  <c r="M20" i="15" s="1"/>
  <c r="T17" i="12"/>
  <c r="Z17" i="12" s="1"/>
  <c r="C19" i="12" l="1"/>
  <c r="C11" i="11"/>
  <c r="L33" i="15"/>
  <c r="S30" i="15"/>
  <c r="Y30" i="15" s="1"/>
  <c r="N33" i="15"/>
  <c r="O33" i="15"/>
  <c r="T113" i="12"/>
  <c r="L35" i="15"/>
  <c r="S35" i="15" s="1"/>
  <c r="Y35" i="15" s="1"/>
  <c r="S31" i="15"/>
  <c r="M33" i="15"/>
  <c r="M21" i="15"/>
  <c r="E7" i="16"/>
  <c r="E11" i="16" s="1"/>
  <c r="E27" i="15"/>
  <c r="N27" i="15"/>
  <c r="H7" i="16"/>
  <c r="H11" i="16" s="1"/>
  <c r="H63" i="16" s="1"/>
  <c r="H67" i="16" s="1"/>
  <c r="H27" i="15"/>
  <c r="O27" i="15"/>
  <c r="H113" i="12"/>
  <c r="H35" i="15" s="1"/>
  <c r="S96" i="12"/>
  <c r="E35" i="12"/>
  <c r="AB84" i="12"/>
  <c r="P35" i="12"/>
  <c r="O98" i="12"/>
  <c r="H35" i="12"/>
  <c r="E57" i="6"/>
  <c r="E34" i="6"/>
  <c r="S35" i="12"/>
  <c r="N98" i="12"/>
  <c r="O35" i="12"/>
  <c r="N35" i="12"/>
  <c r="M33" i="12"/>
  <c r="L24" i="15" s="1"/>
  <c r="L25" i="15" s="1"/>
  <c r="S25" i="15" s="1"/>
  <c r="Y25" i="15" s="1"/>
  <c r="T26" i="12"/>
  <c r="Z26" i="12" s="1"/>
  <c r="M23" i="12"/>
  <c r="T58" i="12"/>
  <c r="Z58" i="12" s="1"/>
  <c r="T74" i="12"/>
  <c r="Z16" i="12"/>
  <c r="T27" i="12"/>
  <c r="Z27" i="12" s="1"/>
  <c r="P98" i="12"/>
  <c r="T52" i="12"/>
  <c r="Z52" i="12" s="1"/>
  <c r="T32" i="12"/>
  <c r="Z32" i="12" s="1"/>
  <c r="M98" i="12"/>
  <c r="T49" i="12"/>
  <c r="Z49" i="12" s="1"/>
  <c r="AF94" i="12"/>
  <c r="Z101" i="12"/>
  <c r="I105" i="11"/>
  <c r="I88" i="11"/>
  <c r="D83" i="11"/>
  <c r="D49" i="16" s="1"/>
  <c r="C83" i="11"/>
  <c r="C49" i="16" s="1"/>
  <c r="C81" i="11"/>
  <c r="C47" i="16" s="1"/>
  <c r="C80" i="11"/>
  <c r="C46" i="16" s="1"/>
  <c r="I67" i="11"/>
  <c r="E66" i="11"/>
  <c r="F63" i="11"/>
  <c r="F34" i="16" s="1"/>
  <c r="F58" i="11"/>
  <c r="F30" i="16" s="1"/>
  <c r="E41" i="11"/>
  <c r="C41" i="11"/>
  <c r="E25" i="11"/>
  <c r="C23" i="11"/>
  <c r="E15" i="11"/>
  <c r="C12" i="11"/>
  <c r="G56" i="10"/>
  <c r="H76" i="10"/>
  <c r="H77" i="10"/>
  <c r="F108" i="12" s="1"/>
  <c r="H78" i="10"/>
  <c r="H79" i="10"/>
  <c r="H75" i="10"/>
  <c r="F92" i="11" s="1"/>
  <c r="H60" i="10"/>
  <c r="F79" i="12" s="1"/>
  <c r="H61" i="10"/>
  <c r="H62" i="10"/>
  <c r="F90" i="12" s="1"/>
  <c r="H63" i="10"/>
  <c r="F87" i="12" s="1"/>
  <c r="H64" i="10"/>
  <c r="H65" i="10"/>
  <c r="F81" i="12" s="1"/>
  <c r="H66" i="10"/>
  <c r="F82" i="12" s="1"/>
  <c r="H67" i="10"/>
  <c r="F83" i="12" s="1"/>
  <c r="I83" i="12" s="1"/>
  <c r="X83" i="12" s="1"/>
  <c r="H68" i="10"/>
  <c r="H69" i="10"/>
  <c r="F79" i="11" s="1"/>
  <c r="F45" i="16" s="1"/>
  <c r="H59" i="10"/>
  <c r="F77" i="12" s="1"/>
  <c r="H55" i="10"/>
  <c r="F73" i="12" s="1"/>
  <c r="H36" i="10"/>
  <c r="F54" i="12" s="1"/>
  <c r="H37" i="10"/>
  <c r="F53" i="12" s="1"/>
  <c r="H38" i="10"/>
  <c r="F55" i="12" s="1"/>
  <c r="H39" i="10"/>
  <c r="F56" i="12" s="1"/>
  <c r="H40" i="10"/>
  <c r="F49" i="11" s="1"/>
  <c r="H42" i="10"/>
  <c r="H44" i="10"/>
  <c r="F60" i="12" s="1"/>
  <c r="H45" i="10"/>
  <c r="H46" i="10"/>
  <c r="F62" i="12" s="1"/>
  <c r="H47" i="10"/>
  <c r="F69" i="12" s="1"/>
  <c r="H48" i="10"/>
  <c r="H49" i="10"/>
  <c r="F64" i="12" s="1"/>
  <c r="H50" i="10"/>
  <c r="H51" i="10"/>
  <c r="H52" i="10"/>
  <c r="F67" i="12" s="1"/>
  <c r="H53" i="10"/>
  <c r="F62" i="11" s="1"/>
  <c r="H54" i="10"/>
  <c r="F72" i="12" s="1"/>
  <c r="H35" i="10"/>
  <c r="F52" i="12" s="1"/>
  <c r="H25" i="10"/>
  <c r="F42" i="12" s="1"/>
  <c r="H26" i="10"/>
  <c r="F43" i="12" s="1"/>
  <c r="H27" i="10"/>
  <c r="F44" i="12" s="1"/>
  <c r="H28" i="10"/>
  <c r="H29" i="10"/>
  <c r="F45" i="12" s="1"/>
  <c r="H30" i="10"/>
  <c r="H31" i="10"/>
  <c r="H24" i="10"/>
  <c r="H17" i="10"/>
  <c r="H18" i="10" s="1"/>
  <c r="F32" i="12" s="1"/>
  <c r="F33" i="12" s="1"/>
  <c r="F24" i="15" s="1"/>
  <c r="F25" i="15" s="1"/>
  <c r="F9" i="16" s="1"/>
  <c r="H9" i="10"/>
  <c r="H11" i="10"/>
  <c r="H12" i="10"/>
  <c r="H13" i="10"/>
  <c r="H8" i="10"/>
  <c r="G80" i="10"/>
  <c r="G70" i="10"/>
  <c r="G32" i="10"/>
  <c r="G18" i="10"/>
  <c r="G14" i="10"/>
  <c r="F72" i="11" l="1"/>
  <c r="F42" i="16" s="1"/>
  <c r="F46" i="12"/>
  <c r="F38" i="11"/>
  <c r="F24" i="11"/>
  <c r="F25" i="11" s="1"/>
  <c r="F52" i="11"/>
  <c r="F25" i="16" s="1"/>
  <c r="F99" i="11"/>
  <c r="F57" i="16" s="1"/>
  <c r="F57" i="11"/>
  <c r="F40" i="12"/>
  <c r="G20" i="10"/>
  <c r="F98" i="11"/>
  <c r="F59" i="16" s="1"/>
  <c r="F37" i="11"/>
  <c r="F34" i="11"/>
  <c r="F17" i="16" s="1"/>
  <c r="F59" i="12"/>
  <c r="I59" i="12" s="1"/>
  <c r="X59" i="12" s="1"/>
  <c r="F45" i="11"/>
  <c r="F48" i="11"/>
  <c r="F73" i="11"/>
  <c r="F80" i="12"/>
  <c r="I80" i="12" s="1"/>
  <c r="F107" i="12"/>
  <c r="F35" i="11"/>
  <c r="F54" i="11"/>
  <c r="F27" i="16" s="1"/>
  <c r="F64" i="11"/>
  <c r="F74" i="11"/>
  <c r="I74" i="11" s="1"/>
  <c r="F81" i="11"/>
  <c r="F47" i="16" s="1"/>
  <c r="F48" i="16"/>
  <c r="F91" i="12"/>
  <c r="F36" i="11"/>
  <c r="F55" i="11"/>
  <c r="F28" i="16" s="1"/>
  <c r="F60" i="11"/>
  <c r="F31" i="16" s="1"/>
  <c r="F65" i="11"/>
  <c r="F69" i="11"/>
  <c r="F39" i="16" s="1"/>
  <c r="F78" i="11"/>
  <c r="F44" i="16" s="1"/>
  <c r="F82" i="11"/>
  <c r="AD83" i="12"/>
  <c r="AF83" i="12" s="1"/>
  <c r="F56" i="16"/>
  <c r="F101" i="12"/>
  <c r="F32" i="11"/>
  <c r="F16" i="16" s="1"/>
  <c r="F51" i="11"/>
  <c r="I51" i="11" s="1"/>
  <c r="AB83" i="12"/>
  <c r="E27" i="11"/>
  <c r="T25" i="12"/>
  <c r="Z25" i="12" s="1"/>
  <c r="L20" i="15"/>
  <c r="S24" i="15"/>
  <c r="Y24" i="15" s="1"/>
  <c r="O37" i="15"/>
  <c r="O41" i="15" s="1"/>
  <c r="N37" i="15"/>
  <c r="N41" i="15" s="1"/>
  <c r="T96" i="12"/>
  <c r="Z96" i="12" s="1"/>
  <c r="R32" i="15"/>
  <c r="S32" i="15" s="1"/>
  <c r="M27" i="15"/>
  <c r="Y31" i="15"/>
  <c r="U69" i="12"/>
  <c r="Z74" i="12"/>
  <c r="Z113" i="12"/>
  <c r="U113" i="12"/>
  <c r="F71" i="11"/>
  <c r="H96" i="12"/>
  <c r="H32" i="15" s="1"/>
  <c r="F70" i="11"/>
  <c r="F40" i="16" s="1"/>
  <c r="F46" i="11"/>
  <c r="F47" i="11"/>
  <c r="H74" i="12"/>
  <c r="H31" i="15" s="1"/>
  <c r="F44" i="11"/>
  <c r="F22" i="16" s="1"/>
  <c r="O115" i="12"/>
  <c r="O119" i="12" s="1"/>
  <c r="U43" i="12"/>
  <c r="T33" i="12"/>
  <c r="P115" i="12"/>
  <c r="P119" i="12" s="1"/>
  <c r="E59" i="6"/>
  <c r="U48" i="12"/>
  <c r="N115" i="12"/>
  <c r="N119" i="12" s="1"/>
  <c r="U73" i="12"/>
  <c r="U67" i="12"/>
  <c r="U57" i="12"/>
  <c r="U55" i="12"/>
  <c r="U61" i="12"/>
  <c r="U59" i="12"/>
  <c r="U72" i="12"/>
  <c r="U65" i="12"/>
  <c r="U68" i="12"/>
  <c r="U70" i="12"/>
  <c r="U54" i="12"/>
  <c r="U63" i="12"/>
  <c r="U64" i="12"/>
  <c r="U71" i="12"/>
  <c r="U60" i="12"/>
  <c r="U66" i="12"/>
  <c r="U53" i="12"/>
  <c r="U62" i="12"/>
  <c r="U56" i="12"/>
  <c r="T23" i="12"/>
  <c r="M35" i="12"/>
  <c r="T37" i="12" s="1"/>
  <c r="Z37" i="12" s="1"/>
  <c r="AF92" i="12"/>
  <c r="S98" i="12"/>
  <c r="S115" i="12" s="1"/>
  <c r="S119" i="12" s="1"/>
  <c r="U58" i="12"/>
  <c r="U52" i="12"/>
  <c r="AF89" i="12"/>
  <c r="U44" i="12"/>
  <c r="U42" i="12"/>
  <c r="U41" i="12"/>
  <c r="U47" i="12"/>
  <c r="U46" i="12"/>
  <c r="U45" i="12"/>
  <c r="U40" i="12"/>
  <c r="G72" i="10"/>
  <c r="G82" i="10" s="1"/>
  <c r="G85" i="10" s="1"/>
  <c r="F49" i="12" l="1"/>
  <c r="F30" i="15" s="1"/>
  <c r="F104" i="11"/>
  <c r="F96" i="12"/>
  <c r="F113" i="12"/>
  <c r="F35" i="15" s="1"/>
  <c r="F35" i="16"/>
  <c r="F61" i="16"/>
  <c r="U95" i="12"/>
  <c r="U80" i="12"/>
  <c r="U88" i="12"/>
  <c r="U82" i="12"/>
  <c r="U85" i="12"/>
  <c r="U79" i="12"/>
  <c r="U92" i="12"/>
  <c r="U77" i="12"/>
  <c r="U83" i="12"/>
  <c r="U84" i="12"/>
  <c r="F18" i="16"/>
  <c r="F19" i="16" s="1"/>
  <c r="F41" i="11"/>
  <c r="AD59" i="12"/>
  <c r="AF59" i="12" s="1"/>
  <c r="AB59" i="12"/>
  <c r="AB80" i="12"/>
  <c r="AD80" i="12"/>
  <c r="AF80" i="12" s="1"/>
  <c r="X80" i="12"/>
  <c r="F43" i="16"/>
  <c r="F23" i="16"/>
  <c r="F41" i="16"/>
  <c r="I41" i="16" s="1"/>
  <c r="I71" i="11"/>
  <c r="U89" i="12"/>
  <c r="U87" i="12"/>
  <c r="U93" i="12"/>
  <c r="U86" i="12"/>
  <c r="U78" i="12"/>
  <c r="L21" i="15"/>
  <c r="S20" i="15"/>
  <c r="Y20" i="15" s="1"/>
  <c r="U94" i="12"/>
  <c r="U90" i="12"/>
  <c r="U81" i="12"/>
  <c r="U91" i="12"/>
  <c r="H33" i="15"/>
  <c r="H37" i="15" s="1"/>
  <c r="H41" i="15" s="1"/>
  <c r="R33" i="15"/>
  <c r="R37" i="15" s="1"/>
  <c r="R41" i="15" s="1"/>
  <c r="M37" i="15"/>
  <c r="F87" i="11"/>
  <c r="U16" i="12"/>
  <c r="Z23" i="12"/>
  <c r="U31" i="12"/>
  <c r="Z33" i="12"/>
  <c r="H98" i="12"/>
  <c r="H115" i="12" s="1"/>
  <c r="H119" i="12" s="1"/>
  <c r="U30" i="12"/>
  <c r="U29" i="12"/>
  <c r="U28" i="12"/>
  <c r="U27" i="12"/>
  <c r="U26" i="12"/>
  <c r="U32" i="12"/>
  <c r="U74" i="12"/>
  <c r="T98" i="12"/>
  <c r="U49" i="12"/>
  <c r="U21" i="12"/>
  <c r="U20" i="12"/>
  <c r="U17" i="12"/>
  <c r="U19" i="12"/>
  <c r="U18" i="12"/>
  <c r="U22" i="12"/>
  <c r="M115" i="12"/>
  <c r="T35" i="12"/>
  <c r="Z35" i="12" s="1"/>
  <c r="E43" i="10"/>
  <c r="E10" i="10"/>
  <c r="H10" i="10" s="1"/>
  <c r="H14" i="10" s="1"/>
  <c r="H20" i="10" s="1"/>
  <c r="D43" i="10"/>
  <c r="D41" i="10"/>
  <c r="H41" i="10" s="1"/>
  <c r="C43" i="10"/>
  <c r="B43" i="10"/>
  <c r="H43" i="10" l="1"/>
  <c r="F22" i="12"/>
  <c r="F23" i="12" s="1"/>
  <c r="F20" i="15" s="1"/>
  <c r="F21" i="15" s="1"/>
  <c r="F63" i="12"/>
  <c r="I63" i="12" s="1"/>
  <c r="F56" i="11"/>
  <c r="F58" i="12"/>
  <c r="F50" i="11"/>
  <c r="F14" i="11"/>
  <c r="F15" i="11" s="1"/>
  <c r="F27" i="11" s="1"/>
  <c r="U96" i="12"/>
  <c r="F35" i="12"/>
  <c r="F32" i="15"/>
  <c r="F51" i="16"/>
  <c r="L27" i="15"/>
  <c r="S21" i="15"/>
  <c r="Y21" i="15" s="1"/>
  <c r="Y32" i="15"/>
  <c r="S33" i="15"/>
  <c r="Y33" i="15" s="1"/>
  <c r="M41" i="15"/>
  <c r="U98" i="12"/>
  <c r="Z98" i="12"/>
  <c r="U33" i="12"/>
  <c r="U23" i="12"/>
  <c r="M119" i="12"/>
  <c r="T115" i="12"/>
  <c r="F74" i="12" l="1"/>
  <c r="I56" i="11"/>
  <c r="F29" i="16"/>
  <c r="X63" i="12"/>
  <c r="AD63" i="12"/>
  <c r="AF63" i="12" s="1"/>
  <c r="AB63" i="12"/>
  <c r="F24" i="16"/>
  <c r="F36" i="16" s="1"/>
  <c r="F53" i="16" s="1"/>
  <c r="F66" i="11"/>
  <c r="F89" i="11" s="1"/>
  <c r="F106" i="11" s="1"/>
  <c r="F110" i="11" s="1"/>
  <c r="F7" i="16"/>
  <c r="F11" i="16" s="1"/>
  <c r="F27" i="15"/>
  <c r="L37" i="15"/>
  <c r="S27" i="15"/>
  <c r="Y27" i="15" s="1"/>
  <c r="T119" i="12"/>
  <c r="Z115" i="12"/>
  <c r="T120" i="12"/>
  <c r="B32" i="10"/>
  <c r="E80" i="10"/>
  <c r="D80" i="10"/>
  <c r="C80" i="10"/>
  <c r="B80" i="10"/>
  <c r="E70" i="10"/>
  <c r="D70" i="10"/>
  <c r="C70" i="10"/>
  <c r="B70" i="10"/>
  <c r="E56" i="10"/>
  <c r="B56" i="10"/>
  <c r="D56" i="10"/>
  <c r="C56" i="10"/>
  <c r="E32" i="10"/>
  <c r="D32" i="10"/>
  <c r="C32" i="10"/>
  <c r="H23" i="10"/>
  <c r="E18" i="10"/>
  <c r="D18" i="10"/>
  <c r="C18" i="10"/>
  <c r="B18" i="10"/>
  <c r="E14" i="10"/>
  <c r="D14" i="10"/>
  <c r="C14" i="10"/>
  <c r="B14" i="10"/>
  <c r="F31" i="15" l="1"/>
  <c r="F33" i="15" s="1"/>
  <c r="F98" i="12"/>
  <c r="F115" i="12" s="1"/>
  <c r="F119" i="12" s="1"/>
  <c r="F37" i="15"/>
  <c r="F41" i="15" s="1"/>
  <c r="F63" i="16"/>
  <c r="F67" i="16" s="1"/>
  <c r="L41" i="15"/>
  <c r="S37" i="15"/>
  <c r="C72" i="10"/>
  <c r="D72" i="10"/>
  <c r="H80" i="10"/>
  <c r="D20" i="10"/>
  <c r="E20" i="10"/>
  <c r="H70" i="10"/>
  <c r="H56" i="10"/>
  <c r="B72" i="10"/>
  <c r="E72" i="10"/>
  <c r="C20" i="10"/>
  <c r="B20" i="10"/>
  <c r="Y37" i="15" l="1"/>
  <c r="Y41" i="15" s="1"/>
  <c r="S41" i="15"/>
  <c r="H32" i="10"/>
  <c r="H72" i="10" s="1"/>
  <c r="E82" i="10"/>
  <c r="E85" i="10" s="1"/>
  <c r="D82" i="10"/>
  <c r="D85" i="10" s="1"/>
  <c r="C82" i="10"/>
  <c r="C85" i="10" s="1"/>
  <c r="B82" i="10"/>
  <c r="B85" i="10" s="1"/>
  <c r="H82" i="10" l="1"/>
  <c r="H85" i="10" s="1"/>
  <c r="E75" i="11"/>
  <c r="H14" i="7"/>
  <c r="H18" i="7" s="1"/>
  <c r="G11" i="7"/>
  <c r="D11" i="7"/>
  <c r="D20" i="7" s="1"/>
  <c r="C11" i="7"/>
  <c r="C20" i="7" s="1"/>
  <c r="B11" i="7"/>
  <c r="B20" i="7" s="1"/>
  <c r="H10" i="7"/>
  <c r="E69" i="12" s="1"/>
  <c r="E74" i="12" s="1"/>
  <c r="E31" i="15" s="1"/>
  <c r="H54" i="6"/>
  <c r="H48" i="6"/>
  <c r="G49" i="6"/>
  <c r="H45" i="6"/>
  <c r="C49" i="6"/>
  <c r="D49" i="6"/>
  <c r="B49" i="6"/>
  <c r="E43" i="16" l="1"/>
  <c r="I75" i="11"/>
  <c r="C55" i="11"/>
  <c r="C69" i="12"/>
  <c r="I69" i="12" s="1"/>
  <c r="G20" i="7"/>
  <c r="E72" i="11"/>
  <c r="E42" i="16" s="1"/>
  <c r="E106" i="12"/>
  <c r="E113" i="12" s="1"/>
  <c r="E35" i="15" s="1"/>
  <c r="E97" i="11"/>
  <c r="E104" i="11" s="1"/>
  <c r="E79" i="12"/>
  <c r="E96" i="12" s="1"/>
  <c r="E70" i="11"/>
  <c r="C73" i="12"/>
  <c r="C65" i="11"/>
  <c r="C35" i="16" s="1"/>
  <c r="C106" i="12"/>
  <c r="C97" i="11"/>
  <c r="C58" i="16" s="1"/>
  <c r="H11" i="7"/>
  <c r="H44" i="6"/>
  <c r="H52" i="6"/>
  <c r="H55" i="6" s="1"/>
  <c r="H14" i="6"/>
  <c r="X69" i="12" l="1"/>
  <c r="AD69" i="12"/>
  <c r="AF69" i="12" s="1"/>
  <c r="AB69" i="12"/>
  <c r="C28" i="16"/>
  <c r="I28" i="16" s="1"/>
  <c r="I55" i="11"/>
  <c r="E58" i="16"/>
  <c r="E61" i="16" s="1"/>
  <c r="E87" i="11"/>
  <c r="E89" i="11" s="1"/>
  <c r="E106" i="11" s="1"/>
  <c r="E110" i="11" s="1"/>
  <c r="E40" i="16"/>
  <c r="E51" i="16" s="1"/>
  <c r="E53" i="16" s="1"/>
  <c r="E98" i="12"/>
  <c r="E115" i="12" s="1"/>
  <c r="E119" i="12" s="1"/>
  <c r="E32" i="15"/>
  <c r="E33" i="15" s="1"/>
  <c r="E37" i="15" s="1"/>
  <c r="E41" i="15" s="1"/>
  <c r="H20" i="7"/>
  <c r="C27" i="12"/>
  <c r="C19" i="11"/>
  <c r="C88" i="12"/>
  <c r="C79" i="11"/>
  <c r="C45" i="16" s="1"/>
  <c r="C18" i="11"/>
  <c r="C103" i="12"/>
  <c r="C94" i="11"/>
  <c r="C104" i="11" s="1"/>
  <c r="H43" i="6"/>
  <c r="H39" i="6"/>
  <c r="H38" i="6"/>
  <c r="G57" i="6"/>
  <c r="D40" i="6"/>
  <c r="D57" i="6" s="1"/>
  <c r="C40" i="6"/>
  <c r="C57" i="6" s="1"/>
  <c r="B40" i="6"/>
  <c r="B57" i="6" s="1"/>
  <c r="D32" i="6"/>
  <c r="C32" i="6"/>
  <c r="B32" i="6"/>
  <c r="H17" i="6"/>
  <c r="D15" i="6"/>
  <c r="C15" i="6"/>
  <c r="B15" i="6"/>
  <c r="H13" i="6"/>
  <c r="H12" i="6"/>
  <c r="H10" i="6"/>
  <c r="H9" i="6"/>
  <c r="D38" i="5"/>
  <c r="C38" i="5"/>
  <c r="B38" i="5"/>
  <c r="C66" i="5"/>
  <c r="D66" i="5"/>
  <c r="F66" i="5"/>
  <c r="B66" i="5"/>
  <c r="C73" i="5"/>
  <c r="D73" i="5"/>
  <c r="F73" i="5"/>
  <c r="B73" i="5"/>
  <c r="C53" i="5"/>
  <c r="D53" i="5"/>
  <c r="F53" i="5"/>
  <c r="C35" i="5"/>
  <c r="D35" i="5"/>
  <c r="F35" i="5"/>
  <c r="B35" i="5"/>
  <c r="D25" i="5"/>
  <c r="F25" i="5"/>
  <c r="H19" i="5"/>
  <c r="H28" i="5"/>
  <c r="V301" i="3"/>
  <c r="P300" i="3"/>
  <c r="U300" i="3" s="1"/>
  <c r="T299" i="3"/>
  <c r="S299" i="3"/>
  <c r="R299" i="3"/>
  <c r="Q299" i="3"/>
  <c r="P299" i="3"/>
  <c r="T298" i="3"/>
  <c r="S298" i="3"/>
  <c r="R298" i="3"/>
  <c r="Q298" i="3"/>
  <c r="P298" i="3"/>
  <c r="T297" i="3"/>
  <c r="S297" i="3"/>
  <c r="R297" i="3"/>
  <c r="Q297" i="3"/>
  <c r="P297" i="3"/>
  <c r="T296" i="3"/>
  <c r="S296" i="3"/>
  <c r="R296" i="3"/>
  <c r="T295" i="3"/>
  <c r="S295" i="3"/>
  <c r="T294" i="3"/>
  <c r="S294" i="3"/>
  <c r="R294" i="3"/>
  <c r="Q294" i="3"/>
  <c r="P294" i="3"/>
  <c r="U294" i="3" s="1"/>
  <c r="T289" i="3"/>
  <c r="S289" i="3"/>
  <c r="R289" i="3"/>
  <c r="Q289" i="3"/>
  <c r="T287" i="3"/>
  <c r="V277" i="3"/>
  <c r="U277" i="3"/>
  <c r="U276" i="3"/>
  <c r="U275" i="3"/>
  <c r="U274" i="3"/>
  <c r="U273" i="3"/>
  <c r="U272" i="3"/>
  <c r="U271" i="3"/>
  <c r="U270" i="3"/>
  <c r="T268" i="3"/>
  <c r="S268" i="3"/>
  <c r="R268" i="3"/>
  <c r="Q268" i="3"/>
  <c r="P268" i="3"/>
  <c r="U266" i="3"/>
  <c r="U265" i="3"/>
  <c r="U264" i="3"/>
  <c r="U263" i="3"/>
  <c r="U262" i="3"/>
  <c r="V254" i="3"/>
  <c r="U254" i="3"/>
  <c r="U253" i="3"/>
  <c r="U252" i="3"/>
  <c r="U251" i="3"/>
  <c r="U250" i="3"/>
  <c r="U249" i="3"/>
  <c r="U248" i="3"/>
  <c r="U247" i="3"/>
  <c r="T245" i="3"/>
  <c r="S245" i="3"/>
  <c r="R245" i="3"/>
  <c r="Q245" i="3"/>
  <c r="P245" i="3"/>
  <c r="U243" i="3"/>
  <c r="U242" i="3"/>
  <c r="U241" i="3"/>
  <c r="U240" i="3"/>
  <c r="U239" i="3"/>
  <c r="V231" i="3"/>
  <c r="U231" i="3"/>
  <c r="U230" i="3"/>
  <c r="U229" i="3"/>
  <c r="U228" i="3"/>
  <c r="U227" i="3"/>
  <c r="U226" i="3"/>
  <c r="U225" i="3"/>
  <c r="U224" i="3"/>
  <c r="U223" i="3"/>
  <c r="T221" i="3"/>
  <c r="S221" i="3"/>
  <c r="R221" i="3"/>
  <c r="Q221" i="3"/>
  <c r="P221" i="3"/>
  <c r="U219" i="3"/>
  <c r="U218" i="3"/>
  <c r="U217" i="3"/>
  <c r="U216" i="3"/>
  <c r="U215" i="3"/>
  <c r="U214" i="3"/>
  <c r="U221" i="3" s="1"/>
  <c r="U232" i="3" s="1"/>
  <c r="V206" i="3"/>
  <c r="U205" i="3"/>
  <c r="U204" i="3"/>
  <c r="U203" i="3"/>
  <c r="U202" i="3"/>
  <c r="U201" i="3"/>
  <c r="U200" i="3"/>
  <c r="U199" i="3"/>
  <c r="T197" i="3"/>
  <c r="S197" i="3"/>
  <c r="R197" i="3"/>
  <c r="Q197" i="3"/>
  <c r="P197" i="3"/>
  <c r="U195" i="3"/>
  <c r="U194" i="3"/>
  <c r="U193" i="3"/>
  <c r="U192" i="3"/>
  <c r="U191" i="3"/>
  <c r="U182" i="3"/>
  <c r="U181" i="3"/>
  <c r="U180" i="3"/>
  <c r="U179" i="3"/>
  <c r="U178" i="3"/>
  <c r="U177" i="3"/>
  <c r="U176" i="3"/>
  <c r="T174" i="3"/>
  <c r="T184" i="3" s="1"/>
  <c r="S174" i="3"/>
  <c r="S184" i="3" s="1"/>
  <c r="R174" i="3"/>
  <c r="R184" i="3" s="1"/>
  <c r="Q174" i="3"/>
  <c r="Q184" i="3" s="1"/>
  <c r="P174" i="3"/>
  <c r="P184" i="3" s="1"/>
  <c r="U172" i="3"/>
  <c r="U171" i="3"/>
  <c r="U170" i="3"/>
  <c r="U169" i="3"/>
  <c r="U168" i="3"/>
  <c r="V160" i="3"/>
  <c r="U159" i="3"/>
  <c r="U158" i="3"/>
  <c r="U157" i="3"/>
  <c r="U156" i="3"/>
  <c r="U155" i="3"/>
  <c r="U154" i="3"/>
  <c r="U153" i="3"/>
  <c r="T151" i="3"/>
  <c r="S151" i="3"/>
  <c r="R151" i="3"/>
  <c r="Q151" i="3"/>
  <c r="P151" i="3"/>
  <c r="U149" i="3"/>
  <c r="U148" i="3"/>
  <c r="U147" i="3"/>
  <c r="U146" i="3"/>
  <c r="U145" i="3"/>
  <c r="V137" i="3"/>
  <c r="U136" i="3"/>
  <c r="U135" i="3"/>
  <c r="U134" i="3"/>
  <c r="U133" i="3"/>
  <c r="U132" i="3"/>
  <c r="U131" i="3"/>
  <c r="U130" i="3"/>
  <c r="T128" i="3"/>
  <c r="S128" i="3"/>
  <c r="R128" i="3"/>
  <c r="Q128" i="3"/>
  <c r="P128" i="3"/>
  <c r="U126" i="3"/>
  <c r="U125" i="3"/>
  <c r="U124" i="3"/>
  <c r="U123" i="3"/>
  <c r="U122" i="3"/>
  <c r="V114" i="3"/>
  <c r="U113" i="3"/>
  <c r="U112" i="3"/>
  <c r="U111" i="3"/>
  <c r="U110" i="3"/>
  <c r="U109" i="3"/>
  <c r="U108" i="3"/>
  <c r="U107" i="3"/>
  <c r="T105" i="3"/>
  <c r="S105" i="3"/>
  <c r="R105" i="3"/>
  <c r="Q105" i="3"/>
  <c r="P105" i="3"/>
  <c r="U103" i="3"/>
  <c r="U102" i="3"/>
  <c r="U101" i="3"/>
  <c r="U100" i="3"/>
  <c r="U99" i="3"/>
  <c r="V92" i="3"/>
  <c r="U91" i="3"/>
  <c r="U90" i="3"/>
  <c r="U89" i="3"/>
  <c r="U88" i="3"/>
  <c r="U87" i="3"/>
  <c r="P86" i="3"/>
  <c r="U86" i="3" s="1"/>
  <c r="U85" i="3"/>
  <c r="T84" i="3"/>
  <c r="S84" i="3"/>
  <c r="R84" i="3"/>
  <c r="Q84" i="3"/>
  <c r="P84" i="3"/>
  <c r="U81" i="3"/>
  <c r="P80" i="3"/>
  <c r="P289" i="3" s="1"/>
  <c r="U289" i="3" s="1"/>
  <c r="T79" i="3"/>
  <c r="S79" i="3"/>
  <c r="R79" i="3"/>
  <c r="Q79" i="3"/>
  <c r="P79" i="3"/>
  <c r="S78" i="3"/>
  <c r="R78" i="3"/>
  <c r="Q78" i="3"/>
  <c r="P78" i="3"/>
  <c r="S77" i="3"/>
  <c r="R77" i="3"/>
  <c r="Q77" i="3"/>
  <c r="P77" i="3"/>
  <c r="T76" i="3"/>
  <c r="S76" i="3"/>
  <c r="R76" i="3"/>
  <c r="Q76" i="3"/>
  <c r="P76" i="3"/>
  <c r="T75" i="3"/>
  <c r="S75" i="3"/>
  <c r="R75" i="3"/>
  <c r="Q75" i="3"/>
  <c r="P75" i="3"/>
  <c r="V68" i="3"/>
  <c r="U66" i="3"/>
  <c r="U65" i="3"/>
  <c r="U64" i="3"/>
  <c r="Q63" i="3"/>
  <c r="U63" i="3" s="1"/>
  <c r="R62" i="3"/>
  <c r="Q62" i="3"/>
  <c r="P62" i="3"/>
  <c r="U61" i="3"/>
  <c r="T60" i="3"/>
  <c r="S60" i="3"/>
  <c r="R60" i="3"/>
  <c r="Q60" i="3"/>
  <c r="P60" i="3"/>
  <c r="U57" i="3"/>
  <c r="T56" i="3"/>
  <c r="S56" i="3"/>
  <c r="R56" i="3"/>
  <c r="Q56" i="3"/>
  <c r="P56" i="3"/>
  <c r="S55" i="3"/>
  <c r="R55" i="3"/>
  <c r="Q55" i="3"/>
  <c r="P55" i="3"/>
  <c r="S54" i="3"/>
  <c r="R54" i="3"/>
  <c r="Q54" i="3"/>
  <c r="P54" i="3"/>
  <c r="T53" i="3"/>
  <c r="S53" i="3"/>
  <c r="R53" i="3"/>
  <c r="Q53" i="3"/>
  <c r="P53" i="3"/>
  <c r="T52" i="3"/>
  <c r="S52" i="3"/>
  <c r="R52" i="3"/>
  <c r="Q52" i="3"/>
  <c r="P52" i="3"/>
  <c r="V46" i="3"/>
  <c r="U43" i="3"/>
  <c r="U42" i="3"/>
  <c r="U41" i="3"/>
  <c r="U40" i="3"/>
  <c r="R39" i="3"/>
  <c r="Q39" i="3"/>
  <c r="P39" i="3"/>
  <c r="U38" i="3"/>
  <c r="T37" i="3"/>
  <c r="S37" i="3"/>
  <c r="R37" i="3"/>
  <c r="Q37" i="3"/>
  <c r="P37" i="3"/>
  <c r="T33" i="3"/>
  <c r="S33" i="3"/>
  <c r="R33" i="3"/>
  <c r="Q33" i="3"/>
  <c r="P33" i="3"/>
  <c r="S32" i="3"/>
  <c r="R32" i="3"/>
  <c r="Q32" i="3"/>
  <c r="P32" i="3"/>
  <c r="S31" i="3"/>
  <c r="R31" i="3"/>
  <c r="Q31" i="3"/>
  <c r="P31" i="3"/>
  <c r="T30" i="3"/>
  <c r="S30" i="3"/>
  <c r="R30" i="3"/>
  <c r="Q30" i="3"/>
  <c r="P30" i="3"/>
  <c r="T29" i="3"/>
  <c r="S29" i="3"/>
  <c r="R29" i="3"/>
  <c r="Q29" i="3"/>
  <c r="P29" i="3"/>
  <c r="V23" i="3"/>
  <c r="U20" i="3"/>
  <c r="U19" i="3"/>
  <c r="U18" i="3"/>
  <c r="Q17" i="3"/>
  <c r="P17" i="3"/>
  <c r="U17" i="3" s="1"/>
  <c r="R16" i="3"/>
  <c r="Q16" i="3"/>
  <c r="P16" i="3"/>
  <c r="U15" i="3"/>
  <c r="T14" i="3"/>
  <c r="S14" i="3"/>
  <c r="R14" i="3"/>
  <c r="Q14" i="3"/>
  <c r="P14" i="3"/>
  <c r="T10" i="3"/>
  <c r="S10" i="3"/>
  <c r="R10" i="3"/>
  <c r="Q10" i="3"/>
  <c r="P10" i="3"/>
  <c r="S9" i="3"/>
  <c r="R9" i="3"/>
  <c r="Q9" i="3"/>
  <c r="P9" i="3"/>
  <c r="T8" i="3"/>
  <c r="T286" i="3" s="1"/>
  <c r="S8" i="3"/>
  <c r="R8" i="3"/>
  <c r="Q8" i="3"/>
  <c r="P8" i="3"/>
  <c r="T7" i="3"/>
  <c r="S7" i="3"/>
  <c r="R7" i="3"/>
  <c r="Q7" i="3"/>
  <c r="P7" i="3"/>
  <c r="T6" i="3"/>
  <c r="S6" i="3"/>
  <c r="R6" i="3"/>
  <c r="Q6" i="3"/>
  <c r="P6" i="3"/>
  <c r="B5" i="2"/>
  <c r="B6" i="2"/>
  <c r="B7" i="2"/>
  <c r="B8" i="2"/>
  <c r="B9" i="2"/>
  <c r="B14" i="2"/>
  <c r="B15" i="2"/>
  <c r="B16" i="2"/>
  <c r="B17" i="2"/>
  <c r="B18" i="2"/>
  <c r="B22" i="2"/>
  <c r="B23" i="2"/>
  <c r="B24" i="2"/>
  <c r="B25" i="2"/>
  <c r="B27" i="2"/>
  <c r="B28" i="2"/>
  <c r="B29" i="2"/>
  <c r="B32" i="2"/>
  <c r="B33" i="2"/>
  <c r="B38" i="2"/>
  <c r="B39" i="2"/>
  <c r="B40" i="2"/>
  <c r="B41" i="2"/>
  <c r="B42" i="2"/>
  <c r="B51" i="2"/>
  <c r="B52" i="2"/>
  <c r="B82" i="2" s="1"/>
  <c r="B53" i="2"/>
  <c r="B54" i="2"/>
  <c r="B57" i="2"/>
  <c r="B58" i="2"/>
  <c r="B59" i="2"/>
  <c r="B60" i="2"/>
  <c r="B61" i="2"/>
  <c r="B62" i="2"/>
  <c r="B64" i="2"/>
  <c r="B72" i="2"/>
  <c r="B81" i="2"/>
  <c r="B87" i="2"/>
  <c r="B88" i="2"/>
  <c r="B89" i="2"/>
  <c r="B90" i="2"/>
  <c r="B123" i="2"/>
  <c r="B68" i="2"/>
  <c r="B69" i="2"/>
  <c r="B70" i="2"/>
  <c r="B71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1" i="2"/>
  <c r="N41" i="2" s="1"/>
  <c r="P41" i="2" s="1"/>
  <c r="Q41" i="2" s="1"/>
  <c r="C42" i="2"/>
  <c r="C44" i="2"/>
  <c r="N44" i="2" s="1"/>
  <c r="P44" i="2" s="1"/>
  <c r="Q44" i="2" s="1"/>
  <c r="C51" i="2"/>
  <c r="C81" i="2" s="1"/>
  <c r="C52" i="2"/>
  <c r="C82" i="2" s="1"/>
  <c r="C53" i="2"/>
  <c r="C54" i="2"/>
  <c r="C57" i="2"/>
  <c r="C86" i="2" s="1"/>
  <c r="C58" i="2"/>
  <c r="C59" i="2"/>
  <c r="C60" i="2"/>
  <c r="C61" i="2"/>
  <c r="C62" i="2"/>
  <c r="C64" i="2"/>
  <c r="C90" i="2" s="1"/>
  <c r="C72" i="2"/>
  <c r="C87" i="2"/>
  <c r="C88" i="2"/>
  <c r="C89" i="2"/>
  <c r="C123" i="2"/>
  <c r="C68" i="2"/>
  <c r="C69" i="2"/>
  <c r="C70" i="2"/>
  <c r="C71" i="2"/>
  <c r="P264" i="2"/>
  <c r="Q264" i="2" s="1"/>
  <c r="P262" i="2"/>
  <c r="Q262" i="2" s="1"/>
  <c r="L71" i="2"/>
  <c r="K71" i="2"/>
  <c r="J71" i="2"/>
  <c r="H71" i="2"/>
  <c r="G71" i="2"/>
  <c r="F71" i="2"/>
  <c r="D71" i="2"/>
  <c r="N256" i="2"/>
  <c r="N255" i="2"/>
  <c r="N254" i="2"/>
  <c r="N253" i="2"/>
  <c r="N251" i="2"/>
  <c r="N250" i="2"/>
  <c r="P249" i="2"/>
  <c r="Q249" i="2" s="1"/>
  <c r="P248" i="2"/>
  <c r="Q248" i="2" s="1"/>
  <c r="M70" i="2"/>
  <c r="L70" i="2"/>
  <c r="K70" i="2"/>
  <c r="J70" i="2"/>
  <c r="I70" i="2"/>
  <c r="H70" i="2"/>
  <c r="G70" i="2"/>
  <c r="F70" i="2"/>
  <c r="D70" i="2"/>
  <c r="N238" i="2"/>
  <c r="N237" i="2"/>
  <c r="B86" i="11" s="1"/>
  <c r="N236" i="2"/>
  <c r="N235" i="2"/>
  <c r="B93" i="12" s="1"/>
  <c r="N234" i="2"/>
  <c r="N233" i="2"/>
  <c r="P233" i="2" s="1"/>
  <c r="Q233" i="2" s="1"/>
  <c r="N232" i="2"/>
  <c r="N231" i="2"/>
  <c r="N230" i="2"/>
  <c r="E229" i="2"/>
  <c r="N228" i="2"/>
  <c r="N227" i="2"/>
  <c r="N226" i="2"/>
  <c r="P226" i="2" s="1"/>
  <c r="Q226" i="2" s="1"/>
  <c r="N225" i="2"/>
  <c r="P225" i="2" s="1"/>
  <c r="Q225" i="2" s="1"/>
  <c r="N224" i="2"/>
  <c r="N223" i="2"/>
  <c r="N222" i="2"/>
  <c r="P222" i="2" s="1"/>
  <c r="Q222" i="2" s="1"/>
  <c r="N221" i="2"/>
  <c r="N220" i="2"/>
  <c r="N219" i="2"/>
  <c r="N218" i="2"/>
  <c r="B78" i="12" s="1"/>
  <c r="I78" i="12" s="1"/>
  <c r="P217" i="2"/>
  <c r="Q217" i="2" s="1"/>
  <c r="M216" i="2"/>
  <c r="M69" i="2" s="1"/>
  <c r="L216" i="2"/>
  <c r="L69" i="2" s="1"/>
  <c r="K216" i="2"/>
  <c r="K69" i="2" s="1"/>
  <c r="J216" i="2"/>
  <c r="I216" i="2"/>
  <c r="I69" i="2" s="1"/>
  <c r="H216" i="2"/>
  <c r="H69" i="2" s="1"/>
  <c r="F69" i="2"/>
  <c r="E69" i="2"/>
  <c r="D69" i="2"/>
  <c r="N214" i="2"/>
  <c r="N213" i="2"/>
  <c r="P213" i="2" s="1"/>
  <c r="Q213" i="2" s="1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P198" i="2"/>
  <c r="Q198" i="2" s="1"/>
  <c r="M197" i="2"/>
  <c r="M68" i="2" s="1"/>
  <c r="L197" i="2"/>
  <c r="L68" i="2" s="1"/>
  <c r="K197" i="2"/>
  <c r="K68" i="2" s="1"/>
  <c r="J197" i="2"/>
  <c r="J68" i="2" s="1"/>
  <c r="I197" i="2"/>
  <c r="I68" i="2" s="1"/>
  <c r="H197" i="2"/>
  <c r="H68" i="2" s="1"/>
  <c r="G68" i="2"/>
  <c r="E68" i="2"/>
  <c r="D68" i="2"/>
  <c r="N196" i="2"/>
  <c r="P196" i="2" s="1"/>
  <c r="Q196" i="2" s="1"/>
  <c r="N195" i="2"/>
  <c r="N194" i="2"/>
  <c r="N193" i="2"/>
  <c r="N192" i="2"/>
  <c r="N191" i="2"/>
  <c r="N190" i="2"/>
  <c r="N189" i="2"/>
  <c r="N188" i="2"/>
  <c r="N187" i="2"/>
  <c r="P187" i="2" s="1"/>
  <c r="Q187" i="2" s="1"/>
  <c r="N186" i="2"/>
  <c r="P185" i="2"/>
  <c r="Q185" i="2" s="1"/>
  <c r="M183" i="2"/>
  <c r="L183" i="2"/>
  <c r="K183" i="2"/>
  <c r="J183" i="2"/>
  <c r="I183" i="2"/>
  <c r="H183" i="2"/>
  <c r="N180" i="2"/>
  <c r="N179" i="2"/>
  <c r="E178" i="2"/>
  <c r="E61" i="2" s="1"/>
  <c r="N177" i="2"/>
  <c r="P177" i="2" s="1"/>
  <c r="Q177" i="2" s="1"/>
  <c r="N176" i="2"/>
  <c r="P176" i="2" s="1"/>
  <c r="Q176" i="2" s="1"/>
  <c r="N175" i="2"/>
  <c r="P175" i="2" s="1"/>
  <c r="Q175" i="2" s="1"/>
  <c r="N174" i="2"/>
  <c r="P174" i="2" s="1"/>
  <c r="Q174" i="2" s="1"/>
  <c r="N173" i="2"/>
  <c r="P173" i="2" s="1"/>
  <c r="Q173" i="2" s="1"/>
  <c r="N172" i="2"/>
  <c r="P172" i="2" s="1"/>
  <c r="Q172" i="2" s="1"/>
  <c r="N171" i="2"/>
  <c r="P171" i="2" s="1"/>
  <c r="Q171" i="2" s="1"/>
  <c r="N170" i="2"/>
  <c r="P170" i="2" s="1"/>
  <c r="Q170" i="2" s="1"/>
  <c r="N169" i="2"/>
  <c r="P169" i="2" s="1"/>
  <c r="Q169" i="2" s="1"/>
  <c r="N168" i="2"/>
  <c r="P168" i="2" s="1"/>
  <c r="Q168" i="2" s="1"/>
  <c r="N167" i="2"/>
  <c r="P167" i="2" s="1"/>
  <c r="Q167" i="2" s="1"/>
  <c r="N166" i="2"/>
  <c r="P166" i="2" s="1"/>
  <c r="Q166" i="2" s="1"/>
  <c r="N165" i="2"/>
  <c r="P165" i="2" s="1"/>
  <c r="Q165" i="2" s="1"/>
  <c r="N164" i="2"/>
  <c r="P164" i="2" s="1"/>
  <c r="Q164" i="2" s="1"/>
  <c r="E163" i="2"/>
  <c r="N162" i="2"/>
  <c r="P162" i="2" s="1"/>
  <c r="Q162" i="2" s="1"/>
  <c r="N161" i="2"/>
  <c r="P161" i="2" s="1"/>
  <c r="Q161" i="2" s="1"/>
  <c r="N160" i="2"/>
  <c r="P160" i="2" s="1"/>
  <c r="Q160" i="2" s="1"/>
  <c r="N159" i="2"/>
  <c r="P159" i="2" s="1"/>
  <c r="Q159" i="2" s="1"/>
  <c r="N158" i="2"/>
  <c r="P158" i="2" s="1"/>
  <c r="Q158" i="2" s="1"/>
  <c r="N156" i="2"/>
  <c r="P156" i="2" s="1"/>
  <c r="Q156" i="2" s="1"/>
  <c r="N155" i="2"/>
  <c r="P155" i="2" s="1"/>
  <c r="Q155" i="2" s="1"/>
  <c r="N154" i="2"/>
  <c r="P154" i="2" s="1"/>
  <c r="Q154" i="2" s="1"/>
  <c r="N153" i="2"/>
  <c r="P153" i="2" s="1"/>
  <c r="Q153" i="2" s="1"/>
  <c r="N152" i="2"/>
  <c r="P152" i="2" s="1"/>
  <c r="Q152" i="2" s="1"/>
  <c r="N151" i="2"/>
  <c r="P151" i="2" s="1"/>
  <c r="Q151" i="2" s="1"/>
  <c r="N150" i="2"/>
  <c r="P150" i="2" s="1"/>
  <c r="Q150" i="2" s="1"/>
  <c r="N149" i="2"/>
  <c r="P149" i="2" s="1"/>
  <c r="Q149" i="2" s="1"/>
  <c r="N148" i="2"/>
  <c r="P148" i="2" s="1"/>
  <c r="Q148" i="2" s="1"/>
  <c r="N147" i="2"/>
  <c r="P147" i="2" s="1"/>
  <c r="Q147" i="2" s="1"/>
  <c r="N146" i="2"/>
  <c r="P146" i="2" s="1"/>
  <c r="Q146" i="2" s="1"/>
  <c r="N145" i="2"/>
  <c r="P145" i="2" s="1"/>
  <c r="Q145" i="2" s="1"/>
  <c r="N144" i="2"/>
  <c r="P144" i="2" s="1"/>
  <c r="Q144" i="2" s="1"/>
  <c r="N143" i="2"/>
  <c r="P143" i="2" s="1"/>
  <c r="Q143" i="2" s="1"/>
  <c r="N142" i="2"/>
  <c r="P142" i="2" s="1"/>
  <c r="Q142" i="2" s="1"/>
  <c r="N141" i="2"/>
  <c r="P141" i="2" s="1"/>
  <c r="Q141" i="2" s="1"/>
  <c r="N140" i="2"/>
  <c r="P140" i="2" s="1"/>
  <c r="Q140" i="2" s="1"/>
  <c r="N139" i="2"/>
  <c r="P139" i="2" s="1"/>
  <c r="Q139" i="2" s="1"/>
  <c r="N138" i="2"/>
  <c r="P138" i="2" s="1"/>
  <c r="Q138" i="2" s="1"/>
  <c r="N137" i="2"/>
  <c r="P137" i="2" s="1"/>
  <c r="Q137" i="2" s="1"/>
  <c r="N136" i="2"/>
  <c r="P136" i="2" s="1"/>
  <c r="Q136" i="2" s="1"/>
  <c r="N135" i="2"/>
  <c r="P135" i="2" s="1"/>
  <c r="Q135" i="2" s="1"/>
  <c r="N134" i="2"/>
  <c r="N133" i="2"/>
  <c r="N132" i="2"/>
  <c r="P132" i="2" s="1"/>
  <c r="Q132" i="2" s="1"/>
  <c r="P131" i="2"/>
  <c r="Q131" i="2" s="1"/>
  <c r="N130" i="2"/>
  <c r="N129" i="2"/>
  <c r="N128" i="2"/>
  <c r="N127" i="2"/>
  <c r="N126" i="2"/>
  <c r="P126" i="2" s="1"/>
  <c r="Q126" i="2" s="1"/>
  <c r="N125" i="2"/>
  <c r="P124" i="2"/>
  <c r="Q124" i="2" s="1"/>
  <c r="M123" i="2"/>
  <c r="L123" i="2"/>
  <c r="K123" i="2"/>
  <c r="J123" i="2"/>
  <c r="I123" i="2"/>
  <c r="H123" i="2"/>
  <c r="G123" i="2"/>
  <c r="G184" i="2" s="1"/>
  <c r="F123" i="2"/>
  <c r="E123" i="2"/>
  <c r="D123" i="2"/>
  <c r="N122" i="2"/>
  <c r="N121" i="2"/>
  <c r="N120" i="2"/>
  <c r="P120" i="2" s="1"/>
  <c r="Q120" i="2" s="1"/>
  <c r="N119" i="2"/>
  <c r="P119" i="2" s="1"/>
  <c r="Q119" i="2" s="1"/>
  <c r="N118" i="2"/>
  <c r="P118" i="2" s="1"/>
  <c r="Q118" i="2" s="1"/>
  <c r="N117" i="2"/>
  <c r="P117" i="2" s="1"/>
  <c r="Q117" i="2" s="1"/>
  <c r="N116" i="2"/>
  <c r="P116" i="2" s="1"/>
  <c r="Q116" i="2" s="1"/>
  <c r="N115" i="2"/>
  <c r="P115" i="2" s="1"/>
  <c r="Q115" i="2" s="1"/>
  <c r="N114" i="2"/>
  <c r="P114" i="2" s="1"/>
  <c r="Q114" i="2" s="1"/>
  <c r="N113" i="2"/>
  <c r="P113" i="2" s="1"/>
  <c r="Q113" i="2" s="1"/>
  <c r="N112" i="2"/>
  <c r="P112" i="2" s="1"/>
  <c r="Q112" i="2" s="1"/>
  <c r="N111" i="2"/>
  <c r="P111" i="2" s="1"/>
  <c r="Q111" i="2" s="1"/>
  <c r="N110" i="2"/>
  <c r="N109" i="2"/>
  <c r="P109" i="2" s="1"/>
  <c r="Q109" i="2" s="1"/>
  <c r="N108" i="2"/>
  <c r="N107" i="2"/>
  <c r="P107" i="2" s="1"/>
  <c r="Q107" i="2" s="1"/>
  <c r="N106" i="2"/>
  <c r="N105" i="2"/>
  <c r="N104" i="2"/>
  <c r="N103" i="2"/>
  <c r="N102" i="2"/>
  <c r="P101" i="2"/>
  <c r="Q101" i="2" s="1"/>
  <c r="P100" i="2"/>
  <c r="Q100" i="2" s="1"/>
  <c r="P99" i="2"/>
  <c r="Q99" i="2" s="1"/>
  <c r="P98" i="2"/>
  <c r="Q98" i="2" s="1"/>
  <c r="P97" i="2"/>
  <c r="Q97" i="2" s="1"/>
  <c r="N96" i="2"/>
  <c r="P96" i="2" s="1"/>
  <c r="Q96" i="2" s="1"/>
  <c r="P95" i="2"/>
  <c r="Q95" i="2" s="1"/>
  <c r="P94" i="2"/>
  <c r="Q94" i="2" s="1"/>
  <c r="P93" i="2"/>
  <c r="Q93" i="2" s="1"/>
  <c r="F90" i="2"/>
  <c r="M89" i="2"/>
  <c r="L89" i="2"/>
  <c r="K89" i="2"/>
  <c r="J89" i="2"/>
  <c r="I89" i="2"/>
  <c r="H89" i="2"/>
  <c r="G89" i="2"/>
  <c r="F89" i="2"/>
  <c r="E89" i="2"/>
  <c r="D89" i="2"/>
  <c r="L88" i="2"/>
  <c r="K88" i="2"/>
  <c r="J88" i="2"/>
  <c r="I88" i="2"/>
  <c r="H88" i="2"/>
  <c r="G88" i="2"/>
  <c r="F88" i="2"/>
  <c r="E88" i="2"/>
  <c r="D88" i="2"/>
  <c r="G87" i="2"/>
  <c r="F87" i="2"/>
  <c r="E87" i="2"/>
  <c r="D87" i="2"/>
  <c r="F86" i="2"/>
  <c r="P85" i="2"/>
  <c r="Q85" i="2" s="1"/>
  <c r="P84" i="2"/>
  <c r="Q84" i="2" s="1"/>
  <c r="F82" i="2"/>
  <c r="F81" i="2"/>
  <c r="P80" i="2"/>
  <c r="Q80" i="2" s="1"/>
  <c r="P79" i="2"/>
  <c r="Q79" i="2" s="1"/>
  <c r="P78" i="2"/>
  <c r="Q78" i="2" s="1"/>
  <c r="P76" i="2"/>
  <c r="Q76" i="2" s="1"/>
  <c r="P75" i="2"/>
  <c r="Q75" i="2" s="1"/>
  <c r="M72" i="2"/>
  <c r="L72" i="2"/>
  <c r="K72" i="2"/>
  <c r="J72" i="2"/>
  <c r="I72" i="2"/>
  <c r="H72" i="2"/>
  <c r="G72" i="2"/>
  <c r="F72" i="2"/>
  <c r="E72" i="2"/>
  <c r="D72" i="2"/>
  <c r="M71" i="2"/>
  <c r="I71" i="2"/>
  <c r="E71" i="2"/>
  <c r="G69" i="2"/>
  <c r="P67" i="2"/>
  <c r="Q67" i="2" s="1"/>
  <c r="M64" i="2"/>
  <c r="M90" i="2" s="1"/>
  <c r="L64" i="2"/>
  <c r="L90" i="2" s="1"/>
  <c r="K64" i="2"/>
  <c r="K90" i="2" s="1"/>
  <c r="J64" i="2"/>
  <c r="J90" i="2" s="1"/>
  <c r="I64" i="2"/>
  <c r="I90" i="2" s="1"/>
  <c r="H64" i="2"/>
  <c r="H90" i="2" s="1"/>
  <c r="G90" i="2"/>
  <c r="F64" i="2"/>
  <c r="E64" i="2"/>
  <c r="E90" i="2" s="1"/>
  <c r="D64" i="2"/>
  <c r="D90" i="2" s="1"/>
  <c r="N63" i="2"/>
  <c r="P63" i="2" s="1"/>
  <c r="Q63" i="2" s="1"/>
  <c r="M62" i="2"/>
  <c r="L62" i="2"/>
  <c r="K62" i="2"/>
  <c r="J62" i="2"/>
  <c r="I62" i="2"/>
  <c r="H62" i="2"/>
  <c r="F62" i="2"/>
  <c r="E62" i="2"/>
  <c r="D62" i="2"/>
  <c r="M61" i="2"/>
  <c r="L61" i="2"/>
  <c r="K61" i="2"/>
  <c r="J61" i="2"/>
  <c r="I61" i="2"/>
  <c r="H61" i="2"/>
  <c r="F61" i="2"/>
  <c r="D61" i="2"/>
  <c r="M60" i="2"/>
  <c r="L60" i="2"/>
  <c r="K60" i="2"/>
  <c r="J60" i="2"/>
  <c r="I60" i="2"/>
  <c r="H60" i="2"/>
  <c r="F60" i="2"/>
  <c r="E60" i="2"/>
  <c r="D60" i="2"/>
  <c r="M59" i="2"/>
  <c r="L59" i="2"/>
  <c r="K59" i="2"/>
  <c r="J59" i="2"/>
  <c r="I59" i="2"/>
  <c r="H59" i="2"/>
  <c r="E59" i="2"/>
  <c r="D59" i="2"/>
  <c r="M58" i="2"/>
  <c r="L58" i="2"/>
  <c r="L87" i="2" s="1"/>
  <c r="K58" i="2"/>
  <c r="K87" i="2" s="1"/>
  <c r="J58" i="2"/>
  <c r="J87" i="2" s="1"/>
  <c r="I58" i="2"/>
  <c r="I87" i="2" s="1"/>
  <c r="H58" i="2"/>
  <c r="H87" i="2" s="1"/>
  <c r="F58" i="2"/>
  <c r="E58" i="2"/>
  <c r="D58" i="2"/>
  <c r="M57" i="2"/>
  <c r="L57" i="2"/>
  <c r="L86" i="2" s="1"/>
  <c r="K57" i="2"/>
  <c r="K86" i="2" s="1"/>
  <c r="J57" i="2"/>
  <c r="J86" i="2" s="1"/>
  <c r="I57" i="2"/>
  <c r="I86" i="2" s="1"/>
  <c r="H57" i="2"/>
  <c r="H86" i="2" s="1"/>
  <c r="G86" i="2"/>
  <c r="F57" i="2"/>
  <c r="E57" i="2"/>
  <c r="E86" i="2" s="1"/>
  <c r="D57" i="2"/>
  <c r="D86" i="2" s="1"/>
  <c r="P56" i="2"/>
  <c r="Q56" i="2" s="1"/>
  <c r="M54" i="2"/>
  <c r="L54" i="2"/>
  <c r="K54" i="2"/>
  <c r="J54" i="2"/>
  <c r="I54" i="2"/>
  <c r="H54" i="2"/>
  <c r="F54" i="2"/>
  <c r="E54" i="2"/>
  <c r="D54" i="2"/>
  <c r="M53" i="2"/>
  <c r="L53" i="2"/>
  <c r="K53" i="2"/>
  <c r="J53" i="2"/>
  <c r="I53" i="2"/>
  <c r="H53" i="2"/>
  <c r="F53" i="2"/>
  <c r="E53" i="2"/>
  <c r="D53" i="2"/>
  <c r="M52" i="2"/>
  <c r="L52" i="2"/>
  <c r="L82" i="2" s="1"/>
  <c r="K52" i="2"/>
  <c r="K82" i="2" s="1"/>
  <c r="J52" i="2"/>
  <c r="J82" i="2" s="1"/>
  <c r="I52" i="2"/>
  <c r="H52" i="2"/>
  <c r="H82" i="2" s="1"/>
  <c r="G82" i="2"/>
  <c r="F52" i="2"/>
  <c r="E52" i="2"/>
  <c r="E82" i="2" s="1"/>
  <c r="D52" i="2"/>
  <c r="D82" i="2" s="1"/>
  <c r="M51" i="2"/>
  <c r="M81" i="2" s="1"/>
  <c r="L51" i="2"/>
  <c r="L81" i="2" s="1"/>
  <c r="K51" i="2"/>
  <c r="K81" i="2" s="1"/>
  <c r="J51" i="2"/>
  <c r="I51" i="2"/>
  <c r="I81" i="2" s="1"/>
  <c r="H51" i="2"/>
  <c r="H81" i="2" s="1"/>
  <c r="G81" i="2"/>
  <c r="F51" i="2"/>
  <c r="E51" i="2"/>
  <c r="D51" i="2"/>
  <c r="D81" i="2" s="1"/>
  <c r="P50" i="2"/>
  <c r="Q50" i="2" s="1"/>
  <c r="P49" i="2"/>
  <c r="Q49" i="2" s="1"/>
  <c r="P48" i="2"/>
  <c r="Q48" i="2" s="1"/>
  <c r="P47" i="2"/>
  <c r="Q47" i="2" s="1"/>
  <c r="M45" i="2"/>
  <c r="L45" i="2"/>
  <c r="K45" i="2"/>
  <c r="J45" i="2"/>
  <c r="I45" i="2"/>
  <c r="H45" i="2"/>
  <c r="G45" i="2"/>
  <c r="F45" i="2"/>
  <c r="N43" i="2"/>
  <c r="P43" i="2" s="1"/>
  <c r="Q43" i="2" s="1"/>
  <c r="E42" i="2"/>
  <c r="D42" i="2"/>
  <c r="E40" i="2"/>
  <c r="D40" i="2"/>
  <c r="E39" i="2"/>
  <c r="D39" i="2"/>
  <c r="E38" i="2"/>
  <c r="D38" i="2"/>
  <c r="P37" i="2"/>
  <c r="Q37" i="2" s="1"/>
  <c r="M33" i="2"/>
  <c r="L33" i="2"/>
  <c r="K33" i="2"/>
  <c r="J33" i="2"/>
  <c r="I33" i="2"/>
  <c r="H33" i="2"/>
  <c r="G33" i="2"/>
  <c r="F33" i="2"/>
  <c r="E33" i="2"/>
  <c r="D33" i="2"/>
  <c r="M32" i="2"/>
  <c r="L32" i="2"/>
  <c r="K32" i="2"/>
  <c r="J32" i="2"/>
  <c r="I32" i="2"/>
  <c r="H32" i="2"/>
  <c r="G32" i="2"/>
  <c r="F32" i="2"/>
  <c r="E32" i="2"/>
  <c r="D32" i="2"/>
  <c r="P31" i="2"/>
  <c r="Q31" i="2" s="1"/>
  <c r="M30" i="2"/>
  <c r="L30" i="2"/>
  <c r="K30" i="2"/>
  <c r="J30" i="2"/>
  <c r="I30" i="2"/>
  <c r="H30" i="2"/>
  <c r="F30" i="2"/>
  <c r="M29" i="2"/>
  <c r="L29" i="2"/>
  <c r="K29" i="2"/>
  <c r="J29" i="2"/>
  <c r="I29" i="2"/>
  <c r="H29" i="2"/>
  <c r="G29" i="2"/>
  <c r="F29" i="2"/>
  <c r="E29" i="2"/>
  <c r="D29" i="2"/>
  <c r="M28" i="2"/>
  <c r="L28" i="2"/>
  <c r="K28" i="2"/>
  <c r="J28" i="2"/>
  <c r="I28" i="2"/>
  <c r="H28" i="2"/>
  <c r="G28" i="2"/>
  <c r="F28" i="2"/>
  <c r="E28" i="2"/>
  <c r="D28" i="2"/>
  <c r="M27" i="2"/>
  <c r="L27" i="2"/>
  <c r="K27" i="2"/>
  <c r="J27" i="2"/>
  <c r="I27" i="2"/>
  <c r="H27" i="2"/>
  <c r="G27" i="2"/>
  <c r="F27" i="2"/>
  <c r="E27" i="2"/>
  <c r="D27" i="2"/>
  <c r="P26" i="2"/>
  <c r="Q26" i="2" s="1"/>
  <c r="M25" i="2"/>
  <c r="L25" i="2"/>
  <c r="K25" i="2"/>
  <c r="J25" i="2"/>
  <c r="I25" i="2"/>
  <c r="H25" i="2"/>
  <c r="G25" i="2"/>
  <c r="F25" i="2"/>
  <c r="E25" i="2"/>
  <c r="D25" i="2"/>
  <c r="M24" i="2"/>
  <c r="L24" i="2"/>
  <c r="K24" i="2"/>
  <c r="J24" i="2"/>
  <c r="I24" i="2"/>
  <c r="H24" i="2"/>
  <c r="G24" i="2"/>
  <c r="F24" i="2"/>
  <c r="E24" i="2"/>
  <c r="D24" i="2"/>
  <c r="M23" i="2"/>
  <c r="L23" i="2"/>
  <c r="K23" i="2"/>
  <c r="J23" i="2"/>
  <c r="I23" i="2"/>
  <c r="H23" i="2"/>
  <c r="G23" i="2"/>
  <c r="F23" i="2"/>
  <c r="E23" i="2"/>
  <c r="D23" i="2"/>
  <c r="M22" i="2"/>
  <c r="L22" i="2"/>
  <c r="K22" i="2"/>
  <c r="J22" i="2"/>
  <c r="I22" i="2"/>
  <c r="H22" i="2"/>
  <c r="G22" i="2"/>
  <c r="F22" i="2"/>
  <c r="E22" i="2"/>
  <c r="D22" i="2"/>
  <c r="P21" i="2"/>
  <c r="Q21" i="2" s="1"/>
  <c r="M20" i="2"/>
  <c r="L20" i="2"/>
  <c r="K20" i="2"/>
  <c r="J20" i="2"/>
  <c r="I20" i="2"/>
  <c r="H20" i="2"/>
  <c r="F20" i="2"/>
  <c r="E20" i="2"/>
  <c r="M18" i="2"/>
  <c r="L18" i="2"/>
  <c r="K18" i="2"/>
  <c r="J18" i="2"/>
  <c r="I18" i="2"/>
  <c r="H18" i="2"/>
  <c r="F18" i="2"/>
  <c r="E18" i="2"/>
  <c r="D18" i="2"/>
  <c r="M17" i="2"/>
  <c r="L17" i="2"/>
  <c r="K17" i="2"/>
  <c r="J17" i="2"/>
  <c r="I17" i="2"/>
  <c r="H17" i="2"/>
  <c r="G17" i="2"/>
  <c r="F17" i="2"/>
  <c r="E17" i="2"/>
  <c r="D17" i="2"/>
  <c r="M16" i="2"/>
  <c r="L16" i="2"/>
  <c r="K16" i="2"/>
  <c r="J16" i="2"/>
  <c r="I16" i="2"/>
  <c r="H16" i="2"/>
  <c r="G16" i="2"/>
  <c r="F16" i="2"/>
  <c r="E16" i="2"/>
  <c r="D16" i="2"/>
  <c r="M15" i="2"/>
  <c r="L15" i="2"/>
  <c r="K15" i="2"/>
  <c r="J15" i="2"/>
  <c r="I15" i="2"/>
  <c r="H15" i="2"/>
  <c r="G15" i="2"/>
  <c r="F15" i="2"/>
  <c r="E15" i="2"/>
  <c r="D15" i="2"/>
  <c r="M14" i="2"/>
  <c r="L14" i="2"/>
  <c r="K14" i="2"/>
  <c r="J14" i="2"/>
  <c r="I14" i="2"/>
  <c r="H14" i="2"/>
  <c r="G14" i="2"/>
  <c r="F14" i="2"/>
  <c r="E14" i="2"/>
  <c r="D14" i="2"/>
  <c r="P13" i="2"/>
  <c r="Q13" i="2" s="1"/>
  <c r="P12" i="2"/>
  <c r="Q12" i="2" s="1"/>
  <c r="M10" i="2"/>
  <c r="L10" i="2"/>
  <c r="K10" i="2"/>
  <c r="J10" i="2"/>
  <c r="I10" i="2"/>
  <c r="H10" i="2"/>
  <c r="G10" i="2"/>
  <c r="F10" i="2"/>
  <c r="E10" i="2"/>
  <c r="M9" i="2"/>
  <c r="L9" i="2"/>
  <c r="K9" i="2"/>
  <c r="J9" i="2"/>
  <c r="I9" i="2"/>
  <c r="H9" i="2"/>
  <c r="G9" i="2"/>
  <c r="F9" i="2"/>
  <c r="E9" i="2"/>
  <c r="D9" i="2"/>
  <c r="M8" i="2"/>
  <c r="L8" i="2"/>
  <c r="K8" i="2"/>
  <c r="J8" i="2"/>
  <c r="I8" i="2"/>
  <c r="H8" i="2"/>
  <c r="F8" i="2"/>
  <c r="E8" i="2"/>
  <c r="D8" i="2"/>
  <c r="M7" i="2"/>
  <c r="L7" i="2"/>
  <c r="K7" i="2"/>
  <c r="J7" i="2"/>
  <c r="I7" i="2"/>
  <c r="H7" i="2"/>
  <c r="G7" i="2"/>
  <c r="F7" i="2"/>
  <c r="E7" i="2"/>
  <c r="D7" i="2"/>
  <c r="M6" i="2"/>
  <c r="L6" i="2"/>
  <c r="K6" i="2"/>
  <c r="J6" i="2"/>
  <c r="I6" i="2"/>
  <c r="H6" i="2"/>
  <c r="G6" i="2"/>
  <c r="F6" i="2"/>
  <c r="E6" i="2"/>
  <c r="D6" i="2"/>
  <c r="M5" i="2"/>
  <c r="L5" i="2"/>
  <c r="K5" i="2"/>
  <c r="J5" i="2"/>
  <c r="I5" i="2"/>
  <c r="H5" i="2"/>
  <c r="G5" i="2"/>
  <c r="E5" i="2"/>
  <c r="D5" i="2"/>
  <c r="U299" i="3" l="1"/>
  <c r="B86" i="2"/>
  <c r="N57" i="2"/>
  <c r="U268" i="3"/>
  <c r="U278" i="3" s="1"/>
  <c r="N68" i="2"/>
  <c r="B72" i="12"/>
  <c r="I72" i="12" s="1"/>
  <c r="B64" i="11"/>
  <c r="I64" i="11" s="1"/>
  <c r="P228" i="2"/>
  <c r="Q228" i="2" s="1"/>
  <c r="B91" i="12"/>
  <c r="I91" i="12" s="1"/>
  <c r="B82" i="11"/>
  <c r="X78" i="12"/>
  <c r="AB78" i="12"/>
  <c r="AD78" i="12"/>
  <c r="AF78" i="12" s="1"/>
  <c r="P194" i="2"/>
  <c r="Q194" i="2" s="1"/>
  <c r="B38" i="11"/>
  <c r="B30" i="12"/>
  <c r="B22" i="11"/>
  <c r="B31" i="12"/>
  <c r="I31" i="12" s="1"/>
  <c r="B23" i="11"/>
  <c r="I23" i="11" s="1"/>
  <c r="E70" i="2"/>
  <c r="E73" i="2" s="1"/>
  <c r="E247" i="2"/>
  <c r="N163" i="2"/>
  <c r="P163" i="2" s="1"/>
  <c r="Q163" i="2" s="1"/>
  <c r="E183" i="2"/>
  <c r="E184" i="2" s="1"/>
  <c r="E263" i="2" s="1"/>
  <c r="F34" i="2"/>
  <c r="K184" i="2"/>
  <c r="P200" i="2"/>
  <c r="Q200" i="2" s="1"/>
  <c r="N216" i="2"/>
  <c r="P216" i="2" s="1"/>
  <c r="Q216" i="2" s="1"/>
  <c r="C14" i="11"/>
  <c r="B53" i="5"/>
  <c r="H38" i="5"/>
  <c r="E63" i="16"/>
  <c r="E67" i="16" s="1"/>
  <c r="C60" i="16"/>
  <c r="I94" i="11"/>
  <c r="C113" i="12"/>
  <c r="C35" i="15" s="1"/>
  <c r="I103" i="12"/>
  <c r="N261" i="2"/>
  <c r="P261" i="2" s="1"/>
  <c r="Q261" i="2" s="1"/>
  <c r="B22" i="12"/>
  <c r="B14" i="11"/>
  <c r="P203" i="2"/>
  <c r="Q203" i="2" s="1"/>
  <c r="B47" i="11"/>
  <c r="I47" i="11" s="1"/>
  <c r="B55" i="12"/>
  <c r="I55" i="12" s="1"/>
  <c r="X55" i="12" s="1"/>
  <c r="B87" i="12"/>
  <c r="B78" i="11"/>
  <c r="B60" i="11"/>
  <c r="B67" i="12"/>
  <c r="P134" i="2"/>
  <c r="Q134" i="2" s="1"/>
  <c r="C55" i="2"/>
  <c r="P256" i="2"/>
  <c r="Q256" i="2" s="1"/>
  <c r="B108" i="12"/>
  <c r="I108" i="12" s="1"/>
  <c r="B99" i="11"/>
  <c r="I99" i="11" s="1"/>
  <c r="B105" i="12"/>
  <c r="B96" i="11"/>
  <c r="I96" i="11" s="1"/>
  <c r="P254" i="2"/>
  <c r="Q254" i="2" s="1"/>
  <c r="B106" i="12"/>
  <c r="B97" i="11"/>
  <c r="P255" i="2"/>
  <c r="Q255" i="2" s="1"/>
  <c r="B107" i="12"/>
  <c r="I107" i="12" s="1"/>
  <c r="B98" i="11"/>
  <c r="P251" i="2"/>
  <c r="Q251" i="2" s="1"/>
  <c r="B102" i="12"/>
  <c r="I102" i="12" s="1"/>
  <c r="B93" i="11"/>
  <c r="P250" i="2"/>
  <c r="Q250" i="2" s="1"/>
  <c r="B101" i="12"/>
  <c r="B92" i="11"/>
  <c r="P218" i="2"/>
  <c r="Q218" i="2" s="1"/>
  <c r="P227" i="2"/>
  <c r="Q227" i="2" s="1"/>
  <c r="P238" i="2"/>
  <c r="Q238" i="2" s="1"/>
  <c r="B83" i="2"/>
  <c r="P237" i="2"/>
  <c r="Q237" i="2" s="1"/>
  <c r="B95" i="12"/>
  <c r="I95" i="12" s="1"/>
  <c r="I86" i="11"/>
  <c r="P236" i="2"/>
  <c r="Q236" i="2" s="1"/>
  <c r="B94" i="12"/>
  <c r="I94" i="12" s="1"/>
  <c r="B85" i="11"/>
  <c r="P235" i="2"/>
  <c r="Q235" i="2" s="1"/>
  <c r="I93" i="12"/>
  <c r="B84" i="11"/>
  <c r="I84" i="11" s="1"/>
  <c r="P234" i="2"/>
  <c r="Q234" i="2" s="1"/>
  <c r="B92" i="12"/>
  <c r="I92" i="12" s="1"/>
  <c r="B83" i="11"/>
  <c r="P232" i="2"/>
  <c r="Q232" i="2" s="1"/>
  <c r="B89" i="12"/>
  <c r="I89" i="12" s="1"/>
  <c r="B80" i="11"/>
  <c r="P231" i="2"/>
  <c r="Q231" i="2" s="1"/>
  <c r="B88" i="12"/>
  <c r="B79" i="11"/>
  <c r="P230" i="2"/>
  <c r="Q230" i="2" s="1"/>
  <c r="B68" i="12"/>
  <c r="I68" i="12" s="1"/>
  <c r="X68" i="12" s="1"/>
  <c r="B61" i="11"/>
  <c r="P224" i="2"/>
  <c r="Q224" i="2" s="1"/>
  <c r="P223" i="2"/>
  <c r="Q223" i="2" s="1"/>
  <c r="B81" i="12"/>
  <c r="I81" i="12" s="1"/>
  <c r="X81" i="12" s="1"/>
  <c r="B72" i="11"/>
  <c r="B42" i="16" s="1"/>
  <c r="P221" i="2"/>
  <c r="Q221" i="2" s="1"/>
  <c r="B79" i="12"/>
  <c r="B70" i="11"/>
  <c r="P220" i="2"/>
  <c r="Q220" i="2" s="1"/>
  <c r="B77" i="12"/>
  <c r="B69" i="11"/>
  <c r="B48" i="12"/>
  <c r="I48" i="12" s="1"/>
  <c r="X48" i="12" s="1"/>
  <c r="B40" i="11"/>
  <c r="I40" i="11" s="1"/>
  <c r="B21" i="12"/>
  <c r="I21" i="12" s="1"/>
  <c r="B13" i="11"/>
  <c r="I13" i="11" s="1"/>
  <c r="B11" i="2"/>
  <c r="P214" i="2"/>
  <c r="Q214" i="2" s="1"/>
  <c r="B71" i="12"/>
  <c r="B63" i="11"/>
  <c r="P212" i="2"/>
  <c r="Q212" i="2" s="1"/>
  <c r="P211" i="2"/>
  <c r="Q211" i="2" s="1"/>
  <c r="B66" i="12"/>
  <c r="I66" i="12" s="1"/>
  <c r="X66" i="12" s="1"/>
  <c r="B59" i="11"/>
  <c r="P210" i="2"/>
  <c r="Q210" i="2" s="1"/>
  <c r="B65" i="12"/>
  <c r="B58" i="11"/>
  <c r="P209" i="2"/>
  <c r="Q209" i="2" s="1"/>
  <c r="B64" i="12"/>
  <c r="B57" i="11"/>
  <c r="P208" i="2"/>
  <c r="Q208" i="2" s="1"/>
  <c r="B62" i="12"/>
  <c r="B54" i="11"/>
  <c r="P207" i="2"/>
  <c r="Q207" i="2" s="1"/>
  <c r="B61" i="12"/>
  <c r="B53" i="11"/>
  <c r="P206" i="2"/>
  <c r="Q206" i="2" s="1"/>
  <c r="B60" i="12"/>
  <c r="B52" i="11"/>
  <c r="P205" i="2"/>
  <c r="Q205" i="2" s="1"/>
  <c r="B58" i="12"/>
  <c r="B50" i="11"/>
  <c r="P204" i="2"/>
  <c r="Q204" i="2" s="1"/>
  <c r="B57" i="12"/>
  <c r="B49" i="11"/>
  <c r="P202" i="2"/>
  <c r="Q202" i="2" s="1"/>
  <c r="B54" i="12"/>
  <c r="I54" i="12" s="1"/>
  <c r="X54" i="12" s="1"/>
  <c r="B46" i="11"/>
  <c r="I46" i="11" s="1"/>
  <c r="P201" i="2"/>
  <c r="Q201" i="2" s="1"/>
  <c r="B53" i="12"/>
  <c r="B45" i="11"/>
  <c r="B52" i="12"/>
  <c r="B44" i="11"/>
  <c r="P195" i="2"/>
  <c r="Q195" i="2" s="1"/>
  <c r="B47" i="12"/>
  <c r="I47" i="12" s="1"/>
  <c r="X47" i="12" s="1"/>
  <c r="B39" i="11"/>
  <c r="I39" i="11" s="1"/>
  <c r="P193" i="2"/>
  <c r="Q193" i="2" s="1"/>
  <c r="B46" i="12"/>
  <c r="P192" i="2"/>
  <c r="Q192" i="2" s="1"/>
  <c r="B45" i="12"/>
  <c r="B37" i="11"/>
  <c r="P191" i="2"/>
  <c r="Q191" i="2" s="1"/>
  <c r="B44" i="12"/>
  <c r="B36" i="11"/>
  <c r="P190" i="2"/>
  <c r="Q190" i="2" s="1"/>
  <c r="B43" i="12"/>
  <c r="B35" i="11"/>
  <c r="P189" i="2"/>
  <c r="Q189" i="2" s="1"/>
  <c r="B42" i="12"/>
  <c r="B34" i="11"/>
  <c r="P188" i="2"/>
  <c r="Q188" i="2" s="1"/>
  <c r="B41" i="12"/>
  <c r="I41" i="12" s="1"/>
  <c r="X41" i="12" s="1"/>
  <c r="B33" i="11"/>
  <c r="P186" i="2"/>
  <c r="Q186" i="2" s="1"/>
  <c r="B40" i="12"/>
  <c r="B32" i="11"/>
  <c r="P133" i="2"/>
  <c r="Q133" i="2" s="1"/>
  <c r="I30" i="12"/>
  <c r="X30" i="12" s="1"/>
  <c r="I22" i="11"/>
  <c r="P130" i="2"/>
  <c r="Q130" i="2" s="1"/>
  <c r="B29" i="12"/>
  <c r="I29" i="12" s="1"/>
  <c r="X29" i="12" s="1"/>
  <c r="B21" i="11"/>
  <c r="I21" i="11" s="1"/>
  <c r="P129" i="2"/>
  <c r="Q129" i="2" s="1"/>
  <c r="B28" i="12"/>
  <c r="I28" i="12" s="1"/>
  <c r="B20" i="11"/>
  <c r="I20" i="11" s="1"/>
  <c r="P128" i="2"/>
  <c r="Q128" i="2" s="1"/>
  <c r="B27" i="12"/>
  <c r="I27" i="12" s="1"/>
  <c r="X27" i="12" s="1"/>
  <c r="B19" i="11"/>
  <c r="I19" i="11" s="1"/>
  <c r="P127" i="2"/>
  <c r="Q127" i="2" s="1"/>
  <c r="B26" i="12"/>
  <c r="I26" i="12" s="1"/>
  <c r="B18" i="11"/>
  <c r="P125" i="2"/>
  <c r="Q125" i="2" s="1"/>
  <c r="P110" i="2"/>
  <c r="Q110" i="2" s="1"/>
  <c r="B20" i="12"/>
  <c r="I20" i="12" s="1"/>
  <c r="X20" i="12" s="1"/>
  <c r="B12" i="11"/>
  <c r="I12" i="11" s="1"/>
  <c r="P108" i="2"/>
  <c r="Q108" i="2" s="1"/>
  <c r="P106" i="2"/>
  <c r="Q106" i="2" s="1"/>
  <c r="B19" i="12"/>
  <c r="I19" i="12" s="1"/>
  <c r="X19" i="12" s="1"/>
  <c r="B11" i="11"/>
  <c r="I11" i="11" s="1"/>
  <c r="P105" i="2"/>
  <c r="Q105" i="2" s="1"/>
  <c r="B18" i="12"/>
  <c r="B10" i="11"/>
  <c r="P104" i="2"/>
  <c r="Q104" i="2" s="1"/>
  <c r="B17" i="12"/>
  <c r="B9" i="11"/>
  <c r="P103" i="2"/>
  <c r="Q103" i="2" s="1"/>
  <c r="B16" i="12"/>
  <c r="B8" i="11"/>
  <c r="D88" i="12"/>
  <c r="D79" i="11"/>
  <c r="D45" i="16" s="1"/>
  <c r="D71" i="12"/>
  <c r="D63" i="11"/>
  <c r="D34" i="16" s="1"/>
  <c r="D60" i="12"/>
  <c r="D52" i="11"/>
  <c r="D25" i="16" s="1"/>
  <c r="D53" i="12"/>
  <c r="D45" i="11"/>
  <c r="D23" i="16" s="1"/>
  <c r="D43" i="12"/>
  <c r="D35" i="11"/>
  <c r="D77" i="12"/>
  <c r="D69" i="11"/>
  <c r="D39" i="16" s="1"/>
  <c r="D82" i="12"/>
  <c r="D73" i="11"/>
  <c r="D43" i="16" s="1"/>
  <c r="D70" i="12"/>
  <c r="D62" i="11"/>
  <c r="D64" i="12"/>
  <c r="D57" i="11"/>
  <c r="D29" i="16" s="1"/>
  <c r="D58" i="12"/>
  <c r="D50" i="11"/>
  <c r="D46" i="12"/>
  <c r="D38" i="11"/>
  <c r="D42" i="12"/>
  <c r="D34" i="11"/>
  <c r="D17" i="16" s="1"/>
  <c r="D106" i="12"/>
  <c r="D97" i="11"/>
  <c r="D90" i="12"/>
  <c r="I90" i="12" s="1"/>
  <c r="D81" i="11"/>
  <c r="D67" i="12"/>
  <c r="D60" i="11"/>
  <c r="D31" i="16" s="1"/>
  <c r="D62" i="12"/>
  <c r="D54" i="11"/>
  <c r="D27" i="16" s="1"/>
  <c r="D57" i="12"/>
  <c r="D49" i="11"/>
  <c r="D45" i="12"/>
  <c r="D37" i="11"/>
  <c r="D40" i="12"/>
  <c r="D32" i="11"/>
  <c r="D16" i="16" s="1"/>
  <c r="D87" i="12"/>
  <c r="D78" i="11"/>
  <c r="D44" i="16" s="1"/>
  <c r="D73" i="12"/>
  <c r="D65" i="11"/>
  <c r="D101" i="12"/>
  <c r="D92" i="11"/>
  <c r="D104" i="11" s="1"/>
  <c r="D79" i="12"/>
  <c r="D70" i="11"/>
  <c r="D40" i="16" s="1"/>
  <c r="D65" i="12"/>
  <c r="D58" i="11"/>
  <c r="D30" i="16" s="1"/>
  <c r="D61" i="12"/>
  <c r="D53" i="11"/>
  <c r="D26" i="16" s="1"/>
  <c r="D56" i="12"/>
  <c r="I56" i="12" s="1"/>
  <c r="X56" i="12" s="1"/>
  <c r="D48" i="11"/>
  <c r="D44" i="12"/>
  <c r="D36" i="11"/>
  <c r="C58" i="12"/>
  <c r="C50" i="11"/>
  <c r="C24" i="16" s="1"/>
  <c r="C22" i="12"/>
  <c r="C67" i="12"/>
  <c r="C60" i="11"/>
  <c r="C31" i="16" s="1"/>
  <c r="C17" i="12"/>
  <c r="C9" i="11"/>
  <c r="C82" i="12"/>
  <c r="C73" i="11"/>
  <c r="C18" i="12"/>
  <c r="C10" i="11"/>
  <c r="C16" i="12"/>
  <c r="C8" i="11"/>
  <c r="H15" i="6"/>
  <c r="C79" i="12"/>
  <c r="C70" i="11"/>
  <c r="C40" i="16" s="1"/>
  <c r="C25" i="11"/>
  <c r="C33" i="12"/>
  <c r="C24" i="15" s="1"/>
  <c r="C25" i="15" s="1"/>
  <c r="S35" i="3"/>
  <c r="S45" i="3" s="1"/>
  <c r="R58" i="3"/>
  <c r="R68" i="3" s="1"/>
  <c r="U62" i="3"/>
  <c r="T82" i="3"/>
  <c r="T92" i="3" s="1"/>
  <c r="H49" i="6"/>
  <c r="G34" i="6"/>
  <c r="G59" i="6" s="1"/>
  <c r="C34" i="6"/>
  <c r="C59" i="6" s="1"/>
  <c r="D34" i="6"/>
  <c r="D59" i="6" s="1"/>
  <c r="Q12" i="3"/>
  <c r="Q22" i="3" s="1"/>
  <c r="U7" i="3"/>
  <c r="T285" i="3"/>
  <c r="S286" i="3"/>
  <c r="R287" i="3"/>
  <c r="R288" i="3"/>
  <c r="Q293" i="3"/>
  <c r="R35" i="3"/>
  <c r="R45" i="3" s="1"/>
  <c r="U31" i="3"/>
  <c r="U32" i="3"/>
  <c r="U33" i="3"/>
  <c r="Q58" i="3"/>
  <c r="Q68" i="3" s="1"/>
  <c r="U53" i="3"/>
  <c r="S82" i="3"/>
  <c r="S92" i="3" s="1"/>
  <c r="U290" i="3"/>
  <c r="B34" i="6"/>
  <c r="B59" i="6" s="1"/>
  <c r="H40" i="6"/>
  <c r="F68" i="5"/>
  <c r="F75" i="5" s="1"/>
  <c r="F78" i="5" s="1"/>
  <c r="C68" i="5"/>
  <c r="D68" i="5"/>
  <c r="D75" i="5" s="1"/>
  <c r="D78" i="5" s="1"/>
  <c r="C25" i="5"/>
  <c r="H66" i="5"/>
  <c r="B68" i="5"/>
  <c r="B25" i="5"/>
  <c r="D24" i="11"/>
  <c r="H53" i="5"/>
  <c r="H73" i="5"/>
  <c r="H35" i="5"/>
  <c r="R284" i="3"/>
  <c r="S287" i="3"/>
  <c r="P295" i="3"/>
  <c r="Q296" i="3"/>
  <c r="U55" i="3"/>
  <c r="P82" i="3"/>
  <c r="P92" i="3" s="1"/>
  <c r="U128" i="3"/>
  <c r="U138" i="3" s="1"/>
  <c r="W138" i="3" s="1"/>
  <c r="U174" i="3"/>
  <c r="U184" i="3" s="1"/>
  <c r="S284" i="3"/>
  <c r="R285" i="3"/>
  <c r="Q286" i="3"/>
  <c r="U9" i="3"/>
  <c r="P288" i="3"/>
  <c r="T288" i="3"/>
  <c r="S293" i="3"/>
  <c r="Q295" i="3"/>
  <c r="P35" i="3"/>
  <c r="P45" i="3" s="1"/>
  <c r="T35" i="3"/>
  <c r="T45" i="3" s="1"/>
  <c r="S58" i="3"/>
  <c r="S68" i="3" s="1"/>
  <c r="Q82" i="3"/>
  <c r="Q92" i="3" s="1"/>
  <c r="U76" i="3"/>
  <c r="U84" i="3"/>
  <c r="U197" i="3"/>
  <c r="U207" i="3" s="1"/>
  <c r="W207" i="3" s="1"/>
  <c r="U297" i="3"/>
  <c r="Q285" i="3"/>
  <c r="P286" i="3"/>
  <c r="S288" i="3"/>
  <c r="R293" i="3"/>
  <c r="U37" i="3"/>
  <c r="U54" i="3"/>
  <c r="U56" i="3"/>
  <c r="U245" i="3"/>
  <c r="U255" i="3" s="1"/>
  <c r="W254" i="3" s="1"/>
  <c r="P284" i="3"/>
  <c r="T284" i="3"/>
  <c r="S285" i="3"/>
  <c r="R286" i="3"/>
  <c r="Q287" i="3"/>
  <c r="Q288" i="3"/>
  <c r="P293" i="3"/>
  <c r="T293" i="3"/>
  <c r="R295" i="3"/>
  <c r="Q35" i="3"/>
  <c r="Q45" i="3" s="1"/>
  <c r="U30" i="3"/>
  <c r="U39" i="3"/>
  <c r="P58" i="3"/>
  <c r="P68" i="3" s="1"/>
  <c r="T58" i="3"/>
  <c r="T68" i="3" s="1"/>
  <c r="U60" i="3"/>
  <c r="R82" i="3"/>
  <c r="R92" i="3" s="1"/>
  <c r="U77" i="3"/>
  <c r="U78" i="3"/>
  <c r="U79" i="3"/>
  <c r="U105" i="3"/>
  <c r="U115" i="3" s="1"/>
  <c r="W115" i="3" s="1"/>
  <c r="U151" i="3"/>
  <c r="U161" i="3" s="1"/>
  <c r="U298" i="3"/>
  <c r="W232" i="3"/>
  <c r="W231" i="3"/>
  <c r="W278" i="3"/>
  <c r="W277" i="3"/>
  <c r="W137" i="3"/>
  <c r="W184" i="3"/>
  <c r="V183" i="3"/>
  <c r="W183" i="3" s="1"/>
  <c r="W160" i="3"/>
  <c r="W161" i="3"/>
  <c r="U10" i="3"/>
  <c r="V10" i="3" s="1"/>
  <c r="R12" i="3"/>
  <c r="R22" i="3" s="1"/>
  <c r="U29" i="3"/>
  <c r="U75" i="3"/>
  <c r="U80" i="3"/>
  <c r="Q284" i="3"/>
  <c r="P296" i="3"/>
  <c r="U296" i="3" s="1"/>
  <c r="U6" i="3"/>
  <c r="U8" i="3"/>
  <c r="S12" i="3"/>
  <c r="S22" i="3" s="1"/>
  <c r="U14" i="3"/>
  <c r="P285" i="3"/>
  <c r="P287" i="3"/>
  <c r="P12" i="3"/>
  <c r="P22" i="3" s="1"/>
  <c r="T12" i="3"/>
  <c r="T22" i="3" s="1"/>
  <c r="U16" i="3"/>
  <c r="U52" i="3"/>
  <c r="C83" i="2"/>
  <c r="B91" i="2"/>
  <c r="B45" i="2"/>
  <c r="B73" i="2"/>
  <c r="B34" i="2"/>
  <c r="C34" i="2"/>
  <c r="B184" i="2"/>
  <c r="B263" i="2" s="1"/>
  <c r="B65" i="2"/>
  <c r="C11" i="2"/>
  <c r="B55" i="2"/>
  <c r="C45" i="2"/>
  <c r="C73" i="2"/>
  <c r="C91" i="2"/>
  <c r="C65" i="2"/>
  <c r="C66" i="2" s="1"/>
  <c r="C184" i="2"/>
  <c r="C263" i="2" s="1"/>
  <c r="H83" i="2"/>
  <c r="L83" i="2"/>
  <c r="N62" i="2"/>
  <c r="P62" i="2" s="1"/>
  <c r="Q62" i="2" s="1"/>
  <c r="N42" i="2"/>
  <c r="P42" i="2" s="1"/>
  <c r="Q42" i="2" s="1"/>
  <c r="L184" i="2"/>
  <c r="L263" i="2" s="1"/>
  <c r="N53" i="2"/>
  <c r="P53" i="2" s="1"/>
  <c r="Q53" i="2" s="1"/>
  <c r="N59" i="2"/>
  <c r="P59" i="2" s="1"/>
  <c r="Q59" i="2" s="1"/>
  <c r="N18" i="2"/>
  <c r="P18" i="2" s="1"/>
  <c r="Q18" i="2" s="1"/>
  <c r="N28" i="2"/>
  <c r="P28" i="2" s="1"/>
  <c r="Q28" i="2" s="1"/>
  <c r="D83" i="2"/>
  <c r="N52" i="2"/>
  <c r="P52" i="2" s="1"/>
  <c r="Q52" i="2" s="1"/>
  <c r="J11" i="2"/>
  <c r="D11" i="2"/>
  <c r="F184" i="2"/>
  <c r="F263" i="2" s="1"/>
  <c r="J184" i="2"/>
  <c r="J263" i="2" s="1"/>
  <c r="N8" i="2"/>
  <c r="P8" i="2" s="1"/>
  <c r="Q8" i="2" s="1"/>
  <c r="N15" i="2"/>
  <c r="P15" i="2" s="1"/>
  <c r="Q15" i="2" s="1"/>
  <c r="N27" i="2"/>
  <c r="P27" i="2" s="1"/>
  <c r="Q27" i="2" s="1"/>
  <c r="N89" i="2"/>
  <c r="P89" i="2" s="1"/>
  <c r="Q89" i="2" s="1"/>
  <c r="H11" i="2"/>
  <c r="E34" i="2"/>
  <c r="N25" i="2"/>
  <c r="P25" i="2" s="1"/>
  <c r="Q25" i="2" s="1"/>
  <c r="N24" i="2"/>
  <c r="P24" i="2" s="1"/>
  <c r="Q24" i="2" s="1"/>
  <c r="N32" i="2"/>
  <c r="P32" i="2" s="1"/>
  <c r="Q32" i="2" s="1"/>
  <c r="N38" i="2"/>
  <c r="P38" i="2" s="1"/>
  <c r="Q38" i="2" s="1"/>
  <c r="N58" i="2"/>
  <c r="P58" i="2" s="1"/>
  <c r="Q58" i="2" s="1"/>
  <c r="G263" i="2"/>
  <c r="K263" i="2"/>
  <c r="H73" i="2"/>
  <c r="L73" i="2"/>
  <c r="L11" i="2"/>
  <c r="I34" i="2"/>
  <c r="N33" i="2"/>
  <c r="P33" i="2" s="1"/>
  <c r="Q33" i="2" s="1"/>
  <c r="E55" i="2"/>
  <c r="L55" i="2"/>
  <c r="N60" i="2"/>
  <c r="P60" i="2" s="1"/>
  <c r="Q60" i="2" s="1"/>
  <c r="N9" i="2"/>
  <c r="P9" i="2" s="1"/>
  <c r="Q9" i="2" s="1"/>
  <c r="N22" i="2"/>
  <c r="P22" i="2" s="1"/>
  <c r="Q22" i="2" s="1"/>
  <c r="N29" i="2"/>
  <c r="P29" i="2" s="1"/>
  <c r="Q29" i="2" s="1"/>
  <c r="I91" i="2"/>
  <c r="N71" i="2"/>
  <c r="P71" i="2" s="1"/>
  <c r="Q71" i="2" s="1"/>
  <c r="F83" i="2"/>
  <c r="D184" i="2"/>
  <c r="D263" i="2" s="1"/>
  <c r="H184" i="2"/>
  <c r="H263" i="2" s="1"/>
  <c r="D73" i="2"/>
  <c r="E91" i="2"/>
  <c r="N70" i="2"/>
  <c r="P70" i="2" s="1"/>
  <c r="Q70" i="2" s="1"/>
  <c r="K73" i="2"/>
  <c r="N30" i="2"/>
  <c r="P30" i="2" s="1"/>
  <c r="Q30" i="2" s="1"/>
  <c r="F55" i="2"/>
  <c r="N178" i="2"/>
  <c r="P178" i="2" s="1"/>
  <c r="Q178" i="2" s="1"/>
  <c r="I73" i="2"/>
  <c r="N229" i="2"/>
  <c r="N247" i="2" s="1"/>
  <c r="E11" i="2"/>
  <c r="N10" i="2"/>
  <c r="K34" i="2"/>
  <c r="D45" i="2"/>
  <c r="K83" i="2"/>
  <c r="F91" i="2"/>
  <c r="E65" i="2"/>
  <c r="E81" i="2"/>
  <c r="E83" i="2" s="1"/>
  <c r="G34" i="2"/>
  <c r="J55" i="2"/>
  <c r="G73" i="2"/>
  <c r="G91" i="2"/>
  <c r="F11" i="2"/>
  <c r="F35" i="2" s="1"/>
  <c r="N6" i="2"/>
  <c r="P6" i="2" s="1"/>
  <c r="Q6" i="2" s="1"/>
  <c r="N20" i="2"/>
  <c r="I55" i="2"/>
  <c r="H55" i="2"/>
  <c r="D91" i="2"/>
  <c r="H91" i="2"/>
  <c r="L91" i="2"/>
  <c r="K65" i="2"/>
  <c r="F73" i="2"/>
  <c r="M34" i="2"/>
  <c r="M73" i="2"/>
  <c r="N14" i="2"/>
  <c r="J34" i="2"/>
  <c r="N17" i="2"/>
  <c r="P17" i="2" s="1"/>
  <c r="Q17" i="2" s="1"/>
  <c r="K91" i="2"/>
  <c r="I11" i="2"/>
  <c r="M11" i="2"/>
  <c r="N87" i="2"/>
  <c r="P87" i="2" s="1"/>
  <c r="Q87" i="2" s="1"/>
  <c r="N90" i="2"/>
  <c r="P90" i="2" s="1"/>
  <c r="Q90" i="2" s="1"/>
  <c r="N40" i="2"/>
  <c r="P40" i="2" s="1"/>
  <c r="Q40" i="2" s="1"/>
  <c r="N51" i="2"/>
  <c r="H65" i="2"/>
  <c r="M65" i="2"/>
  <c r="J81" i="2"/>
  <c r="J83" i="2" s="1"/>
  <c r="N5" i="2"/>
  <c r="G83" i="2"/>
  <c r="M55" i="2"/>
  <c r="N64" i="2"/>
  <c r="P64" i="2" s="1"/>
  <c r="Q64" i="2" s="1"/>
  <c r="D65" i="2"/>
  <c r="I65" i="2"/>
  <c r="N72" i="2"/>
  <c r="P72" i="2" s="1"/>
  <c r="Q72" i="2" s="1"/>
  <c r="I82" i="2"/>
  <c r="I83" i="2" s="1"/>
  <c r="M86" i="2"/>
  <c r="N86" i="2" s="1"/>
  <c r="P219" i="2"/>
  <c r="Q219" i="2" s="1"/>
  <c r="G11" i="2"/>
  <c r="K11" i="2"/>
  <c r="N7" i="2"/>
  <c r="P7" i="2" s="1"/>
  <c r="Q7" i="2" s="1"/>
  <c r="N16" i="2"/>
  <c r="P16" i="2" s="1"/>
  <c r="Q16" i="2" s="1"/>
  <c r="N23" i="2"/>
  <c r="P23" i="2" s="1"/>
  <c r="Q23" i="2" s="1"/>
  <c r="E45" i="2"/>
  <c r="N39" i="2"/>
  <c r="P39" i="2" s="1"/>
  <c r="Q39" i="2" s="1"/>
  <c r="D55" i="2"/>
  <c r="F65" i="2"/>
  <c r="J91" i="2"/>
  <c r="J69" i="2"/>
  <c r="J73" i="2" s="1"/>
  <c r="P102" i="2"/>
  <c r="Q102" i="2" s="1"/>
  <c r="N123" i="2"/>
  <c r="P123" i="2" s="1"/>
  <c r="Q123" i="2" s="1"/>
  <c r="D34" i="2"/>
  <c r="H34" i="2"/>
  <c r="L34" i="2"/>
  <c r="N54" i="2"/>
  <c r="P54" i="2" s="1"/>
  <c r="Q54" i="2" s="1"/>
  <c r="N61" i="2"/>
  <c r="P61" i="2" s="1"/>
  <c r="Q61" i="2" s="1"/>
  <c r="G65" i="2"/>
  <c r="L65" i="2"/>
  <c r="M82" i="2"/>
  <c r="M83" i="2" s="1"/>
  <c r="I184" i="2"/>
  <c r="I263" i="2" s="1"/>
  <c r="M184" i="2"/>
  <c r="G55" i="2"/>
  <c r="K55" i="2"/>
  <c r="J65" i="2"/>
  <c r="N88" i="2"/>
  <c r="P88" i="2" s="1"/>
  <c r="Q88" i="2" s="1"/>
  <c r="W114" i="3" l="1"/>
  <c r="B57" i="16"/>
  <c r="W255" i="3"/>
  <c r="W257" i="3" s="1"/>
  <c r="N65" i="2"/>
  <c r="B104" i="11"/>
  <c r="AD91" i="12"/>
  <c r="X91" i="12"/>
  <c r="AB91" i="12"/>
  <c r="B48" i="16"/>
  <c r="I48" i="16" s="1"/>
  <c r="I82" i="11"/>
  <c r="X72" i="12"/>
  <c r="AB72" i="12"/>
  <c r="I18" i="11"/>
  <c r="B96" i="12"/>
  <c r="N197" i="2"/>
  <c r="P197" i="2" s="1"/>
  <c r="Q197" i="2" s="1"/>
  <c r="N183" i="2"/>
  <c r="P183" i="2" s="1"/>
  <c r="Q183" i="2" s="1"/>
  <c r="I87" i="12"/>
  <c r="X87" i="12" s="1"/>
  <c r="U287" i="3"/>
  <c r="C36" i="16"/>
  <c r="D113" i="12"/>
  <c r="D35" i="15" s="1"/>
  <c r="D58" i="16"/>
  <c r="D61" i="16" s="1"/>
  <c r="I97" i="11"/>
  <c r="I35" i="11"/>
  <c r="I65" i="11"/>
  <c r="I9" i="11"/>
  <c r="B32" i="16"/>
  <c r="I32" i="16" s="1"/>
  <c r="I59" i="11"/>
  <c r="I48" i="11"/>
  <c r="D24" i="16"/>
  <c r="D47" i="16"/>
  <c r="I47" i="16" s="1"/>
  <c r="I81" i="11"/>
  <c r="D35" i="16"/>
  <c r="I8" i="11"/>
  <c r="I34" i="11"/>
  <c r="B17" i="16"/>
  <c r="I17" i="16" s="1"/>
  <c r="I38" i="11"/>
  <c r="B23" i="16"/>
  <c r="I23" i="16" s="1"/>
  <c r="I45" i="11"/>
  <c r="B25" i="16"/>
  <c r="I25" i="16" s="1"/>
  <c r="I52" i="11"/>
  <c r="B30" i="16"/>
  <c r="I30" i="16" s="1"/>
  <c r="I58" i="11"/>
  <c r="B45" i="16"/>
  <c r="I45" i="16" s="1"/>
  <c r="I79" i="11"/>
  <c r="B50" i="16"/>
  <c r="I50" i="16" s="1"/>
  <c r="I85" i="11"/>
  <c r="B56" i="16"/>
  <c r="I92" i="11"/>
  <c r="I53" i="11"/>
  <c r="B26" i="16"/>
  <c r="I26" i="16" s="1"/>
  <c r="B34" i="16"/>
  <c r="I34" i="16" s="1"/>
  <c r="I63" i="11"/>
  <c r="B39" i="16"/>
  <c r="I69" i="11"/>
  <c r="I80" i="11"/>
  <c r="B46" i="16"/>
  <c r="I46" i="16" s="1"/>
  <c r="I57" i="16"/>
  <c r="I93" i="11"/>
  <c r="C43" i="16"/>
  <c r="I43" i="16" s="1"/>
  <c r="I73" i="11"/>
  <c r="I33" i="11"/>
  <c r="B18" i="16"/>
  <c r="I37" i="11"/>
  <c r="I50" i="11"/>
  <c r="B29" i="16"/>
  <c r="I29" i="16" s="1"/>
  <c r="I57" i="11"/>
  <c r="I72" i="11"/>
  <c r="I42" i="16"/>
  <c r="B33" i="16"/>
  <c r="I33" i="16" s="1"/>
  <c r="I61" i="11"/>
  <c r="B58" i="16"/>
  <c r="B31" i="16"/>
  <c r="I31" i="16" s="1"/>
  <c r="I60" i="11"/>
  <c r="I60" i="16"/>
  <c r="C61" i="16"/>
  <c r="D18" i="16"/>
  <c r="D19" i="16" s="1"/>
  <c r="I10" i="11"/>
  <c r="B16" i="16"/>
  <c r="I32" i="11"/>
  <c r="I36" i="11"/>
  <c r="B22" i="16"/>
  <c r="B24" i="16"/>
  <c r="I49" i="11"/>
  <c r="B27" i="16"/>
  <c r="I27" i="16" s="1"/>
  <c r="I54" i="11"/>
  <c r="I70" i="11"/>
  <c r="B40" i="16"/>
  <c r="I40" i="16" s="1"/>
  <c r="B49" i="16"/>
  <c r="I49" i="16" s="1"/>
  <c r="I83" i="11"/>
  <c r="B59" i="16"/>
  <c r="I59" i="16" s="1"/>
  <c r="I98" i="11"/>
  <c r="I78" i="11"/>
  <c r="B44" i="16"/>
  <c r="I44" i="16" s="1"/>
  <c r="I16" i="12"/>
  <c r="X16" i="12" s="1"/>
  <c r="I88" i="12"/>
  <c r="X88" i="12" s="1"/>
  <c r="C9" i="16"/>
  <c r="AB90" i="12"/>
  <c r="X90" i="12"/>
  <c r="AB31" i="12"/>
  <c r="X31" i="12"/>
  <c r="AB93" i="12"/>
  <c r="X93" i="12"/>
  <c r="AB92" i="12"/>
  <c r="X92" i="12"/>
  <c r="AB107" i="12"/>
  <c r="X107" i="12"/>
  <c r="AB108" i="12"/>
  <c r="X108" i="12"/>
  <c r="AB103" i="12"/>
  <c r="X103" i="12"/>
  <c r="AB94" i="12"/>
  <c r="X94" i="12"/>
  <c r="AD26" i="12"/>
  <c r="AF26" i="12" s="1"/>
  <c r="X26" i="12"/>
  <c r="AB28" i="12"/>
  <c r="X28" i="12"/>
  <c r="AB21" i="12"/>
  <c r="X21" i="12"/>
  <c r="AB89" i="12"/>
  <c r="X89" i="12"/>
  <c r="AB95" i="12"/>
  <c r="X95" i="12"/>
  <c r="AB102" i="12"/>
  <c r="X102" i="12"/>
  <c r="I62" i="12"/>
  <c r="X62" i="12" s="1"/>
  <c r="I105" i="12"/>
  <c r="B32" i="12"/>
  <c r="B33" i="12" s="1"/>
  <c r="B24" i="15" s="1"/>
  <c r="B25" i="15" s="1"/>
  <c r="B24" i="11"/>
  <c r="B25" i="11" s="1"/>
  <c r="I61" i="12"/>
  <c r="I73" i="12"/>
  <c r="AB55" i="12"/>
  <c r="AD55" i="12"/>
  <c r="AF55" i="12" s="1"/>
  <c r="B113" i="12"/>
  <c r="I46" i="12"/>
  <c r="AD46" i="12" s="1"/>
  <c r="AF46" i="12" s="1"/>
  <c r="I60" i="12"/>
  <c r="AB26" i="12"/>
  <c r="I45" i="12"/>
  <c r="B92" i="2"/>
  <c r="I17" i="12"/>
  <c r="C35" i="2"/>
  <c r="C46" i="2" s="1"/>
  <c r="I64" i="12"/>
  <c r="B35" i="2"/>
  <c r="B46" i="2" s="1"/>
  <c r="C92" i="2"/>
  <c r="I106" i="12"/>
  <c r="B66" i="2"/>
  <c r="D92" i="2"/>
  <c r="B87" i="11"/>
  <c r="I65" i="12"/>
  <c r="AD65" i="12" s="1"/>
  <c r="AF65" i="12" s="1"/>
  <c r="B32" i="15"/>
  <c r="I42" i="12"/>
  <c r="I53" i="12"/>
  <c r="B49" i="12"/>
  <c r="B30" i="15" s="1"/>
  <c r="I71" i="12"/>
  <c r="AB68" i="12"/>
  <c r="AD68" i="12"/>
  <c r="AF68" i="12" s="1"/>
  <c r="P229" i="2"/>
  <c r="Q229" i="2" s="1"/>
  <c r="B70" i="12"/>
  <c r="I70" i="12" s="1"/>
  <c r="X70" i="12" s="1"/>
  <c r="B62" i="11"/>
  <c r="B66" i="11" s="1"/>
  <c r="AD81" i="12"/>
  <c r="AF81" i="12" s="1"/>
  <c r="AB81" i="12"/>
  <c r="AB48" i="12"/>
  <c r="AD48" i="12"/>
  <c r="AF48" i="12" s="1"/>
  <c r="I57" i="12"/>
  <c r="I43" i="12"/>
  <c r="I44" i="12"/>
  <c r="I35" i="2"/>
  <c r="I36" i="2" s="1"/>
  <c r="I67" i="12"/>
  <c r="AD66" i="12"/>
  <c r="AF66" i="12" s="1"/>
  <c r="AB66" i="12"/>
  <c r="AD54" i="12"/>
  <c r="AF54" i="12" s="1"/>
  <c r="AB54" i="12"/>
  <c r="AD47" i="12"/>
  <c r="AF47" i="12" s="1"/>
  <c r="AB47" i="12"/>
  <c r="B41" i="11"/>
  <c r="AB41" i="12"/>
  <c r="AD41" i="12"/>
  <c r="AF41" i="12" s="1"/>
  <c r="AD28" i="12"/>
  <c r="AF28" i="12" s="1"/>
  <c r="AD30" i="12"/>
  <c r="AF30" i="12" s="1"/>
  <c r="AB30" i="12"/>
  <c r="AB29" i="12"/>
  <c r="AD29" i="12"/>
  <c r="AF29" i="12" s="1"/>
  <c r="I18" i="12"/>
  <c r="AD20" i="12"/>
  <c r="AF20" i="12" s="1"/>
  <c r="AB20" i="12"/>
  <c r="B23" i="12"/>
  <c r="B20" i="15" s="1"/>
  <c r="AD19" i="12"/>
  <c r="AF19" i="12" s="1"/>
  <c r="AB19" i="12"/>
  <c r="B15" i="11"/>
  <c r="I82" i="12"/>
  <c r="X82" i="12" s="1"/>
  <c r="C75" i="5"/>
  <c r="C78" i="5" s="1"/>
  <c r="D41" i="11"/>
  <c r="D22" i="12"/>
  <c r="D23" i="12" s="1"/>
  <c r="D20" i="15" s="1"/>
  <c r="D21" i="15" s="1"/>
  <c r="D14" i="11"/>
  <c r="I14" i="11" s="1"/>
  <c r="AD56" i="12"/>
  <c r="AF56" i="12" s="1"/>
  <c r="AB56" i="12"/>
  <c r="D52" i="12"/>
  <c r="D44" i="11"/>
  <c r="D22" i="16" s="1"/>
  <c r="D87" i="11"/>
  <c r="I101" i="12"/>
  <c r="I40" i="12"/>
  <c r="X40" i="12" s="1"/>
  <c r="D49" i="12"/>
  <c r="D30" i="15" s="1"/>
  <c r="I77" i="12"/>
  <c r="X77" i="12" s="1"/>
  <c r="D96" i="12"/>
  <c r="D32" i="15" s="1"/>
  <c r="D32" i="12"/>
  <c r="C15" i="11"/>
  <c r="R291" i="3"/>
  <c r="C87" i="11"/>
  <c r="C96" i="12"/>
  <c r="C32" i="15" s="1"/>
  <c r="I79" i="12"/>
  <c r="X79" i="12" s="1"/>
  <c r="I58" i="12"/>
  <c r="X58" i="12" s="1"/>
  <c r="C74" i="12"/>
  <c r="C31" i="15" s="1"/>
  <c r="C23" i="12"/>
  <c r="C20" i="15" s="1"/>
  <c r="C21" i="15" s="1"/>
  <c r="C7" i="16" s="1"/>
  <c r="C11" i="16" s="1"/>
  <c r="C66" i="11"/>
  <c r="AD27" i="12"/>
  <c r="AF27" i="12" s="1"/>
  <c r="AB27" i="12"/>
  <c r="S291" i="3"/>
  <c r="U293" i="3"/>
  <c r="V91" i="3"/>
  <c r="U288" i="3"/>
  <c r="T291" i="3"/>
  <c r="H57" i="6"/>
  <c r="H34" i="6"/>
  <c r="U285" i="3"/>
  <c r="Q301" i="3"/>
  <c r="V67" i="3"/>
  <c r="U286" i="3"/>
  <c r="U295" i="3"/>
  <c r="U35" i="3"/>
  <c r="U45" i="3" s="1"/>
  <c r="W46" i="3" s="1"/>
  <c r="R301" i="3"/>
  <c r="H68" i="5"/>
  <c r="B75" i="5"/>
  <c r="B78" i="5" s="1"/>
  <c r="H25" i="5"/>
  <c r="T301" i="3"/>
  <c r="U58" i="3"/>
  <c r="U68" i="3" s="1"/>
  <c r="S301" i="3"/>
  <c r="Q291" i="3"/>
  <c r="W206" i="3"/>
  <c r="V45" i="3"/>
  <c r="U12" i="3"/>
  <c r="U22" i="3" s="1"/>
  <c r="U82" i="3"/>
  <c r="U92" i="3" s="1"/>
  <c r="V22" i="3"/>
  <c r="P301" i="3"/>
  <c r="U284" i="3"/>
  <c r="P291" i="3"/>
  <c r="D35" i="2"/>
  <c r="D46" i="2" s="1"/>
  <c r="L66" i="2"/>
  <c r="L35" i="2"/>
  <c r="E35" i="2"/>
  <c r="E36" i="2" s="1"/>
  <c r="J66" i="2"/>
  <c r="L92" i="2"/>
  <c r="H92" i="2"/>
  <c r="H35" i="2"/>
  <c r="H36" i="2" s="1"/>
  <c r="K35" i="2"/>
  <c r="K36" i="2" s="1"/>
  <c r="E92" i="2"/>
  <c r="K92" i="2"/>
  <c r="I66" i="2"/>
  <c r="K66" i="2"/>
  <c r="E66" i="2"/>
  <c r="H66" i="2"/>
  <c r="F92" i="2"/>
  <c r="N69" i="2"/>
  <c r="P69" i="2" s="1"/>
  <c r="Q69" i="2" s="1"/>
  <c r="I92" i="2"/>
  <c r="J35" i="2"/>
  <c r="J36" i="2" s="1"/>
  <c r="G92" i="2"/>
  <c r="P247" i="2"/>
  <c r="Q247" i="2" s="1"/>
  <c r="N81" i="2"/>
  <c r="P81" i="2" s="1"/>
  <c r="Q81" i="2" s="1"/>
  <c r="N82" i="2"/>
  <c r="P82" i="2" s="1"/>
  <c r="Q82" i="2" s="1"/>
  <c r="D66" i="2"/>
  <c r="J92" i="2"/>
  <c r="F66" i="2"/>
  <c r="F74" i="2" s="1"/>
  <c r="F265" i="2" s="1"/>
  <c r="G35" i="2"/>
  <c r="G36" i="2" s="1"/>
  <c r="N45" i="2"/>
  <c r="P45" i="2" s="1"/>
  <c r="Q45" i="2" s="1"/>
  <c r="P65" i="2"/>
  <c r="Q65" i="2" s="1"/>
  <c r="P57" i="2"/>
  <c r="Q57" i="2" s="1"/>
  <c r="M263" i="2"/>
  <c r="N11" i="2"/>
  <c r="P5" i="2"/>
  <c r="Q5" i="2" s="1"/>
  <c r="M35" i="2"/>
  <c r="P86" i="2"/>
  <c r="Q86" i="2" s="1"/>
  <c r="N91" i="2"/>
  <c r="N184" i="2"/>
  <c r="M66" i="2"/>
  <c r="P14" i="2"/>
  <c r="Q14" i="2" s="1"/>
  <c r="N34" i="2"/>
  <c r="P34" i="2" s="1"/>
  <c r="Q34" i="2" s="1"/>
  <c r="M91" i="2"/>
  <c r="P51" i="2"/>
  <c r="Q51" i="2" s="1"/>
  <c r="N55" i="2"/>
  <c r="G66" i="2"/>
  <c r="P68" i="2"/>
  <c r="Q68" i="2" s="1"/>
  <c r="I104" i="11" l="1"/>
  <c r="L74" i="2"/>
  <c r="L265" i="2" s="1"/>
  <c r="N73" i="2"/>
  <c r="C36" i="2"/>
  <c r="AD87" i="12"/>
  <c r="AF87" i="12" s="1"/>
  <c r="C74" i="2"/>
  <c r="C78" i="2" s="1"/>
  <c r="AB87" i="12"/>
  <c r="B36" i="2"/>
  <c r="B74" i="2"/>
  <c r="B78" i="2" s="1"/>
  <c r="I46" i="2"/>
  <c r="I58" i="16"/>
  <c r="I24" i="16"/>
  <c r="AD88" i="12"/>
  <c r="AF88" i="12" s="1"/>
  <c r="AD62" i="12"/>
  <c r="AF62" i="12" s="1"/>
  <c r="AB88" i="12"/>
  <c r="AB62" i="12"/>
  <c r="D36" i="16"/>
  <c r="C51" i="16"/>
  <c r="C53" i="16" s="1"/>
  <c r="C63" i="16" s="1"/>
  <c r="C67" i="16" s="1"/>
  <c r="I87" i="11"/>
  <c r="I44" i="11"/>
  <c r="B19" i="16"/>
  <c r="I16" i="16"/>
  <c r="I41" i="11"/>
  <c r="B35" i="16"/>
  <c r="I35" i="16" s="1"/>
  <c r="I62" i="11"/>
  <c r="I22" i="16"/>
  <c r="D51" i="16"/>
  <c r="B61" i="16"/>
  <c r="I61" i="16" s="1"/>
  <c r="I56" i="16"/>
  <c r="B51" i="16"/>
  <c r="I39" i="16"/>
  <c r="B27" i="11"/>
  <c r="I24" i="11"/>
  <c r="I18" i="16"/>
  <c r="I20" i="15"/>
  <c r="B21" i="15"/>
  <c r="I113" i="12"/>
  <c r="X113" i="12" s="1"/>
  <c r="B35" i="15"/>
  <c r="I35" i="15" s="1"/>
  <c r="C27" i="15"/>
  <c r="I30" i="15"/>
  <c r="D7" i="16"/>
  <c r="C33" i="15"/>
  <c r="B9" i="16"/>
  <c r="AB44" i="12"/>
  <c r="X44" i="12"/>
  <c r="AB106" i="12"/>
  <c r="X106" i="12"/>
  <c r="AB61" i="12"/>
  <c r="X61" i="12"/>
  <c r="AB101" i="12"/>
  <c r="X101" i="12"/>
  <c r="AB43" i="12"/>
  <c r="X43" i="12"/>
  <c r="AB53" i="12"/>
  <c r="X53" i="12"/>
  <c r="AB45" i="12"/>
  <c r="X45" i="12"/>
  <c r="AB67" i="12"/>
  <c r="X67" i="12"/>
  <c r="AD57" i="12"/>
  <c r="AF57" i="12" s="1"/>
  <c r="X57" i="12"/>
  <c r="AD71" i="12"/>
  <c r="AF71" i="12" s="1"/>
  <c r="X71" i="12"/>
  <c r="AB42" i="12"/>
  <c r="X42" i="12"/>
  <c r="AD60" i="12"/>
  <c r="AF60" i="12" s="1"/>
  <c r="X60" i="12"/>
  <c r="AB105" i="12"/>
  <c r="X105" i="12"/>
  <c r="AB18" i="12"/>
  <c r="X18" i="12"/>
  <c r="AB65" i="12"/>
  <c r="X65" i="12"/>
  <c r="AD64" i="12"/>
  <c r="AF64" i="12" s="1"/>
  <c r="X64" i="12"/>
  <c r="AB17" i="12"/>
  <c r="X17" i="12"/>
  <c r="AB46" i="12"/>
  <c r="X46" i="12"/>
  <c r="AB73" i="12"/>
  <c r="X73" i="12"/>
  <c r="AB60" i="12"/>
  <c r="AD61" i="12"/>
  <c r="AF61" i="12" s="1"/>
  <c r="AD44" i="12"/>
  <c r="AF44" i="12" s="1"/>
  <c r="AD18" i="12"/>
  <c r="AF18" i="12" s="1"/>
  <c r="AD42" i="12"/>
  <c r="AF42" i="12" s="1"/>
  <c r="AD45" i="12"/>
  <c r="AF45" i="12" s="1"/>
  <c r="L36" i="2"/>
  <c r="L46" i="2"/>
  <c r="AD17" i="12"/>
  <c r="AF17" i="12" s="1"/>
  <c r="AB64" i="12"/>
  <c r="J74" i="2"/>
  <c r="J78" i="2" s="1"/>
  <c r="AD53" i="12"/>
  <c r="AF53" i="12" s="1"/>
  <c r="AD67" i="12"/>
  <c r="AF67" i="12" s="1"/>
  <c r="AB57" i="12"/>
  <c r="J46" i="2"/>
  <c r="D36" i="2"/>
  <c r="H46" i="2"/>
  <c r="H74" i="2"/>
  <c r="H265" i="2" s="1"/>
  <c r="D74" i="2"/>
  <c r="D265" i="2" s="1"/>
  <c r="I74" i="2"/>
  <c r="I78" i="2" s="1"/>
  <c r="AB71" i="12"/>
  <c r="B74" i="12"/>
  <c r="AB70" i="12"/>
  <c r="AD70" i="12"/>
  <c r="AF70" i="12" s="1"/>
  <c r="K46" i="2"/>
  <c r="K74" i="2"/>
  <c r="K78" i="2" s="1"/>
  <c r="E74" i="2"/>
  <c r="E265" i="2" s="1"/>
  <c r="AD43" i="12"/>
  <c r="AF43" i="12" s="1"/>
  <c r="B35" i="12"/>
  <c r="AD82" i="12"/>
  <c r="AF82" i="12" s="1"/>
  <c r="AB82" i="12"/>
  <c r="AB79" i="12"/>
  <c r="AD79" i="12"/>
  <c r="AF79" i="12" s="1"/>
  <c r="D25" i="11"/>
  <c r="AD77" i="12"/>
  <c r="AF77" i="12" s="1"/>
  <c r="AB77" i="12"/>
  <c r="AD40" i="12"/>
  <c r="AF40" i="12" s="1"/>
  <c r="AB40" i="12"/>
  <c r="D74" i="12"/>
  <c r="D31" i="15" s="1"/>
  <c r="D33" i="15" s="1"/>
  <c r="I52" i="12"/>
  <c r="X52" i="12" s="1"/>
  <c r="D33" i="12"/>
  <c r="I32" i="12"/>
  <c r="X32" i="12" s="1"/>
  <c r="I96" i="12"/>
  <c r="I32" i="15" s="1"/>
  <c r="I22" i="12"/>
  <c r="X22" i="12" s="1"/>
  <c r="I49" i="12"/>
  <c r="D66" i="11"/>
  <c r="D89" i="11" s="1"/>
  <c r="D15" i="11"/>
  <c r="I15" i="11" s="1"/>
  <c r="AB16" i="12"/>
  <c r="AD16" i="12"/>
  <c r="AF16" i="12" s="1"/>
  <c r="C35" i="12"/>
  <c r="I23" i="12"/>
  <c r="C89" i="11"/>
  <c r="C98" i="12"/>
  <c r="AD58" i="12"/>
  <c r="AF58" i="12" s="1"/>
  <c r="AB58" i="12"/>
  <c r="C27" i="11"/>
  <c r="W45" i="3"/>
  <c r="W67" i="3"/>
  <c r="H59" i="6"/>
  <c r="U291" i="3"/>
  <c r="U301" i="3" s="1"/>
  <c r="W301" i="3" s="1"/>
  <c r="W68" i="3"/>
  <c r="V300" i="3"/>
  <c r="H75" i="5"/>
  <c r="H78" i="5" s="1"/>
  <c r="W92" i="3"/>
  <c r="W91" i="3"/>
  <c r="W23" i="3"/>
  <c r="W22" i="3"/>
  <c r="B265" i="2"/>
  <c r="E46" i="2"/>
  <c r="G46" i="2"/>
  <c r="G74" i="2"/>
  <c r="G78" i="2" s="1"/>
  <c r="P73" i="2"/>
  <c r="Q73" i="2" s="1"/>
  <c r="N83" i="2"/>
  <c r="N92" i="2" s="1"/>
  <c r="F78" i="2"/>
  <c r="F36" i="2"/>
  <c r="F46" i="2"/>
  <c r="P55" i="2"/>
  <c r="Q55" i="2" s="1"/>
  <c r="N66" i="2"/>
  <c r="P66" i="2" s="1"/>
  <c r="Q66" i="2" s="1"/>
  <c r="M92" i="2"/>
  <c r="P184" i="2"/>
  <c r="Q184" i="2" s="1"/>
  <c r="N263" i="2"/>
  <c r="P263" i="2" s="1"/>
  <c r="Q263" i="2" s="1"/>
  <c r="M46" i="2"/>
  <c r="M36" i="2"/>
  <c r="M74" i="2"/>
  <c r="P91" i="2"/>
  <c r="Q91" i="2" s="1"/>
  <c r="P11" i="2"/>
  <c r="Q11" i="2" s="1"/>
  <c r="N35" i="2"/>
  <c r="N74" i="2" s="1"/>
  <c r="N265" i="2" s="1"/>
  <c r="J265" i="2" l="1"/>
  <c r="K265" i="2"/>
  <c r="D78" i="2"/>
  <c r="C265" i="2"/>
  <c r="H78" i="2"/>
  <c r="D53" i="16"/>
  <c r="I51" i="16"/>
  <c r="I25" i="11"/>
  <c r="B36" i="16"/>
  <c r="I36" i="16" s="1"/>
  <c r="I19" i="16"/>
  <c r="B89" i="11"/>
  <c r="I66" i="11"/>
  <c r="AB113" i="12"/>
  <c r="C37" i="15"/>
  <c r="C41" i="15" s="1"/>
  <c r="I33" i="12"/>
  <c r="J27" i="12" s="1"/>
  <c r="D24" i="15"/>
  <c r="D25" i="15" s="1"/>
  <c r="W30" i="15"/>
  <c r="AC30" i="15"/>
  <c r="AE30" i="15" s="1"/>
  <c r="AA30" i="15"/>
  <c r="J113" i="12"/>
  <c r="B7" i="16"/>
  <c r="B27" i="15"/>
  <c r="I21" i="15"/>
  <c r="W32" i="15"/>
  <c r="AA32" i="15"/>
  <c r="AC32" i="15"/>
  <c r="AE32" i="15" s="1"/>
  <c r="AA20" i="15"/>
  <c r="W20" i="15"/>
  <c r="AC20" i="15"/>
  <c r="AE20" i="15" s="1"/>
  <c r="B98" i="12"/>
  <c r="B115" i="12" s="1"/>
  <c r="B31" i="15"/>
  <c r="AA35" i="15"/>
  <c r="W35" i="15"/>
  <c r="AC35" i="15"/>
  <c r="AE35" i="15" s="1"/>
  <c r="J85" i="12"/>
  <c r="X96" i="12"/>
  <c r="J16" i="12"/>
  <c r="X23" i="12"/>
  <c r="AB49" i="12"/>
  <c r="X49" i="12"/>
  <c r="I74" i="12"/>
  <c r="AD74" i="12" s="1"/>
  <c r="AF74" i="12" s="1"/>
  <c r="I265" i="2"/>
  <c r="E78" i="2"/>
  <c r="J82" i="12"/>
  <c r="J78" i="12"/>
  <c r="J86" i="12"/>
  <c r="J79" i="12"/>
  <c r="D27" i="11"/>
  <c r="D106" i="11" s="1"/>
  <c r="D110" i="11" s="1"/>
  <c r="J87" i="12"/>
  <c r="J93" i="12"/>
  <c r="J91" i="12"/>
  <c r="J89" i="12"/>
  <c r="AB96" i="12"/>
  <c r="J90" i="12"/>
  <c r="J81" i="12"/>
  <c r="J94" i="12"/>
  <c r="J83" i="12"/>
  <c r="J92" i="12"/>
  <c r="J84" i="12"/>
  <c r="J77" i="12"/>
  <c r="J88" i="12"/>
  <c r="J95" i="12"/>
  <c r="AD96" i="12"/>
  <c r="AF96" i="12" s="1"/>
  <c r="J80" i="12"/>
  <c r="D98" i="12"/>
  <c r="AD22" i="12"/>
  <c r="AF22" i="12" s="1"/>
  <c r="AB22" i="12"/>
  <c r="D35" i="12"/>
  <c r="I35" i="12" s="1"/>
  <c r="X35" i="12" s="1"/>
  <c r="J40" i="12"/>
  <c r="J41" i="12"/>
  <c r="J47" i="12"/>
  <c r="AD49" i="12"/>
  <c r="AF49" i="12" s="1"/>
  <c r="J48" i="12"/>
  <c r="J43" i="12"/>
  <c r="J42" i="12"/>
  <c r="J44" i="12"/>
  <c r="J45" i="12"/>
  <c r="J46" i="12"/>
  <c r="AD32" i="12"/>
  <c r="AF32" i="12" s="1"/>
  <c r="AB32" i="12"/>
  <c r="AB33" i="12" s="1"/>
  <c r="AD52" i="12"/>
  <c r="AF52" i="12" s="1"/>
  <c r="AB52" i="12"/>
  <c r="C106" i="11"/>
  <c r="AD23" i="12"/>
  <c r="AF23" i="12" s="1"/>
  <c r="AB23" i="12"/>
  <c r="J20" i="12"/>
  <c r="J19" i="12"/>
  <c r="J21" i="12"/>
  <c r="J18" i="12"/>
  <c r="J17" i="12"/>
  <c r="J22" i="12"/>
  <c r="C115" i="12"/>
  <c r="C119" i="12" s="1"/>
  <c r="W300" i="3"/>
  <c r="G265" i="2"/>
  <c r="P83" i="2"/>
  <c r="Q83" i="2" s="1"/>
  <c r="P92" i="2"/>
  <c r="Q92" i="2" s="1"/>
  <c r="N46" i="2"/>
  <c r="P46" i="2" s="1"/>
  <c r="Q46" i="2" s="1"/>
  <c r="N36" i="2"/>
  <c r="P36" i="2" s="1"/>
  <c r="Q36" i="2" s="1"/>
  <c r="P35" i="2"/>
  <c r="Q35" i="2" s="1"/>
  <c r="M265" i="2"/>
  <c r="N77" i="2" l="1"/>
  <c r="P77" i="2" s="1"/>
  <c r="Q77" i="2" s="1"/>
  <c r="P265" i="2"/>
  <c r="Q265" i="2" s="1"/>
  <c r="I89" i="11"/>
  <c r="B106" i="11"/>
  <c r="I98" i="12"/>
  <c r="J98" i="12" s="1"/>
  <c r="J30" i="12"/>
  <c r="J28" i="12"/>
  <c r="B53" i="16"/>
  <c r="I53" i="16" s="1"/>
  <c r="I27" i="11"/>
  <c r="J26" i="12"/>
  <c r="J31" i="12"/>
  <c r="J29" i="12"/>
  <c r="J32" i="12"/>
  <c r="AD33" i="12"/>
  <c r="AF33" i="12" s="1"/>
  <c r="I31" i="15"/>
  <c r="B33" i="15"/>
  <c r="B37" i="15" s="1"/>
  <c r="B41" i="15" s="1"/>
  <c r="W21" i="15"/>
  <c r="AC21" i="15"/>
  <c r="AE21" i="15" s="1"/>
  <c r="AA21" i="15"/>
  <c r="D9" i="16"/>
  <c r="I25" i="15"/>
  <c r="D27" i="15"/>
  <c r="D37" i="15" s="1"/>
  <c r="D41" i="15" s="1"/>
  <c r="I7" i="16"/>
  <c r="B11" i="16"/>
  <c r="X33" i="12"/>
  <c r="I24" i="15"/>
  <c r="J70" i="12"/>
  <c r="J66" i="12"/>
  <c r="J58" i="12"/>
  <c r="X74" i="12"/>
  <c r="J57" i="12"/>
  <c r="J65" i="12"/>
  <c r="J73" i="12"/>
  <c r="J56" i="12"/>
  <c r="J59" i="12"/>
  <c r="J61" i="12"/>
  <c r="J62" i="12"/>
  <c r="J60" i="12"/>
  <c r="J64" i="12"/>
  <c r="J63" i="12"/>
  <c r="J53" i="12"/>
  <c r="J69" i="12"/>
  <c r="J55" i="12"/>
  <c r="J71" i="12"/>
  <c r="J67" i="12"/>
  <c r="J72" i="12"/>
  <c r="J52" i="12"/>
  <c r="J54" i="12"/>
  <c r="J68" i="12"/>
  <c r="AB74" i="12"/>
  <c r="B119" i="12"/>
  <c r="J96" i="12"/>
  <c r="AB35" i="12"/>
  <c r="AD35" i="12"/>
  <c r="AF35" i="12" s="1"/>
  <c r="D115" i="12"/>
  <c r="D119" i="12" s="1"/>
  <c r="J49" i="12"/>
  <c r="J23" i="12"/>
  <c r="C110" i="11"/>
  <c r="P74" i="2"/>
  <c r="Q74" i="2" s="1"/>
  <c r="AB98" i="12" l="1"/>
  <c r="X98" i="12"/>
  <c r="AD98" i="12"/>
  <c r="J33" i="12"/>
  <c r="B110" i="11"/>
  <c r="I106" i="11"/>
  <c r="I110" i="11" s="1"/>
  <c r="B63" i="16"/>
  <c r="B67" i="16" s="1"/>
  <c r="I9" i="16"/>
  <c r="D11" i="16"/>
  <c r="D63" i="16" s="1"/>
  <c r="D67" i="16" s="1"/>
  <c r="I27" i="15"/>
  <c r="W24" i="15"/>
  <c r="AA24" i="15"/>
  <c r="AA25" i="15" s="1"/>
  <c r="AC24" i="15"/>
  <c r="AE24" i="15" s="1"/>
  <c r="AC25" i="15"/>
  <c r="AE25" i="15" s="1"/>
  <c r="W25" i="15"/>
  <c r="AA31" i="15"/>
  <c r="W31" i="15"/>
  <c r="AC31" i="15"/>
  <c r="AE31" i="15" s="1"/>
  <c r="I33" i="15"/>
  <c r="I115" i="12"/>
  <c r="J74" i="12"/>
  <c r="AC33" i="15" l="1"/>
  <c r="AE33" i="15" s="1"/>
  <c r="AA33" i="15"/>
  <c r="W33" i="15"/>
  <c r="I63" i="16"/>
  <c r="I67" i="16" s="1"/>
  <c r="I37" i="15"/>
  <c r="AA27" i="15"/>
  <c r="AC27" i="15"/>
  <c r="AE27" i="15" s="1"/>
  <c r="W27" i="15"/>
  <c r="I11" i="16"/>
  <c r="I120" i="12"/>
  <c r="X115" i="12"/>
  <c r="AB115" i="12"/>
  <c r="I119" i="12"/>
  <c r="AA37" i="15" l="1"/>
  <c r="AA41" i="15" s="1"/>
  <c r="I41" i="15"/>
  <c r="AC37" i="15"/>
  <c r="AE37" i="15" s="1"/>
  <c r="W37" i="15"/>
  <c r="W41" i="15" s="1"/>
</calcChain>
</file>

<file path=xl/sharedStrings.xml><?xml version="1.0" encoding="utf-8"?>
<sst xmlns="http://schemas.openxmlformats.org/spreadsheetml/2006/main" count="1480" uniqueCount="487">
  <si>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</si>
  <si>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</si>
  <si>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</si>
  <si>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</si>
  <si>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</si>
  <si>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</si>
  <si>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</si>
  <si>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</si>
  <si>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</si>
  <si>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</si>
  <si>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</si>
  <si>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</si>
  <si>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</si>
  <si>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</si>
  <si>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</si>
  <si>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</si>
  <si>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</si>
  <si>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</si>
  <si>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</si>
  <si>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</si>
  <si>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</si>
  <si>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</si>
  <si>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</si>
  <si>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</si>
  <si>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</si>
  <si>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</si>
  <si>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</si>
  <si>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</si>
  <si>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</si>
  <si>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</si>
  <si>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</si>
  <si>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</si>
  <si>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</si>
  <si>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</si>
  <si>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</si>
  <si>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</si>
  <si>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</si>
  <si>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</si>
  <si>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</si>
  <si>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</si>
  <si>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</si>
  <si>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</si>
  <si>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</si>
  <si>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</si>
  <si>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</si>
  <si>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</si>
  <si>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</si>
  <si>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</si>
  <si>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</si>
  <si>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</si>
  <si>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</si>
  <si>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</si>
  <si>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</si>
  <si>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</si>
  <si>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</si>
  <si>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</si>
  <si>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</si>
  <si>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</si>
  <si>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</si>
  <si>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</si>
  <si>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</si>
  <si>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</si>
  <si>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</si>
  <si>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</si>
  <si>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</si>
  <si>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</si>
  <si>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</si>
  <si>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</si>
  <si>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</si>
  <si>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</si>
  <si>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</si>
  <si>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</si>
  <si>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</si>
  <si>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</si>
  <si>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</si>
  <si>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</si>
  <si>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</si>
  <si>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</si>
  <si>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</si>
  <si>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</si>
  <si>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</si>
  <si>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</si>
  <si>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</si>
  <si>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</si>
  <si>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</si>
  <si>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</si>
  <si>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</si>
  <si>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</si>
  <si>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</si>
  <si>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</si>
  <si>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</si>
  <si>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</si>
  <si>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</si>
  <si>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</si>
  <si>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</si>
  <si>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</si>
  <si>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</si>
  <si>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</si>
  <si>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</si>
  <si>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</si>
  <si>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</si>
  <si>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</si>
  <si>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</si>
  <si>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</si>
  <si>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</si>
  <si>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</si>
  <si>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</si>
  <si>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</si>
  <si>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</si>
  <si>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</si>
  <si>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</si>
  <si>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</si>
  <si>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</si>
  <si>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</si>
  <si>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</si>
  <si>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</si>
  <si>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</si>
  <si>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</si>
  <si>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</si>
  <si>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</si>
  <si>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</si>
  <si>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</si>
  <si>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</si>
  <si>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</si>
  <si>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</si>
  <si>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</si>
  <si>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</si>
  <si>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</si>
  <si>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</si>
  <si>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</si>
  <si>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</si>
  <si>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</si>
  <si>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</si>
  <si>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</si>
  <si>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</si>
  <si>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</si>
  <si>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</si>
  <si>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</si>
  <si>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</si>
  <si>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</si>
  <si>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</si>
  <si>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</si>
  <si>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</si>
  <si>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</si>
  <si>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</si>
  <si>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</si>
  <si>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</si>
  <si>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</si>
  <si>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</si>
  <si>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</si>
  <si>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</si>
  <si>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</si>
  <si>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</si>
  <si>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</si>
  <si>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</si>
  <si>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</si>
  <si>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</si>
  <si>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</si>
  <si>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</si>
  <si>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</si>
  <si>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</si>
  <si>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</si>
  <si>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</si>
  <si>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 SPACE - ROOF SOLAR PANELS</t>
  </si>
  <si>
    <t>RENT</t>
  </si>
  <si>
    <t>UTILITIES - ELECTRIC</t>
  </si>
  <si>
    <t>UTIILTIES - GAS</t>
  </si>
  <si>
    <t>UTILITIES - WATER &amp; SEWER</t>
  </si>
  <si>
    <t>SNOW PLOWING &amp; ICE REMOVAL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</si>
  <si>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</si>
  <si>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</si>
  <si>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</si>
  <si>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</si>
  <si>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</si>
  <si>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</si>
  <si>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</si>
  <si>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</si>
  <si>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</si>
  <si>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</si>
  <si>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</si>
  <si>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</si>
  <si>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</si>
  <si>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</si>
  <si>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</si>
  <si>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</si>
  <si>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</si>
  <si>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</si>
  <si>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</si>
  <si>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</si>
  <si>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</si>
  <si>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</si>
  <si>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</si>
  <si>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</si>
  <si>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</si>
  <si>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</si>
  <si>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</si>
  <si>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</si>
  <si>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</si>
  <si>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</si>
  <si>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</si>
  <si>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</si>
  <si>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</si>
  <si>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</si>
  <si>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</si>
  <si>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</si>
  <si>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</si>
  <si>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</si>
  <si>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</si>
  <si>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</si>
  <si>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CNT, Inc.</t>
  </si>
  <si>
    <t>Gross Profit by Metal</t>
  </si>
  <si>
    <t>AU</t>
  </si>
  <si>
    <t>AG</t>
  </si>
  <si>
    <t>PT</t>
  </si>
  <si>
    <t>PD</t>
  </si>
  <si>
    <t>RH</t>
  </si>
  <si>
    <t>Total</t>
  </si>
  <si>
    <t>COGS</t>
  </si>
  <si>
    <t>Pool</t>
  </si>
  <si>
    <t>COMEX</t>
  </si>
  <si>
    <t>Market Price Variance</t>
  </si>
  <si>
    <t>Variance</t>
  </si>
  <si>
    <t>Refining &amp; Fabrication</t>
  </si>
  <si>
    <t>Hedge</t>
  </si>
  <si>
    <t>Hedge Tracing</t>
  </si>
  <si>
    <t>Melt Profits</t>
  </si>
  <si>
    <t>Offline Trading Profits</t>
  </si>
  <si>
    <t>Futures Contracts EFP</t>
  </si>
  <si>
    <t>PY Audit Adjustments</t>
  </si>
  <si>
    <t>Double Check</t>
  </si>
  <si>
    <t>Metal Price EOM</t>
  </si>
  <si>
    <t>Financial Statement Analysis</t>
  </si>
  <si>
    <t>Minting</t>
  </si>
  <si>
    <t>ICE Market Adjustment</t>
  </si>
  <si>
    <t>Premium Proof USE to Coin Gold</t>
  </si>
  <si>
    <t>Owners Consignments</t>
  </si>
  <si>
    <t>House Postion Adjustments</t>
  </si>
  <si>
    <t>Projected Gross profits  Dec</t>
  </si>
  <si>
    <t>YTD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</si>
  <si>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</si>
  <si>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</si>
  <si>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</si>
  <si>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</si>
  <si>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</si>
  <si>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</si>
  <si>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</si>
  <si>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</si>
  <si>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</si>
  <si>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</si>
  <si>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</si>
  <si>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</si>
  <si>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</si>
  <si>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</si>
  <si>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</si>
  <si>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</si>
  <si>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</si>
  <si>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</si>
  <si>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</si>
  <si>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</si>
  <si>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</si>
  <si>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</si>
  <si>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</si>
  <si>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</si>
  <si>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</si>
  <si>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</si>
  <si>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</si>
  <si>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</si>
  <si>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</si>
  <si>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Snow Plowing &amp; Sanding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</si>
  <si>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</si>
  <si>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</si>
  <si>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</si>
  <si>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</si>
  <si>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</si>
  <si>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</si>
  <si>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</si>
  <si>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</si>
  <si>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</si>
  <si>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</si>
  <si>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</si>
  <si>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</si>
  <si>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</si>
  <si>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</si>
  <si>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</si>
  <si>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</si>
  <si>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</si>
  <si>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</si>
  <si>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</si>
  <si>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</si>
  <si>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</si>
  <si>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</si>
  <si>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</si>
  <si>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</si>
  <si>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</si>
  <si>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</si>
  <si>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</si>
  <si>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</si>
  <si>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</si>
  <si>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</si>
  <si>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</si>
  <si>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</si>
  <si>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</si>
  <si>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</si>
  <si>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</si>
  <si>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</si>
  <si>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</si>
  <si>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</si>
  <si>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</si>
  <si>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</si>
  <si>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</si>
  <si>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</si>
  <si>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</si>
  <si>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</si>
  <si>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</si>
  <si>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</si>
  <si>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</si>
  <si>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</si>
  <si>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</si>
  <si>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</si>
  <si>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</si>
  <si>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</si>
  <si>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</si>
  <si>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</si>
  <si>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</si>
  <si>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</si>
  <si>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</si>
  <si>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</si>
  <si>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</si>
  <si>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</si>
  <si>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</si>
  <si>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</si>
  <si>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</si>
  <si>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</si>
  <si>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</si>
  <si>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</si>
  <si>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</si>
  <si>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</si>
  <si>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</si>
  <si>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</si>
  <si>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</si>
  <si>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</si>
  <si>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</si>
  <si>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</si>
  <si>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</si>
  <si>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</si>
  <si>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</si>
  <si>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</si>
  <si>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</si>
  <si>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</si>
  <si>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</si>
  <si>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</si>
  <si>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</si>
  <si>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</si>
  <si>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</si>
  <si>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</si>
  <si>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</si>
  <si>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</si>
  <si>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</si>
  <si>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</si>
  <si>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</si>
  <si>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</si>
  <si>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</si>
  <si>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</si>
  <si>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</si>
  <si>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</si>
  <si>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</si>
  <si>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</si>
  <si>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</si>
  <si>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</si>
  <si>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</si>
  <si>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</si>
  <si>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</si>
  <si>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</si>
  <si>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</si>
  <si>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</si>
  <si>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</si>
  <si>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</si>
  <si>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</si>
  <si>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</si>
  <si>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</si>
  <si>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</si>
  <si>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</si>
  <si>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</si>
  <si>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</si>
  <si>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</si>
  <si>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</si>
  <si>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</si>
  <si>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</si>
  <si>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</si>
  <si>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</si>
  <si>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</si>
  <si>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</si>
  <si>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</si>
  <si>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</si>
  <si>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</si>
  <si>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</si>
  <si>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</si>
  <si>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</si>
  <si>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</si>
  <si>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</si>
  <si>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</si>
  <si>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</si>
  <si>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</si>
  <si>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</si>
  <si>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</si>
  <si>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</si>
  <si>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</si>
  <si>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</si>
  <si>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</si>
  <si>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</si>
  <si>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</si>
  <si>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</si>
  <si>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</si>
  <si>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</si>
  <si>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</si>
  <si>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</si>
  <si>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</si>
  <si>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</si>
  <si>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</si>
  <si>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</si>
  <si>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</si>
  <si>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</si>
  <si>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</si>
  <si>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</si>
  <si>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</si>
  <si>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</si>
  <si>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</si>
  <si>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</si>
  <si>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</si>
  <si>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</si>
  <si>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</si>
  <si>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</si>
  <si>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</si>
  <si>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</si>
  <si>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</si>
  <si>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</si>
  <si>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</si>
  <si>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</si>
  <si>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</si>
  <si>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</si>
  <si>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</si>
  <si>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</si>
  <si>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</si>
  <si>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</si>
  <si>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</si>
  <si>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</si>
  <si>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</si>
  <si>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</si>
  <si>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</si>
  <si>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</si>
  <si>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</si>
  <si>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</si>
  <si>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</si>
  <si>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</si>
  <si>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06/30/2018 to 06/30/2017</t>
  </si>
  <si>
    <t>06/30/2018 to 6/30/2017</t>
  </si>
  <si>
    <t>June</t>
  </si>
  <si>
    <t>Accounting</t>
  </si>
  <si>
    <t>fees</t>
  </si>
  <si>
    <t>Appraisal fee</t>
  </si>
  <si>
    <t>from Bank RI</t>
  </si>
  <si>
    <t>includes</t>
  </si>
  <si>
    <t xml:space="preserve">      Palladium</t>
  </si>
  <si>
    <t xml:space="preserve">      Professional Fees - Audit &amp; Tax</t>
  </si>
  <si>
    <t>PM Off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</si>
  <si>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</si>
  <si>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</si>
  <si>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</si>
  <si>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</si>
  <si>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</si>
  <si>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</si>
  <si>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</si>
  <si>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</si>
  <si>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</si>
  <si>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</si>
  <si>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</si>
  <si>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</si>
  <si>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</si>
  <si>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</si>
  <si>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</si>
  <si>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</si>
  <si>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</si>
  <si>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 xml:space="preserve">      Employee Benefits </t>
  </si>
  <si>
    <t xml:space="preserve">      Professional Fees</t>
  </si>
  <si>
    <t xml:space="preserve">      Meals &amp; Entertainment</t>
  </si>
  <si>
    <t>Other Income (Expense)</t>
  </si>
  <si>
    <t>Total Other Income (Expense)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</si>
</sst>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4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44" fontId="1" fillId="0" borderId="0" xfId="2" applyFont="1" applyFill="1"/>
    <xf numFmtId="0" fontId="1" fillId="0" borderId="0" xfId="0" applyFont="1" applyFill="1"/>
    <xf numFmtId="17" fontId="3" fillId="0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2" fillId="0" borderId="0" xfId="2" applyNumberFormat="1" applyFont="1" applyFill="1"/>
    <xf numFmtId="44" fontId="4" fillId="0" borderId="0" xfId="2" applyNumberFormat="1" applyFont="1" applyFill="1"/>
    <xf numFmtId="44" fontId="2" fillId="0" borderId="0" xfId="2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1" fillId="0" borderId="0" xfId="0" applyFont="1" applyFill="1" applyBorder="1"/>
    <xf numFmtId="8" fontId="1" fillId="0" borderId="0" xfId="2" applyNumberFormat="1" applyFont="1" applyFill="1" applyBorder="1"/>
    <xf numFmtId="8" fontId="0" fillId="0" borderId="0" xfId="2" applyNumberFormat="1" applyFont="1" applyFill="1" applyBorder="1"/>
    <xf numFmtId="44" fontId="1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5" fillId="0" borderId="0" xfId="2" applyFont="1" applyFill="1"/>
    <xf numFmtId="44" fontId="1" fillId="0" borderId="5" xfId="2" applyFont="1" applyFill="1" applyBorder="1"/>
    <xf numFmtId="44" fontId="4" fillId="0" borderId="6" xfId="2" applyNumberFormat="1" applyFont="1" applyFill="1" applyBorder="1"/>
    <xf numFmtId="44" fontId="4" fillId="0" borderId="2" xfId="2" applyNumberFormat="1" applyFont="1" applyFill="1" applyBorder="1"/>
    <xf numFmtId="44" fontId="4" fillId="0" borderId="5" xfId="2" applyNumberFormat="1" applyFont="1" applyFill="1" applyBorder="1"/>
    <xf numFmtId="44" fontId="1" fillId="0" borderId="8" xfId="2" applyFont="1" applyFill="1" applyBorder="1"/>
    <xf numFmtId="0" fontId="1" fillId="0" borderId="9" xfId="0" applyFont="1" applyFill="1" applyBorder="1"/>
    <xf numFmtId="44" fontId="1" fillId="0" borderId="11" xfId="0" applyNumberFormat="1" applyFont="1" applyFill="1" applyBorder="1"/>
    <xf numFmtId="44" fontId="1" fillId="0" borderId="12" xfId="2" applyFont="1" applyFill="1" applyBorder="1"/>
    <xf numFmtId="0" fontId="1" fillId="0" borderId="11" xfId="0" applyFont="1" applyFill="1" applyBorder="1"/>
    <xf numFmtId="44" fontId="1" fillId="0" borderId="3" xfId="2" applyFont="1" applyFill="1" applyBorder="1"/>
    <xf numFmtId="44" fontId="1" fillId="0" borderId="13" xfId="2" applyFont="1" applyFill="1" applyBorder="1"/>
    <xf numFmtId="0" fontId="1" fillId="0" borderId="14" xfId="0" applyFont="1" applyFill="1" applyBorder="1"/>
    <xf numFmtId="44" fontId="1" fillId="0" borderId="15" xfId="2" applyFont="1" applyFill="1" applyBorder="1"/>
    <xf numFmtId="0" fontId="1" fillId="0" borderId="16" xfId="0" applyFont="1" applyFill="1" applyBorder="1"/>
    <xf numFmtId="0" fontId="1" fillId="0" borderId="15" xfId="0" applyFont="1" applyFill="1" applyBorder="1"/>
    <xf numFmtId="0" fontId="3" fillId="0" borderId="0" xfId="0" applyFont="1" applyFill="1"/>
    <xf numFmtId="44" fontId="3" fillId="0" borderId="3" xfId="2" applyFont="1" applyFill="1" applyBorder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3" fillId="0" borderId="5" xfId="2" applyFont="1" applyFill="1" applyBorder="1"/>
    <xf numFmtId="44" fontId="3" fillId="0" borderId="3" xfId="0" applyNumberFormat="1" applyFont="1" applyFill="1" applyBorder="1"/>
    <xf numFmtId="44" fontId="1" fillId="0" borderId="0" xfId="0" applyNumberFormat="1" applyFont="1" applyFill="1"/>
    <xf numFmtId="44" fontId="1" fillId="0" borderId="0" xfId="2" applyFont="1"/>
    <xf numFmtId="0" fontId="1" fillId="0" borderId="0" xfId="0" applyFont="1"/>
    <xf numFmtId="43" fontId="1" fillId="0" borderId="0" xfId="1" applyFont="1"/>
    <xf numFmtId="17" fontId="3" fillId="0" borderId="10" xfId="0" applyNumberFormat="1" applyFont="1" applyBorder="1" applyAlignment="1">
      <alignment horizontal="centerContinuous"/>
    </xf>
    <xf numFmtId="43" fontId="3" fillId="0" borderId="0" xfId="1" applyFont="1" applyBorder="1" applyAlignment="1">
      <alignment horizontal="centerContinuous"/>
    </xf>
    <xf numFmtId="43" fontId="3" fillId="0" borderId="11" xfId="1" applyFont="1" applyBorder="1" applyAlignment="1">
      <alignment horizontal="centerContinuous"/>
    </xf>
    <xf numFmtId="0" fontId="3" fillId="0" borderId="10" xfId="0" applyFont="1" applyBorder="1"/>
    <xf numFmtId="43" fontId="3" fillId="0" borderId="0" xfId="1" applyFont="1" applyBorder="1"/>
    <xf numFmtId="43" fontId="3" fillId="0" borderId="11" xfId="1" applyFont="1" applyBorder="1"/>
    <xf numFmtId="44" fontId="3" fillId="0" borderId="0" xfId="2" applyFont="1"/>
    <xf numFmtId="0" fontId="3" fillId="0" borderId="0" xfId="0" applyFont="1"/>
    <xf numFmtId="44" fontId="1" fillId="0" borderId="11" xfId="2" applyFont="1" applyBorder="1"/>
    <xf numFmtId="44" fontId="1" fillId="0" borderId="0" xfId="2" applyNumberFormat="1" applyFont="1"/>
    <xf numFmtId="0" fontId="0" fillId="0" borderId="0" xfId="0" applyFont="1"/>
    <xf numFmtId="8" fontId="1" fillId="4" borderId="0" xfId="2" applyNumberFormat="1" applyFont="1" applyFill="1" applyBorder="1"/>
    <xf numFmtId="8" fontId="1" fillId="0" borderId="1" xfId="2" applyNumberFormat="1" applyFont="1" applyBorder="1"/>
    <xf numFmtId="44" fontId="1" fillId="0" borderId="3" xfId="2" applyNumberFormat="1" applyFont="1" applyBorder="1"/>
    <xf numFmtId="8" fontId="1" fillId="0" borderId="3" xfId="2" applyNumberFormat="1" applyFont="1" applyBorder="1"/>
    <xf numFmtId="44" fontId="1" fillId="0" borderId="13" xfId="2" applyFont="1" applyBorder="1"/>
    <xf numFmtId="8" fontId="1" fillId="0" borderId="0" xfId="2" applyNumberFormat="1" applyFont="1" applyBorder="1"/>
    <xf numFmtId="8" fontId="1" fillId="0" borderId="11" xfId="2" applyNumberFormat="1" applyFont="1" applyBorder="1"/>
    <xf numFmtId="44" fontId="1" fillId="0" borderId="10" xfId="2" applyNumberFormat="1" applyFont="1" applyBorder="1"/>
    <xf numFmtId="44" fontId="1" fillId="0" borderId="0" xfId="0" applyNumberFormat="1" applyFont="1"/>
    <xf numFmtId="44" fontId="1" fillId="0" borderId="0" xfId="2" applyFont="1" applyAlignment="1">
      <alignment horizontal="left"/>
    </xf>
    <xf numFmtId="0" fontId="1" fillId="0" borderId="14" xfId="0" applyFont="1" applyBorder="1"/>
    <xf numFmtId="44" fontId="1" fillId="0" borderId="11" xfId="2" applyFont="1" applyFill="1" applyBorder="1"/>
    <xf numFmtId="44" fontId="1" fillId="4" borderId="0" xfId="2" applyFont="1" applyFill="1" applyBorder="1"/>
    <xf numFmtId="44" fontId="1" fillId="0" borderId="1" xfId="2" applyFont="1" applyBorder="1"/>
    <xf numFmtId="44" fontId="1" fillId="0" borderId="3" xfId="2" applyFont="1" applyBorder="1"/>
    <xf numFmtId="44" fontId="1" fillId="0" borderId="0" xfId="2" applyFont="1" applyBorder="1"/>
    <xf numFmtId="43" fontId="1" fillId="0" borderId="0" xfId="1" applyFont="1" applyBorder="1"/>
    <xf numFmtId="44" fontId="1" fillId="0" borderId="15" xfId="2" applyFont="1" applyBorder="1"/>
    <xf numFmtId="44" fontId="1" fillId="0" borderId="16" xfId="2" applyFont="1" applyBorder="1"/>
    <xf numFmtId="43" fontId="1" fillId="0" borderId="0" xfId="2" applyNumberFormat="1" applyFont="1" applyFill="1"/>
    <xf numFmtId="44" fontId="3" fillId="0" borderId="11" xfId="2" applyNumberFormat="1" applyFont="1" applyBorder="1"/>
    <xf numFmtId="43" fontId="0" fillId="0" borderId="0" xfId="1" applyFont="1"/>
    <xf numFmtId="17" fontId="3" fillId="0" borderId="10" xfId="0" applyNumberFormat="1" applyFont="1" applyFill="1" applyBorder="1" applyAlignment="1">
      <alignment horizontal="centerContinuous"/>
    </xf>
    <xf numFmtId="43" fontId="3" fillId="0" borderId="0" xfId="1" applyFont="1" applyFill="1" applyBorder="1" applyAlignment="1">
      <alignment horizontal="centerContinuous"/>
    </xf>
    <xf numFmtId="43" fontId="3" fillId="0" borderId="11" xfId="1" applyFont="1" applyFill="1" applyBorder="1" applyAlignment="1">
      <alignment horizontal="centerContinuous"/>
    </xf>
    <xf numFmtId="0" fontId="3" fillId="0" borderId="10" xfId="0" applyFont="1" applyFill="1" applyBorder="1"/>
    <xf numFmtId="43" fontId="3" fillId="0" borderId="0" xfId="1" applyFont="1" applyFill="1" applyBorder="1"/>
    <xf numFmtId="43" fontId="3" fillId="0" borderId="11" xfId="1" applyFont="1" applyFill="1" applyBorder="1"/>
    <xf numFmtId="8" fontId="1" fillId="0" borderId="11" xfId="2" applyNumberFormat="1" applyFont="1" applyFill="1" applyBorder="1"/>
    <xf numFmtId="44" fontId="1" fillId="0" borderId="1" xfId="2" applyFont="1" applyFill="1" applyBorder="1"/>
    <xf numFmtId="44" fontId="0" fillId="0" borderId="0" xfId="2" applyFont="1" applyFill="1" applyBorder="1"/>
    <xf numFmtId="43" fontId="1" fillId="0" borderId="0" xfId="1" applyFont="1" applyFill="1" applyBorder="1"/>
    <xf numFmtId="44" fontId="3" fillId="0" borderId="11" xfId="2" applyNumberFormat="1" applyFont="1" applyFill="1" applyBorder="1"/>
    <xf numFmtId="44" fontId="0" fillId="0" borderId="0" xfId="2" applyFont="1"/>
    <xf numFmtId="8" fontId="1" fillId="0" borderId="0" xfId="0" applyNumberFormat="1" applyFont="1"/>
    <xf numFmtId="44" fontId="1" fillId="5" borderId="1" xfId="2" applyFont="1" applyFill="1" applyBorder="1"/>
    <xf numFmtId="0" fontId="1" fillId="0" borderId="10" xfId="0" applyFont="1" applyBorder="1"/>
    <xf numFmtId="0" fontId="3" fillId="0" borderId="17" xfId="0" applyFont="1" applyBorder="1" applyAlignment="1">
      <alignment horizontal="centerContinuous"/>
    </xf>
    <xf numFmtId="43" fontId="3" fillId="0" borderId="5" xfId="1" applyFont="1" applyBorder="1" applyAlignment="1">
      <alignment horizontal="centerContinuous"/>
    </xf>
    <xf numFmtId="43" fontId="3" fillId="0" borderId="18" xfId="1" applyFont="1" applyBorder="1" applyAlignment="1">
      <alignment horizontal="centerContinuous"/>
    </xf>
    <xf numFmtId="43" fontId="1" fillId="4" borderId="0" xfId="1" applyFont="1" applyFill="1" applyBorder="1"/>
    <xf numFmtId="43" fontId="1" fillId="0" borderId="0" xfId="1" applyFont="1" applyFill="1"/>
    <xf numFmtId="43" fontId="1" fillId="0" borderId="0" xfId="0" applyNumberFormat="1" applyFont="1"/>
    <xf numFmtId="0" fontId="1" fillId="0" borderId="0" xfId="0" applyFont="1" applyBorder="1"/>
    <xf numFmtId="43" fontId="1" fillId="0" borderId="15" xfId="1" applyFont="1" applyBorder="1"/>
    <xf numFmtId="43" fontId="3" fillId="0" borderId="8" xfId="1" applyFont="1" applyBorder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7" fontId="3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2" xfId="1" applyFont="1" applyBorder="1"/>
    <xf numFmtId="43" fontId="0" fillId="0" borderId="19" xfId="1" applyFont="1" applyBorder="1"/>
    <xf numFmtId="43" fontId="0" fillId="0" borderId="3" xfId="1" applyFont="1" applyBorder="1"/>
    <xf numFmtId="43" fontId="3" fillId="0" borderId="0" xfId="1" applyFont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43" fontId="0" fillId="0" borderId="0" xfId="1" applyFont="1" applyFill="1"/>
    <xf numFmtId="44" fontId="0" fillId="0" borderId="0" xfId="2" applyFont="1" applyFill="1"/>
    <xf numFmtId="43" fontId="0" fillId="0" borderId="0" xfId="0" applyNumberFormat="1" applyFill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/>
    <xf numFmtId="43" fontId="10" fillId="0" borderId="0" xfId="1" applyFont="1" applyAlignment="1">
      <alignment horizontal="center"/>
    </xf>
    <xf numFmtId="0" fontId="10" fillId="0" borderId="0" xfId="0" applyFont="1" applyFill="1" applyAlignment="1">
      <alignment vertical="center"/>
    </xf>
    <xf numFmtId="43" fontId="11" fillId="0" borderId="0" xfId="1" applyFont="1"/>
    <xf numFmtId="0" fontId="11" fillId="0" borderId="0" xfId="0" applyFont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Fill="1"/>
    <xf numFmtId="43" fontId="11" fillId="0" borderId="0" xfId="0" applyNumberFormat="1" applyFont="1" applyFill="1"/>
    <xf numFmtId="10" fontId="11" fillId="0" borderId="0" xfId="3" applyNumberFormat="1" applyFont="1" applyFill="1" applyAlignment="1">
      <alignment horizontal="center"/>
    </xf>
    <xf numFmtId="10" fontId="11" fillId="0" borderId="0" xfId="3" applyNumberFormat="1" applyFont="1" applyAlignment="1">
      <alignment horizontal="center"/>
    </xf>
    <xf numFmtId="43" fontId="11" fillId="0" borderId="0" xfId="0" applyNumberFormat="1" applyFont="1"/>
    <xf numFmtId="43" fontId="11" fillId="0" borderId="2" xfId="0" applyNumberFormat="1" applyFont="1" applyFill="1" applyBorder="1"/>
    <xf numFmtId="10" fontId="11" fillId="0" borderId="0" xfId="3" applyNumberFormat="1" applyFont="1" applyFill="1" applyBorder="1" applyAlignment="1">
      <alignment horizontal="center"/>
    </xf>
    <xf numFmtId="10" fontId="11" fillId="0" borderId="2" xfId="3" applyNumberFormat="1" applyFont="1" applyBorder="1" applyAlignment="1">
      <alignment horizontal="center"/>
    </xf>
    <xf numFmtId="10" fontId="11" fillId="0" borderId="0" xfId="3" applyNumberFormat="1" applyFont="1" applyBorder="1" applyAlignment="1">
      <alignment horizontal="center"/>
    </xf>
    <xf numFmtId="43" fontId="11" fillId="0" borderId="2" xfId="0" applyNumberFormat="1" applyFont="1" applyBorder="1"/>
    <xf numFmtId="9" fontId="11" fillId="0" borderId="0" xfId="3" applyFont="1" applyAlignment="1">
      <alignment horizontal="center"/>
    </xf>
    <xf numFmtId="43" fontId="11" fillId="0" borderId="19" xfId="0" applyNumberFormat="1" applyFont="1" applyFill="1" applyBorder="1"/>
    <xf numFmtId="43" fontId="11" fillId="0" borderId="19" xfId="0" applyNumberFormat="1" applyFont="1" applyBorder="1"/>
    <xf numFmtId="10" fontId="11" fillId="0" borderId="19" xfId="3" applyNumberFormat="1" applyFont="1" applyBorder="1" applyAlignment="1">
      <alignment horizontal="center"/>
    </xf>
    <xf numFmtId="9" fontId="11" fillId="0" borderId="19" xfId="3" applyFont="1" applyBorder="1" applyAlignment="1">
      <alignment horizontal="center"/>
    </xf>
    <xf numFmtId="43" fontId="10" fillId="0" borderId="3" xfId="0" applyNumberFormat="1" applyFont="1" applyFill="1" applyBorder="1"/>
    <xf numFmtId="43" fontId="10" fillId="0" borderId="3" xfId="0" applyNumberFormat="1" applyFont="1" applyBorder="1"/>
    <xf numFmtId="0" fontId="12" fillId="0" borderId="0" xfId="0" applyFont="1"/>
    <xf numFmtId="0" fontId="9" fillId="0" borderId="6" xfId="0" applyFont="1" applyFill="1" applyBorder="1" applyAlignment="1">
      <alignment horizontal="center"/>
    </xf>
    <xf numFmtId="43" fontId="12" fillId="0" borderId="0" xfId="1" applyFont="1"/>
    <xf numFmtId="0" fontId="9" fillId="0" borderId="0" xfId="0" applyFont="1"/>
    <xf numFmtId="43" fontId="12" fillId="0" borderId="0" xfId="0" applyNumberFormat="1" applyFont="1" applyFill="1"/>
    <xf numFmtId="43" fontId="12" fillId="0" borderId="2" xfId="0" applyNumberFormat="1" applyFont="1" applyFill="1" applyBorder="1"/>
    <xf numFmtId="43" fontId="12" fillId="0" borderId="19" xfId="0" applyNumberFormat="1" applyFont="1" applyFill="1" applyBorder="1"/>
    <xf numFmtId="43" fontId="9" fillId="0" borderId="3" xfId="0" applyNumberFormat="1" applyFont="1" applyFill="1" applyBorder="1"/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11" fillId="0" borderId="0" xfId="0" applyNumberFormat="1" applyFont="1" applyFill="1" applyBorder="1"/>
    <xf numFmtId="43" fontId="10" fillId="0" borderId="0" xfId="0" applyNumberFormat="1" applyFont="1" applyFill="1" applyBorder="1"/>
    <xf numFmtId="0" fontId="11" fillId="0" borderId="0" xfId="0" applyFont="1" applyBorder="1"/>
    <xf numFmtId="43" fontId="11" fillId="0" borderId="0" xfId="0" applyNumberFormat="1" applyFont="1" applyBorder="1"/>
    <xf numFmtId="43" fontId="11" fillId="0" borderId="0" xfId="1" applyFont="1" applyBorder="1"/>
    <xf numFmtId="43" fontId="10" fillId="0" borderId="0" xfId="0" applyNumberFormat="1" applyFont="1" applyBorder="1"/>
    <xf numFmtId="43" fontId="0" fillId="0" borderId="0" xfId="1" applyFont="1" applyBorder="1"/>
    <xf numFmtId="43" fontId="12" fillId="0" borderId="6" xfId="0" applyNumberFormat="1" applyFont="1" applyFill="1" applyBorder="1"/>
    <xf numFmtId="43" fontId="12" fillId="0" borderId="0" xfId="0" applyNumberFormat="1" applyFont="1" applyFill="1" applyBorder="1"/>
    <xf numFmtId="43" fontId="0" fillId="0" borderId="6" xfId="1" applyFont="1" applyBorder="1"/>
    <xf numFmtId="43" fontId="11" fillId="6" borderId="0" xfId="0" applyNumberFormat="1" applyFont="1" applyFill="1"/>
    <xf numFmtId="43" fontId="0" fillId="6" borderId="0" xfId="1" applyFont="1" applyFill="1"/>
    <xf numFmtId="164" fontId="0" fillId="0" borderId="0" xfId="1" applyNumberFormat="1" applyFont="1"/>
    <xf numFmtId="43" fontId="0" fillId="0" borderId="0" xfId="0" applyNumberFormat="1"/>
    <xf numFmtId="0" fontId="14" fillId="0" borderId="0" xfId="0" applyFont="1" applyFill="1" applyAlignment="1"/>
    <xf numFmtId="0" fontId="4" fillId="0" borderId="0" xfId="0" applyFont="1" applyFill="1"/>
    <xf numFmtId="0" fontId="15" fillId="0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16" fillId="0" borderId="0" xfId="0" applyFont="1" applyFill="1" applyAlignment="1">
      <alignment wrapText="1"/>
    </xf>
    <xf numFmtId="0" fontId="4" fillId="0" borderId="7" xfId="0" applyFont="1" applyFill="1" applyBorder="1"/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4" fillId="0" borderId="0" xfId="0" applyFont="1" applyAlignment="1">
      <alignment vertical="top"/>
    </xf>
    <xf numFmtId="0" fontId="16" fillId="0" borderId="0" xfId="0" applyFont="1" applyFill="1"/>
    <xf numFmtId="0" fontId="4" fillId="3" borderId="0" xfId="0" applyFont="1" applyFill="1"/>
    <xf numFmtId="0" fontId="19" fillId="0" borderId="0" xfId="0" applyFont="1"/>
    <xf numFmtId="0" fontId="19" fillId="0" borderId="0" xfId="0" applyFont="1" applyFill="1"/>
    <xf numFmtId="43" fontId="19" fillId="0" borderId="0" xfId="1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43" fontId="18" fillId="0" borderId="0" xfId="1" applyFont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6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/>
    <xf numFmtId="0" fontId="18" fillId="0" borderId="0" xfId="0" applyFont="1" applyFill="1"/>
    <xf numFmtId="43" fontId="19" fillId="0" borderId="0" xfId="0" applyNumberFormat="1" applyFont="1" applyFill="1"/>
    <xf numFmtId="10" fontId="19" fillId="0" borderId="0" xfId="3" applyNumberFormat="1" applyFont="1" applyFill="1" applyAlignment="1">
      <alignment horizontal="center"/>
    </xf>
    <xf numFmtId="10" fontId="19" fillId="0" borderId="0" xfId="3" applyNumberFormat="1" applyFont="1" applyAlignment="1">
      <alignment horizontal="center"/>
    </xf>
    <xf numFmtId="43" fontId="19" fillId="0" borderId="0" xfId="0" applyNumberFormat="1" applyFont="1"/>
    <xf numFmtId="43" fontId="19" fillId="0" borderId="0" xfId="1" applyFont="1" applyAlignment="1">
      <alignment horizontal="center"/>
    </xf>
    <xf numFmtId="43" fontId="19" fillId="0" borderId="2" xfId="0" applyNumberFormat="1" applyFont="1" applyFill="1" applyBorder="1"/>
    <xf numFmtId="10" fontId="19" fillId="0" borderId="2" xfId="3" applyNumberFormat="1" applyFont="1" applyFill="1" applyBorder="1" applyAlignment="1">
      <alignment horizontal="center"/>
    </xf>
    <xf numFmtId="10" fontId="19" fillId="0" borderId="0" xfId="3" applyNumberFormat="1" applyFont="1" applyFill="1" applyBorder="1" applyAlignment="1">
      <alignment horizontal="center"/>
    </xf>
    <xf numFmtId="10" fontId="19" fillId="0" borderId="2" xfId="3" applyNumberFormat="1" applyFont="1" applyBorder="1" applyAlignment="1">
      <alignment horizontal="center"/>
    </xf>
    <xf numFmtId="10" fontId="19" fillId="0" borderId="0" xfId="3" applyNumberFormat="1" applyFont="1" applyBorder="1" applyAlignment="1">
      <alignment horizontal="center"/>
    </xf>
    <xf numFmtId="43" fontId="19" fillId="0" borderId="2" xfId="0" applyNumberFormat="1" applyFont="1" applyBorder="1"/>
    <xf numFmtId="9" fontId="19" fillId="0" borderId="0" xfId="3" applyFont="1" applyAlignment="1">
      <alignment horizontal="center"/>
    </xf>
    <xf numFmtId="43" fontId="19" fillId="0" borderId="19" xfId="0" applyNumberFormat="1" applyFont="1" applyFill="1" applyBorder="1"/>
    <xf numFmtId="43" fontId="19" fillId="0" borderId="19" xfId="0" applyNumberFormat="1" applyFont="1" applyBorder="1"/>
    <xf numFmtId="10" fontId="19" fillId="0" borderId="19" xfId="3" applyNumberFormat="1" applyFont="1" applyBorder="1" applyAlignment="1">
      <alignment horizontal="center"/>
    </xf>
    <xf numFmtId="43" fontId="19" fillId="0" borderId="0" xfId="3" applyNumberFormat="1" applyFont="1" applyAlignment="1">
      <alignment horizontal="center"/>
    </xf>
    <xf numFmtId="10" fontId="19" fillId="0" borderId="0" xfId="1" applyNumberFormat="1" applyFont="1" applyAlignment="1">
      <alignment horizontal="center"/>
    </xf>
    <xf numFmtId="9" fontId="19" fillId="0" borderId="2" xfId="3" applyFont="1" applyBorder="1" applyAlignment="1">
      <alignment horizontal="center"/>
    </xf>
    <xf numFmtId="9" fontId="19" fillId="0" borderId="19" xfId="3" applyFont="1" applyBorder="1" applyAlignment="1">
      <alignment horizontal="center"/>
    </xf>
    <xf numFmtId="43" fontId="19" fillId="0" borderId="0" xfId="3" applyNumberFormat="1" applyFont="1" applyFill="1" applyAlignment="1">
      <alignment horizontal="center"/>
    </xf>
    <xf numFmtId="43" fontId="18" fillId="0" borderId="3" xfId="0" applyNumberFormat="1" applyFont="1" applyFill="1" applyBorder="1"/>
    <xf numFmtId="43" fontId="18" fillId="0" borderId="3" xfId="0" applyNumberFormat="1" applyFont="1" applyBorder="1"/>
    <xf numFmtId="43" fontId="18" fillId="0" borderId="5" xfId="0" applyNumberFormat="1" applyFont="1" applyBorder="1"/>
    <xf numFmtId="43" fontId="19" fillId="6" borderId="0" xfId="0" applyNumberFormat="1" applyFont="1" applyFill="1"/>
    <xf numFmtId="8" fontId="19" fillId="0" borderId="0" xfId="0" applyNumberFormat="1" applyFont="1" applyFill="1"/>
    <xf numFmtId="0" fontId="7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5" fontId="10" fillId="0" borderId="24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3" fontId="8" fillId="0" borderId="7" xfId="1" applyFont="1" applyBorder="1" applyAlignment="1">
      <alignment horizontal="center" vertical="center" wrapText="1"/>
    </xf>
    <xf numFmtId="43" fontId="8" fillId="0" borderId="8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43" fontId="8" fillId="0" borderId="11" xfId="1" applyFont="1" applyBorder="1" applyAlignment="1">
      <alignment horizontal="center" vertical="center" wrapText="1"/>
    </xf>
    <xf numFmtId="43" fontId="8" fillId="0" borderId="14" xfId="1" applyFont="1" applyBorder="1" applyAlignment="1">
      <alignment horizontal="center" vertical="center" wrapText="1"/>
    </xf>
    <xf numFmtId="43" fontId="8" fillId="0" borderId="15" xfId="1" applyFont="1" applyBorder="1" applyAlignment="1">
      <alignment horizontal="center" vertical="center" wrapText="1"/>
    </xf>
    <xf numFmtId="43" fontId="8" fillId="0" borderId="16" xfId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15" fontId="18" fillId="0" borderId="24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43" fontId="18" fillId="0" borderId="7" xfId="1" applyFont="1" applyBorder="1" applyAlignment="1">
      <alignment horizontal="center" vertical="center" wrapText="1"/>
    </xf>
    <xf numFmtId="43" fontId="18" fillId="0" borderId="8" xfId="1" applyFont="1" applyBorder="1" applyAlignment="1">
      <alignment horizontal="center" vertical="center" wrapText="1"/>
    </xf>
    <xf numFmtId="43" fontId="18" fillId="0" borderId="9" xfId="1" applyFont="1" applyBorder="1" applyAlignment="1">
      <alignment horizontal="center" vertical="center" wrapText="1"/>
    </xf>
    <xf numFmtId="43" fontId="18" fillId="0" borderId="10" xfId="1" applyFont="1" applyBorder="1" applyAlignment="1">
      <alignment horizontal="center" vertical="center" wrapText="1"/>
    </xf>
    <xf numFmtId="43" fontId="18" fillId="0" borderId="0" xfId="1" applyFont="1" applyBorder="1" applyAlignment="1">
      <alignment horizontal="center" vertical="center" wrapText="1"/>
    </xf>
    <xf numFmtId="43" fontId="18" fillId="0" borderId="11" xfId="1" applyFont="1" applyBorder="1" applyAlignment="1">
      <alignment horizontal="center" vertical="center" wrapText="1"/>
    </xf>
    <xf numFmtId="43" fontId="18" fillId="0" borderId="14" xfId="1" applyFont="1" applyBorder="1" applyAlignment="1">
      <alignment horizontal="center" vertical="center" wrapText="1"/>
    </xf>
    <xf numFmtId="43" fontId="18" fillId="0" borderId="15" xfId="1" applyFont="1" applyBorder="1" applyAlignment="1">
      <alignment horizontal="center" vertical="center" wrapText="1"/>
    </xf>
    <xf numFmtId="43" fontId="18" fillId="0" borderId="16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Pez%20Work\Published%20Financial%20Reports\Financial%20Statement%20Analysi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1%20January%202018/EOM%20Jan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2%20February%202018/EOM%20Feb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3%20March%202018/EOM%20March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4%20April%202018/EOM%20April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Compare to Hedge 2018"/>
      <sheetName val="P&amp;L Compare to Hedge 2017"/>
      <sheetName val="P&amp;L Compare to hedge 2016"/>
      <sheetName val="P&amp;L Compare to hedge 2015"/>
      <sheetName val="2017 Oct Analysis"/>
    </sheetNames>
    <sheetDataSet>
      <sheetData sheetId="0">
        <row r="5">
          <cell r="B5">
            <v>154563428.67000002</v>
          </cell>
          <cell r="C5">
            <v>109601727.78999999</v>
          </cell>
          <cell r="D5">
            <v>101069868.19</v>
          </cell>
          <cell r="E5">
            <v>92671539.059999987</v>
          </cell>
        </row>
        <row r="6">
          <cell r="B6">
            <v>424529753.21999997</v>
          </cell>
          <cell r="C6">
            <v>1212317398.3500001</v>
          </cell>
          <cell r="D6">
            <v>305312522.13</v>
          </cell>
          <cell r="E6">
            <v>46941731.32</v>
          </cell>
        </row>
        <row r="7">
          <cell r="B7">
            <v>2884704.37</v>
          </cell>
          <cell r="C7">
            <v>2596535.7200000002</v>
          </cell>
          <cell r="D7">
            <v>622399.88</v>
          </cell>
          <cell r="E7">
            <v>1945746.84</v>
          </cell>
        </row>
        <row r="8">
          <cell r="B8">
            <v>3238349</v>
          </cell>
          <cell r="C8">
            <v>1478660.42</v>
          </cell>
          <cell r="D8">
            <v>1427673</v>
          </cell>
          <cell r="E8">
            <v>2167697.4500000002</v>
          </cell>
        </row>
        <row r="9">
          <cell r="B9">
            <v>85825</v>
          </cell>
          <cell r="C9">
            <v>579872.5</v>
          </cell>
          <cell r="D9">
            <v>108078.75</v>
          </cell>
          <cell r="E9">
            <v>903549.14</v>
          </cell>
        </row>
        <row r="10">
          <cell r="E10">
            <v>292312.5</v>
          </cell>
        </row>
        <row r="14">
          <cell r="B14">
            <v>157842383.69</v>
          </cell>
          <cell r="C14">
            <v>108846154.46000001</v>
          </cell>
          <cell r="D14">
            <v>100906197.60999998</v>
          </cell>
          <cell r="E14">
            <v>92373678.780000001</v>
          </cell>
        </row>
        <row r="15">
          <cell r="B15">
            <v>422465521.94999993</v>
          </cell>
          <cell r="C15">
            <v>1215546261.6300001</v>
          </cell>
          <cell r="D15">
            <v>305678068.99000001</v>
          </cell>
          <cell r="E15">
            <v>48482029.219999999</v>
          </cell>
        </row>
        <row r="16">
          <cell r="B16">
            <v>2842624.1900000004</v>
          </cell>
          <cell r="C16">
            <v>2535222.7399999998</v>
          </cell>
          <cell r="D16">
            <v>618326.57000000007</v>
          </cell>
          <cell r="E16">
            <v>1945380.79</v>
          </cell>
        </row>
        <row r="17">
          <cell r="B17">
            <v>3972878.5</v>
          </cell>
          <cell r="C17">
            <v>1516251.86</v>
          </cell>
          <cell r="D17">
            <v>1446310.3</v>
          </cell>
          <cell r="E17">
            <v>2111524.9700000002</v>
          </cell>
        </row>
        <row r="18">
          <cell r="B18">
            <v>103200.43</v>
          </cell>
          <cell r="C18">
            <v>557565.63</v>
          </cell>
          <cell r="D18">
            <v>104546.19</v>
          </cell>
          <cell r="E18">
            <v>891459.31</v>
          </cell>
        </row>
        <row r="19">
          <cell r="E19">
            <v>180989.71000000002</v>
          </cell>
        </row>
        <row r="21">
          <cell r="B21">
            <v>-4303584.0399999917</v>
          </cell>
          <cell r="C21">
            <v>-230168.78000000119</v>
          </cell>
          <cell r="D21">
            <v>-102046.03999999166</v>
          </cell>
          <cell r="E21">
            <v>14781.879999995232</v>
          </cell>
        </row>
        <row r="22">
          <cell r="B22">
            <v>-198311.54999999702</v>
          </cell>
          <cell r="C22">
            <v>-141071.81000000052</v>
          </cell>
          <cell r="D22">
            <v>73914.890000000596</v>
          </cell>
          <cell r="E22">
            <v>442679.44999998808</v>
          </cell>
        </row>
        <row r="23">
          <cell r="B23">
            <v>-28077.910000000033</v>
          </cell>
          <cell r="C23">
            <v>-41342.620000000112</v>
          </cell>
          <cell r="D23">
            <v>-28127.939999999944</v>
          </cell>
          <cell r="E23">
            <v>1048.5499999999884</v>
          </cell>
        </row>
        <row r="24">
          <cell r="B24">
            <v>-17915.510000000009</v>
          </cell>
          <cell r="C24">
            <v>0</v>
          </cell>
          <cell r="D24">
            <v>-35497.39</v>
          </cell>
          <cell r="E24">
            <v>2061.8000000000466</v>
          </cell>
        </row>
        <row r="26">
          <cell r="B26">
            <v>-1451390.0700000077</v>
          </cell>
          <cell r="C26">
            <v>-14017.5</v>
          </cell>
          <cell r="D26">
            <v>-649600</v>
          </cell>
          <cell r="E26">
            <v>339010</v>
          </cell>
        </row>
        <row r="27">
          <cell r="B27">
            <v>287951.64999999851</v>
          </cell>
          <cell r="C27">
            <v>-4461877.3100000024</v>
          </cell>
          <cell r="D27">
            <v>67555.530000001192</v>
          </cell>
          <cell r="E27">
            <v>-3414426</v>
          </cell>
        </row>
        <row r="28">
          <cell r="B28">
            <v>0</v>
          </cell>
          <cell r="C28">
            <v>4535</v>
          </cell>
          <cell r="D28">
            <v>-3890</v>
          </cell>
          <cell r="E28">
            <v>-555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2">
          <cell r="D32">
            <v>5756.07</v>
          </cell>
          <cell r="E32">
            <v>9048.32</v>
          </cell>
        </row>
        <row r="45">
          <cell r="B45">
            <v>128859.70591497957</v>
          </cell>
          <cell r="C45">
            <v>179047.73598288454</v>
          </cell>
          <cell r="D45">
            <v>109403.45581293106</v>
          </cell>
          <cell r="E45">
            <v>-91176.724025141797</v>
          </cell>
          <cell r="N45">
            <v>326134.17368568387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FTO Table V Lookup"/>
      <sheetName val="Deferred Income"/>
      <sheetName val="Positive AR"/>
      <sheetName val="Premium Table by Item Code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2094840.4523199946</v>
          </cell>
        </row>
      </sheetData>
      <sheetData sheetId="14">
        <row r="28">
          <cell r="E28">
            <v>1671312.9767381023</v>
          </cell>
        </row>
      </sheetData>
      <sheetData sheetId="15">
        <row r="28">
          <cell r="E28">
            <v>53210.820259999891</v>
          </cell>
        </row>
      </sheetData>
      <sheetData sheetId="16">
        <row r="28">
          <cell r="E28">
            <v>-759397.27174999984</v>
          </cell>
        </row>
      </sheetData>
      <sheetData sheetId="17">
        <row r="28">
          <cell r="E28">
            <v>-20088.849999999991</v>
          </cell>
        </row>
      </sheetData>
      <sheetData sheetId="18">
        <row r="39">
          <cell r="E39">
            <v>3039878.1275680996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C30">
            <v>365257.53999999905</v>
          </cell>
          <cell r="D30">
            <v>21090.145499999966</v>
          </cell>
          <cell r="E30">
            <v>37097.844600000004</v>
          </cell>
          <cell r="F30">
            <v>3045</v>
          </cell>
          <cell r="G30">
            <v>885928.51408513961</v>
          </cell>
        </row>
        <row r="54">
          <cell r="B54">
            <v>301276.599516891</v>
          </cell>
          <cell r="C54">
            <v>314838.27600001462</v>
          </cell>
          <cell r="D54">
            <v>40496.840099999994</v>
          </cell>
          <cell r="E54">
            <v>14645.328399999986</v>
          </cell>
          <cell r="F54">
            <v>10671.25</v>
          </cell>
          <cell r="G54">
            <v>681928.29401690571</v>
          </cell>
        </row>
        <row r="80">
          <cell r="B80">
            <v>332184.39528701216</v>
          </cell>
          <cell r="C80">
            <v>311757.88299998752</v>
          </cell>
          <cell r="D80">
            <v>8782.1078999999936</v>
          </cell>
          <cell r="E80">
            <v>14892.187999999987</v>
          </cell>
          <cell r="F80">
            <v>6747.14</v>
          </cell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">
          <cell r="B31">
            <v>281330.66382510529</v>
          </cell>
          <cell r="C31">
            <v>334099.27399999852</v>
          </cell>
          <cell r="D31">
            <v>17527.93</v>
          </cell>
          <cell r="E31">
            <v>16414.477200000103</v>
          </cell>
          <cell r="F31">
            <v>6239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  <row r="20">
          <cell r="B20">
            <v>31705.259999999995</v>
          </cell>
        </row>
        <row r="26">
          <cell r="B26">
            <v>0</v>
          </cell>
        </row>
      </sheetData>
      <sheetData sheetId="2">
        <row r="10">
          <cell r="B10">
            <v>23083.65</v>
          </cell>
        </row>
        <row r="20">
          <cell r="B20">
            <v>3212.99</v>
          </cell>
        </row>
        <row r="26">
          <cell r="B26">
            <v>9893.18</v>
          </cell>
        </row>
      </sheetData>
      <sheetData sheetId="3">
        <row r="10">
          <cell r="B10">
            <v>22978.059999999998</v>
          </cell>
        </row>
        <row r="20">
          <cell r="B20">
            <v>8036.34</v>
          </cell>
        </row>
        <row r="26">
          <cell r="B26">
            <v>59045.81</v>
          </cell>
        </row>
        <row r="31">
          <cell r="B31">
            <v>272.06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FTOs for Vlookup"/>
      <sheetName val="Premium Table by Item Code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607654.88740001619</v>
          </cell>
        </row>
      </sheetData>
      <sheetData sheetId="14">
        <row r="28">
          <cell r="E28">
            <v>1036939.8168504873</v>
          </cell>
        </row>
      </sheetData>
      <sheetData sheetId="15">
        <row r="28">
          <cell r="E28">
            <v>54597.568599999649</v>
          </cell>
        </row>
      </sheetData>
      <sheetData sheetId="16">
        <row r="28">
          <cell r="E28">
            <v>-56319.259040000208</v>
          </cell>
        </row>
      </sheetData>
      <sheetData sheetId="17">
        <row r="28">
          <cell r="E28">
            <v>8290.3699999999953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SO's"/>
      <sheetName val="Prepaid Inventory"/>
      <sheetName val="FTOs for Vlookup"/>
      <sheetName val="Premiums for Vlookup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567828.19951001555</v>
          </cell>
        </row>
      </sheetData>
      <sheetData sheetId="14">
        <row r="28">
          <cell r="E28">
            <v>-931711.66054889513</v>
          </cell>
        </row>
      </sheetData>
      <sheetData sheetId="15">
        <row r="28">
          <cell r="E28">
            <v>-2899.6698899999028</v>
          </cell>
        </row>
      </sheetData>
      <sheetData sheetId="16">
        <row r="28">
          <cell r="E28">
            <v>-27321.270960000053</v>
          </cell>
        </row>
      </sheetData>
      <sheetData sheetId="17">
        <row r="28">
          <cell r="E28">
            <v>-19993.190000000017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FTOs for Vlookup"/>
      <sheetName val="Premiums for Vlookup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-212199.27639002353</v>
          </cell>
        </row>
      </sheetData>
      <sheetData sheetId="14">
        <row r="28">
          <cell r="E28">
            <v>1133883.7106935014</v>
          </cell>
        </row>
      </sheetData>
      <sheetData sheetId="15">
        <row r="28">
          <cell r="E28">
            <v>-17872.84760000027</v>
          </cell>
        </row>
      </sheetData>
      <sheetData sheetId="16">
        <row r="28">
          <cell r="E28">
            <v>35879.561575000058</v>
          </cell>
        </row>
      </sheetData>
      <sheetData sheetId="17">
        <row r="28">
          <cell r="E28">
            <v>24746.690000000002</v>
          </cell>
        </row>
      </sheetData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8F46-91EA-4FDF-952B-A7A475496313}">
  <dimension ref="A1:L73"/>
  <sheetViews>
    <sheetView tabSelected="1" view="pageBreakPreview" zoomScale="60" zoomScaleNormal="100" workbookViewId="0">
      <pane ySplit="6" topLeftCell="A43" activePane="bottomLeft" state="frozen"/>
      <selection activeCell="A16" sqref="A16"/>
      <selection pane="bottomLeft" activeCell="A62" sqref="A62"/>
    </sheetView>
  </sheetViews>
  <sheetFormatPr defaultRowHeight="15" x14ac:dyDescent="0.25"/>
  <cols>
    <col min="1" max="1" width="47" bestFit="1" customWidth="1"/>
    <col min="2" max="2" width="23.42578125" style="120" bestFit="1" customWidth="1"/>
    <col min="3" max="3" width="19.7109375" style="120" bestFit="1" customWidth="1"/>
    <col min="4" max="8" width="18.7109375" style="120" customWidth="1"/>
    <col min="9" max="9" width="23.42578125" style="120" bestFit="1" customWidth="1"/>
    <col min="12" max="12" width="16.85546875" style="83" bestFit="1" customWidth="1"/>
  </cols>
  <sheetData>
    <row r="1" spans="1:12" ht="26.25" x14ac:dyDescent="0.4">
      <c r="A1" s="229" t="s">
        <v>362</v>
      </c>
      <c r="B1" s="229"/>
      <c r="C1" s="229"/>
      <c r="D1" s="229"/>
      <c r="E1" s="229"/>
      <c r="F1" s="229"/>
      <c r="G1" s="229"/>
      <c r="H1" s="229"/>
      <c r="I1" s="229"/>
    </row>
    <row r="2" spans="1:12" ht="26.25" x14ac:dyDescent="0.4">
      <c r="A2" s="229" t="s">
        <v>361</v>
      </c>
      <c r="B2" s="229"/>
      <c r="C2" s="229"/>
      <c r="D2" s="229"/>
      <c r="E2" s="229"/>
      <c r="F2" s="229"/>
      <c r="G2" s="229"/>
      <c r="H2" s="229"/>
      <c r="I2" s="229"/>
    </row>
    <row r="3" spans="1:12" ht="26.25" x14ac:dyDescent="0.4">
      <c r="A3" s="229" t="s">
        <v>297</v>
      </c>
      <c r="B3" s="229"/>
      <c r="C3" s="229"/>
      <c r="D3" s="229"/>
      <c r="E3" s="229"/>
      <c r="F3" s="229"/>
      <c r="G3" s="229"/>
      <c r="H3" s="229"/>
      <c r="I3" s="229"/>
    </row>
    <row r="4" spans="1:12" ht="26.25" x14ac:dyDescent="0.4">
      <c r="A4" s="230">
        <v>43281</v>
      </c>
      <c r="B4" s="231"/>
      <c r="C4" s="231"/>
      <c r="D4" s="231"/>
      <c r="E4" s="231"/>
      <c r="F4" s="231"/>
      <c r="G4" s="231"/>
      <c r="H4" s="231"/>
      <c r="I4" s="231"/>
    </row>
    <row r="6" spans="1:12" s="153" customFormat="1" ht="30" customHeight="1" x14ac:dyDescent="0.3">
      <c r="B6" s="154" t="s">
        <v>242</v>
      </c>
      <c r="C6" s="154" t="s">
        <v>244</v>
      </c>
      <c r="D6" s="154" t="s">
        <v>243</v>
      </c>
      <c r="E6" s="154" t="s">
        <v>245</v>
      </c>
      <c r="F6" s="154" t="s">
        <v>246</v>
      </c>
      <c r="G6" s="154" t="s">
        <v>442</v>
      </c>
      <c r="H6" s="154" t="s">
        <v>453</v>
      </c>
      <c r="I6" s="154" t="s">
        <v>216</v>
      </c>
      <c r="L6" s="155"/>
    </row>
    <row r="7" spans="1:12" s="153" customFormat="1" ht="39.950000000000003" customHeight="1" x14ac:dyDescent="0.3">
      <c r="A7" s="156" t="s">
        <v>62</v>
      </c>
      <c r="B7" s="158">
        <f>'Comp Summary YTD 2018-2017 June'!B21</f>
        <v>3034497070.6399994</v>
      </c>
      <c r="C7" s="158">
        <f>'Comp Summary YTD 2018-2017 June'!C21</f>
        <v>41688122.819999993</v>
      </c>
      <c r="D7" s="158">
        <f>'Comp Summary YTD 2018-2017 June'!D21</f>
        <v>1137613.95</v>
      </c>
      <c r="E7" s="158">
        <f>'Comp Summary YTD 2018-2017 June'!E21</f>
        <v>0</v>
      </c>
      <c r="F7" s="158">
        <f>'Comp Summary YTD 2018-2017 June'!F21</f>
        <v>519685.24000000005</v>
      </c>
      <c r="G7" s="158">
        <f>'Comp Summary YTD 2018-2017 June'!G21</f>
        <v>0</v>
      </c>
      <c r="H7" s="158">
        <f>'Comp Summary YTD 2018-2017 June'!H21</f>
        <v>0</v>
      </c>
      <c r="I7" s="158">
        <f>SUM(B7:H7)</f>
        <v>3077842492.6499991</v>
      </c>
      <c r="L7" s="155"/>
    </row>
    <row r="8" spans="1:12" s="153" customFormat="1" ht="39.950000000000003" customHeight="1" x14ac:dyDescent="0.3">
      <c r="B8" s="172"/>
      <c r="C8" s="172"/>
      <c r="D8" s="172"/>
      <c r="E8" s="172"/>
      <c r="F8" s="172"/>
      <c r="G8" s="172"/>
      <c r="H8" s="172"/>
      <c r="I8" s="172"/>
      <c r="L8" s="155"/>
    </row>
    <row r="9" spans="1:12" s="153" customFormat="1" ht="39.950000000000003" customHeight="1" x14ac:dyDescent="0.3">
      <c r="A9" s="156" t="s">
        <v>254</v>
      </c>
      <c r="B9" s="171">
        <f>'Comp Summary YTD 2018-2017 June'!B25</f>
        <v>3031008532.8400006</v>
      </c>
      <c r="C9" s="171">
        <f>'Comp Summary YTD 2018-2017 June'!C25</f>
        <v>41146173.899999999</v>
      </c>
      <c r="D9" s="171">
        <f>'Comp Summary YTD 2018-2017 June'!D25</f>
        <v>151861.46000000002</v>
      </c>
      <c r="E9" s="171">
        <f>'Comp Summary YTD 2018-2017 June'!E25</f>
        <v>0</v>
      </c>
      <c r="F9" s="171">
        <f>'Comp Summary YTD 2018-2017 June'!F25</f>
        <v>1648.2199999999998</v>
      </c>
      <c r="G9" s="171">
        <f>'Comp Summary YTD 2018-2017 June'!G25</f>
        <v>0</v>
      </c>
      <c r="H9" s="171">
        <f>'Comp Summary YTD 2018-2017 June'!H25</f>
        <v>0</v>
      </c>
      <c r="I9" s="171">
        <f>SUM(B9:H9)</f>
        <v>3072308216.4200006</v>
      </c>
      <c r="L9" s="155"/>
    </row>
    <row r="10" spans="1:12" s="153" customFormat="1" ht="39.950000000000003" customHeight="1" x14ac:dyDescent="0.3">
      <c r="B10" s="157"/>
      <c r="C10" s="157"/>
      <c r="D10" s="157"/>
      <c r="E10" s="157"/>
      <c r="F10" s="157"/>
      <c r="G10" s="157"/>
      <c r="H10" s="157"/>
      <c r="I10" s="157"/>
      <c r="L10" s="155"/>
    </row>
    <row r="11" spans="1:12" s="153" customFormat="1" ht="39.950000000000003" customHeight="1" thickBot="1" x14ac:dyDescent="0.35">
      <c r="A11" s="156" t="s">
        <v>241</v>
      </c>
      <c r="B11" s="159">
        <f t="shared" ref="B11:H11" si="0">B7-B9</f>
        <v>3488537.7999987602</v>
      </c>
      <c r="C11" s="159">
        <f t="shared" si="0"/>
        <v>541948.91999999434</v>
      </c>
      <c r="D11" s="159">
        <f t="shared" si="0"/>
        <v>985752.49</v>
      </c>
      <c r="E11" s="159">
        <f t="shared" si="0"/>
        <v>0</v>
      </c>
      <c r="F11" s="159">
        <f t="shared" si="0"/>
        <v>518037.02000000008</v>
      </c>
      <c r="G11" s="159">
        <f t="shared" ref="G11" si="1">G7-G9</f>
        <v>0</v>
      </c>
      <c r="H11" s="159">
        <f t="shared" si="0"/>
        <v>0</v>
      </c>
      <c r="I11" s="159">
        <f>SUM(B11:H11)</f>
        <v>5534276.2299987553</v>
      </c>
      <c r="L11" s="155"/>
    </row>
    <row r="12" spans="1:12" s="153" customFormat="1" ht="30" customHeight="1" x14ac:dyDescent="0.3">
      <c r="B12" s="157"/>
      <c r="C12" s="157"/>
      <c r="D12" s="157"/>
      <c r="E12" s="157"/>
      <c r="F12" s="157"/>
      <c r="G12" s="157"/>
      <c r="H12" s="157"/>
      <c r="I12" s="157"/>
      <c r="L12" s="155"/>
    </row>
    <row r="13" spans="1:12" s="153" customFormat="1" ht="30" customHeight="1" x14ac:dyDescent="0.3">
      <c r="A13" s="156" t="s">
        <v>239</v>
      </c>
      <c r="B13" s="157"/>
      <c r="C13" s="157"/>
      <c r="D13" s="157"/>
      <c r="E13" s="157"/>
      <c r="F13" s="157"/>
      <c r="G13" s="157"/>
      <c r="H13" s="157"/>
      <c r="I13" s="157"/>
      <c r="L13" s="155"/>
    </row>
    <row r="14" spans="1:12" s="153" customFormat="1" ht="30" customHeight="1" x14ac:dyDescent="0.3">
      <c r="B14" s="157"/>
      <c r="C14" s="157"/>
      <c r="D14" s="157"/>
      <c r="E14" s="157"/>
      <c r="F14" s="157"/>
      <c r="G14" s="157"/>
      <c r="H14" s="157"/>
      <c r="I14" s="157"/>
      <c r="L14" s="155"/>
    </row>
    <row r="15" spans="1:12" s="153" customFormat="1" ht="30" customHeight="1" x14ac:dyDescent="0.3">
      <c r="A15" s="156" t="s">
        <v>255</v>
      </c>
      <c r="B15" s="157"/>
      <c r="C15" s="157"/>
      <c r="D15" s="157"/>
      <c r="E15" s="157"/>
      <c r="F15" s="157"/>
      <c r="G15" s="157"/>
      <c r="H15" s="157"/>
      <c r="I15" s="157"/>
      <c r="L15" s="155"/>
    </row>
    <row r="16" spans="1:12" s="153" customFormat="1" ht="30" customHeight="1" x14ac:dyDescent="0.3">
      <c r="A16" s="153" t="s">
        <v>315</v>
      </c>
      <c r="B16" s="157">
        <f>'Summary YTD 06.30.18'!B32</f>
        <v>1833742.82</v>
      </c>
      <c r="C16" s="157">
        <f>'Summary YTD 06.30.18'!C32</f>
        <v>0</v>
      </c>
      <c r="D16" s="157">
        <f>'Summary YTD 06.30.18'!D32</f>
        <v>51398.8</v>
      </c>
      <c r="E16" s="157">
        <f>'Summary YTD 06.30.18'!E32</f>
        <v>0</v>
      </c>
      <c r="F16" s="157">
        <f>'Summary YTD 06.30.18'!F32</f>
        <v>176224.8</v>
      </c>
      <c r="G16" s="157">
        <f>'Summary YTD 06.30.18'!G32</f>
        <v>0</v>
      </c>
      <c r="H16" s="157">
        <f>'Summary YTD 06.30.18'!H32</f>
        <v>0</v>
      </c>
      <c r="I16" s="157">
        <f>SUM(B16:H16)</f>
        <v>2061366.4200000002</v>
      </c>
      <c r="L16" s="155"/>
    </row>
    <row r="17" spans="1:12" s="153" customFormat="1" ht="30" customHeight="1" x14ac:dyDescent="0.3">
      <c r="A17" s="153" t="s">
        <v>258</v>
      </c>
      <c r="B17" s="157">
        <f>'Summary YTD 06.30.18'!B34</f>
        <v>166018.66999999998</v>
      </c>
      <c r="C17" s="157">
        <f>'Summary YTD 06.30.18'!C34</f>
        <v>0</v>
      </c>
      <c r="D17" s="157">
        <f>'Summary YTD 06.30.18'!D34</f>
        <v>6053.7900000000009</v>
      </c>
      <c r="E17" s="157">
        <f>'Summary YTD 06.30.18'!E34</f>
        <v>0</v>
      </c>
      <c r="F17" s="157">
        <f>'Summary YTD 06.30.18'!F34</f>
        <v>11653.990000000002</v>
      </c>
      <c r="G17" s="157">
        <f>'Summary YTD 06.30.18'!G34</f>
        <v>0</v>
      </c>
      <c r="H17" s="157">
        <f>'Summary YTD 06.30.18'!H34</f>
        <v>0</v>
      </c>
      <c r="I17" s="157">
        <f t="shared" ref="I17" si="2">SUM(B17:H17)</f>
        <v>183726.44999999998</v>
      </c>
      <c r="L17" s="155"/>
    </row>
    <row r="18" spans="1:12" s="153" customFormat="1" ht="30" customHeight="1" x14ac:dyDescent="0.3">
      <c r="A18" s="153" t="s">
        <v>482</v>
      </c>
      <c r="B18" s="157">
        <f>'Summary YTD 06.30.18'!B33+'Summary YTD 06.30.18'!B35+'Summary YTD 06.30.18'!B36+'Summary YTD 06.30.18'!B37+'Summary YTD 06.30.18'!B38+'Summary YTD 06.30.18'!B39+'Summary YTD 06.30.18'!B40</f>
        <v>302156.87</v>
      </c>
      <c r="C18" s="157">
        <f>'Summary YTD 06.30.18'!C33+'Summary YTD 06.30.18'!C35+'Summary YTD 06.30.18'!C36+'Summary YTD 06.30.18'!C37+'Summary YTD 06.30.18'!C38+'Summary YTD 06.30.18'!C39+'Summary YTD 06.30.18'!C40</f>
        <v>0</v>
      </c>
      <c r="D18" s="157">
        <f>'Summary YTD 06.30.18'!D33+'Summary YTD 06.30.18'!D35+'Summary YTD 06.30.18'!D36+'Summary YTD 06.30.18'!D37+'Summary YTD 06.30.18'!D38+'Summary YTD 06.30.18'!D39+'Summary YTD 06.30.18'!D40</f>
        <v>23201.49</v>
      </c>
      <c r="E18" s="157">
        <f>'Summary YTD 06.30.18'!E33+'Summary YTD 06.30.18'!E35+'Summary YTD 06.30.18'!E36+'Summary YTD 06.30.18'!E37+'Summary YTD 06.30.18'!E38+'Summary YTD 06.30.18'!E39+'Summary YTD 06.30.18'!E40</f>
        <v>0</v>
      </c>
      <c r="F18" s="157">
        <f>'Summary YTD 06.30.18'!F33+'Summary YTD 06.30.18'!F35+'Summary YTD 06.30.18'!F36+'Summary YTD 06.30.18'!F37+'Summary YTD 06.30.18'!F38+'Summary YTD 06.30.18'!F39+'Summary YTD 06.30.18'!F40</f>
        <v>38203.599999999999</v>
      </c>
      <c r="G18" s="157">
        <v>0</v>
      </c>
      <c r="H18" s="157">
        <f>'BSC (Dome)'!I24</f>
        <v>0</v>
      </c>
      <c r="I18" s="157">
        <f t="shared" ref="I18" si="3">SUM(B18:H18)</f>
        <v>363561.95999999996</v>
      </c>
      <c r="L18" s="155"/>
    </row>
    <row r="19" spans="1:12" s="153" customFormat="1" ht="30" customHeight="1" x14ac:dyDescent="0.3">
      <c r="A19" s="156" t="s">
        <v>263</v>
      </c>
      <c r="B19" s="158">
        <f t="shared" ref="B19:H19" si="4">SUM(B16:B18)</f>
        <v>2301918.36</v>
      </c>
      <c r="C19" s="158">
        <f t="shared" si="4"/>
        <v>0</v>
      </c>
      <c r="D19" s="158">
        <f t="shared" si="4"/>
        <v>80654.080000000002</v>
      </c>
      <c r="E19" s="158">
        <f t="shared" si="4"/>
        <v>0</v>
      </c>
      <c r="F19" s="158">
        <f t="shared" si="4"/>
        <v>226082.38999999998</v>
      </c>
      <c r="G19" s="158">
        <f t="shared" si="4"/>
        <v>0</v>
      </c>
      <c r="H19" s="158">
        <f t="shared" si="4"/>
        <v>0</v>
      </c>
      <c r="I19" s="158">
        <f>SUM(B19:H19)</f>
        <v>2608654.83</v>
      </c>
      <c r="L19" s="155"/>
    </row>
    <row r="20" spans="1:12" s="153" customFormat="1" ht="30" customHeight="1" x14ac:dyDescent="0.3">
      <c r="B20" s="157"/>
      <c r="C20" s="157"/>
      <c r="D20" s="157"/>
      <c r="E20" s="157"/>
      <c r="F20" s="157"/>
      <c r="G20" s="157"/>
      <c r="H20" s="157"/>
      <c r="I20" s="157"/>
      <c r="L20" s="155"/>
    </row>
    <row r="21" spans="1:12" s="153" customFormat="1" ht="30" customHeight="1" x14ac:dyDescent="0.3">
      <c r="A21" s="156" t="s">
        <v>264</v>
      </c>
      <c r="B21" s="157"/>
      <c r="C21" s="157"/>
      <c r="D21" s="157"/>
      <c r="E21" s="157"/>
      <c r="F21" s="157"/>
      <c r="G21" s="157"/>
      <c r="H21" s="157"/>
      <c r="I21" s="157"/>
      <c r="L21" s="155"/>
    </row>
    <row r="22" spans="1:12" s="153" customFormat="1" ht="30" customHeight="1" x14ac:dyDescent="0.3">
      <c r="A22" s="153" t="s">
        <v>265</v>
      </c>
      <c r="B22" s="157">
        <f>'Summary YTD 06.30.18'!B44</f>
        <v>205200</v>
      </c>
      <c r="C22" s="157">
        <f>'Summary YTD 06.30.18'!C44</f>
        <v>0</v>
      </c>
      <c r="D22" s="157">
        <f>'Summary YTD 06.30.18'!D44</f>
        <v>225000</v>
      </c>
      <c r="E22" s="157">
        <f>'Summary YTD 06.30.18'!E44</f>
        <v>0</v>
      </c>
      <c r="F22" s="157">
        <f>'Summary YTD 06.30.18'!F44</f>
        <v>6000</v>
      </c>
      <c r="G22" s="157">
        <f>'Summary YTD 06.30.18'!G44</f>
        <v>0</v>
      </c>
      <c r="H22" s="157">
        <f>'Summary YTD 06.30.18'!H44</f>
        <v>0</v>
      </c>
      <c r="I22" s="157">
        <f>SUM(B22:H22)</f>
        <v>436200</v>
      </c>
      <c r="L22" s="155"/>
    </row>
    <row r="23" spans="1:12" s="153" customFormat="1" ht="30" customHeight="1" x14ac:dyDescent="0.3">
      <c r="A23" s="153" t="s">
        <v>321</v>
      </c>
      <c r="B23" s="157">
        <f>'Summary YTD 06.30.18'!B45+'Summary YTD 06.30.18'!B46+'Summary YTD 06.30.18'!B47</f>
        <v>19556.89</v>
      </c>
      <c r="C23" s="157">
        <f>'Summary YTD 06.30.18'!C45+'Summary YTD 06.30.18'!C46+'Summary YTD 06.30.18'!C47</f>
        <v>0</v>
      </c>
      <c r="D23" s="157">
        <f>'Summary YTD 06.30.18'!D45+'Summary YTD 06.30.18'!D46+'Summary YTD 06.30.18'!D47</f>
        <v>39429.379999999997</v>
      </c>
      <c r="E23" s="157">
        <f>'Summary YTD 06.30.18'!E45+'Summary YTD 06.30.18'!E46+'Summary YTD 06.30.18'!E47</f>
        <v>0</v>
      </c>
      <c r="F23" s="157">
        <f>'Summary YTD 06.30.18'!F45+'Summary YTD 06.30.18'!F46+'Summary YTD 06.30.18'!F47</f>
        <v>64061.67</v>
      </c>
      <c r="G23" s="157">
        <f>'Summary YTD 06.30.18'!G45+'Summary YTD 06.30.18'!G46+'Summary YTD 06.30.18'!G47</f>
        <v>0</v>
      </c>
      <c r="H23" s="157">
        <f>'Summary YTD 06.30.18'!H45+'Summary YTD 06.30.18'!H46+'Summary YTD 06.30.18'!H47</f>
        <v>0</v>
      </c>
      <c r="I23" s="157">
        <f t="shared" ref="I23:I35" si="5">SUM(B23:H23)</f>
        <v>123047.94</v>
      </c>
      <c r="L23" s="155"/>
    </row>
    <row r="24" spans="1:12" s="153" customFormat="1" ht="30" customHeight="1" x14ac:dyDescent="0.3">
      <c r="A24" s="153" t="s">
        <v>446</v>
      </c>
      <c r="B24" s="157">
        <f>'Summary YTD 06.30.18'!B48+'Summary YTD 06.30.18'!B49+'Summary YTD 06.30.18'!B50+'Summary YTD 06.30.18'!B51</f>
        <v>82547.709999999992</v>
      </c>
      <c r="C24" s="157">
        <f>'Summary YTD 06.30.18'!C48+'Summary YTD 06.30.18'!C49+'Summary YTD 06.30.18'!C50+'Summary YTD 06.30.18'!C51</f>
        <v>1511.66</v>
      </c>
      <c r="D24" s="157">
        <f>'Summary YTD 06.30.18'!D48+'Summary YTD 06.30.18'!D49+'Summary YTD 06.30.18'!D50+'Summary YTD 06.30.18'!D51</f>
        <v>28939.9</v>
      </c>
      <c r="E24" s="157">
        <f>'Summary YTD 06.30.18'!E48+'Summary YTD 06.30.18'!E49+'Summary YTD 06.30.18'!E50+'Summary YTD 06.30.18'!E51</f>
        <v>0</v>
      </c>
      <c r="F24" s="157">
        <f>'Summary YTD 06.30.18'!F48+'Summary YTD 06.30.18'!F49+'Summary YTD 06.30.18'!F50+'Summary YTD 06.30.18'!F51</f>
        <v>15604.56</v>
      </c>
      <c r="G24" s="157">
        <f>'Summary YTD 06.30.18'!G48+'Summary YTD 06.30.18'!G49+'Summary YTD 06.30.18'!G50+'Summary YTD 06.30.18'!G51</f>
        <v>0</v>
      </c>
      <c r="H24" s="157">
        <f>'Summary YTD 06.30.18'!H48+'Summary YTD 06.30.18'!H49+'Summary YTD 06.30.18'!H50+'Summary YTD 06.30.18'!H51</f>
        <v>0</v>
      </c>
      <c r="I24" s="157">
        <f t="shared" ref="I24" si="6">SUM(B24:H24)</f>
        <v>128603.82999999999</v>
      </c>
      <c r="L24" s="155"/>
    </row>
    <row r="25" spans="1:12" s="153" customFormat="1" ht="30" customHeight="1" x14ac:dyDescent="0.3">
      <c r="A25" s="153" t="s">
        <v>271</v>
      </c>
      <c r="B25" s="157">
        <f>'Summary YTD 06.30.18'!B52</f>
        <v>52059.100000000013</v>
      </c>
      <c r="C25" s="157">
        <f>'Summary YTD 06.30.18'!C52</f>
        <v>0</v>
      </c>
      <c r="D25" s="157">
        <f>'Summary YTD 06.30.18'!D52</f>
        <v>32365.08</v>
      </c>
      <c r="E25" s="157">
        <f>'Summary YTD 06.30.18'!E52</f>
        <v>0</v>
      </c>
      <c r="F25" s="157">
        <f>'Summary YTD 06.30.18'!F52</f>
        <v>233.66</v>
      </c>
      <c r="G25" s="157">
        <f>'Summary YTD 06.30.18'!G52</f>
        <v>0</v>
      </c>
      <c r="H25" s="157">
        <f>'Summary YTD 06.30.18'!H52</f>
        <v>0</v>
      </c>
      <c r="I25" s="157">
        <f t="shared" si="5"/>
        <v>84657.840000000026</v>
      </c>
      <c r="L25" s="155"/>
    </row>
    <row r="26" spans="1:12" s="153" customFormat="1" ht="30" customHeight="1" x14ac:dyDescent="0.3">
      <c r="A26" s="153" t="s">
        <v>272</v>
      </c>
      <c r="B26" s="157">
        <f>'Summary YTD 06.30.18'!B53</f>
        <v>20000</v>
      </c>
      <c r="C26" s="157">
        <f>'Summary YTD 06.30.18'!C53</f>
        <v>0</v>
      </c>
      <c r="D26" s="157">
        <f>'Summary YTD 06.30.18'!D53</f>
        <v>9571.7999999999993</v>
      </c>
      <c r="E26" s="157">
        <f>'Summary YTD 06.30.18'!E53</f>
        <v>0</v>
      </c>
      <c r="F26" s="157">
        <f>'Summary YTD 06.30.18'!F53</f>
        <v>0</v>
      </c>
      <c r="G26" s="157">
        <f>'Summary YTD 06.30.18'!G53</f>
        <v>0</v>
      </c>
      <c r="H26" s="157">
        <f>'Summary YTD 06.30.18'!H53</f>
        <v>0</v>
      </c>
      <c r="I26" s="157">
        <f t="shared" si="5"/>
        <v>29571.8</v>
      </c>
      <c r="L26" s="155"/>
    </row>
    <row r="27" spans="1:12" s="153" customFormat="1" ht="30" customHeight="1" x14ac:dyDescent="0.3">
      <c r="A27" s="153" t="s">
        <v>270</v>
      </c>
      <c r="B27" s="157">
        <f>'Summary YTD 06.30.18'!B54</f>
        <v>30508.03</v>
      </c>
      <c r="C27" s="157">
        <f>'Summary YTD 06.30.18'!C54</f>
        <v>0</v>
      </c>
      <c r="D27" s="157">
        <f>'Summary YTD 06.30.18'!D54</f>
        <v>94972.9</v>
      </c>
      <c r="E27" s="157">
        <f>'Summary YTD 06.30.18'!E54</f>
        <v>0</v>
      </c>
      <c r="F27" s="157">
        <f>'Summary YTD 06.30.18'!F54</f>
        <v>14546</v>
      </c>
      <c r="G27" s="157">
        <f>'Summary YTD 06.30.18'!G54</f>
        <v>0</v>
      </c>
      <c r="H27" s="157">
        <f>'Summary YTD 06.30.18'!H54</f>
        <v>0</v>
      </c>
      <c r="I27" s="157">
        <f t="shared" si="5"/>
        <v>140026.93</v>
      </c>
      <c r="L27" s="155"/>
    </row>
    <row r="28" spans="1:12" s="153" customFormat="1" ht="30" customHeight="1" x14ac:dyDescent="0.3">
      <c r="A28" s="153" t="s">
        <v>389</v>
      </c>
      <c r="B28" s="157">
        <f>'Summary YTD 06.30.18'!B55</f>
        <v>109</v>
      </c>
      <c r="C28" s="157">
        <f>'Summary YTD 06.30.18'!C55</f>
        <v>228.96000000000004</v>
      </c>
      <c r="D28" s="157">
        <f>'Summary YTD 06.30.18'!D55</f>
        <v>149</v>
      </c>
      <c r="E28" s="157">
        <f>'Summary YTD 06.30.18'!E55</f>
        <v>0</v>
      </c>
      <c r="F28" s="157">
        <f>'Summary YTD 06.30.18'!F55</f>
        <v>565</v>
      </c>
      <c r="G28" s="157">
        <f>'Summary YTD 06.30.18'!G55</f>
        <v>520</v>
      </c>
      <c r="H28" s="157">
        <f>'Summary YTD 06.30.18'!H55</f>
        <v>520</v>
      </c>
      <c r="I28" s="157">
        <f t="shared" si="5"/>
        <v>2091.96</v>
      </c>
      <c r="L28" s="155"/>
    </row>
    <row r="29" spans="1:12" s="153" customFormat="1" ht="30" customHeight="1" x14ac:dyDescent="0.3">
      <c r="A29" s="153" t="s">
        <v>273</v>
      </c>
      <c r="B29" s="157">
        <f>'Summary YTD 06.30.18'!B57+'Summary YTD 06.30.18'!B56</f>
        <v>7756.71</v>
      </c>
      <c r="C29" s="157">
        <f>'Summary YTD 06.30.18'!C57+'Summary YTD 06.30.18'!C56</f>
        <v>0</v>
      </c>
      <c r="D29" s="157">
        <f>'Summary YTD 06.30.18'!D57+'Summary YTD 06.30.18'!D56</f>
        <v>152.47</v>
      </c>
      <c r="E29" s="157">
        <f>'Summary YTD 06.30.18'!E57+'Summary YTD 06.30.18'!E56</f>
        <v>0</v>
      </c>
      <c r="F29" s="157">
        <f>'Summary YTD 06.30.18'!F57+'Summary YTD 06.30.18'!F56</f>
        <v>12258.07</v>
      </c>
      <c r="G29" s="157">
        <f>'Summary YTD 06.30.18'!G57+'Summary YTD 06.30.18'!G56</f>
        <v>0</v>
      </c>
      <c r="H29" s="157">
        <f>'Summary YTD 06.30.18'!H57+'Summary YTD 06.30.18'!H56</f>
        <v>0</v>
      </c>
      <c r="I29" s="157">
        <f t="shared" si="5"/>
        <v>20167.25</v>
      </c>
      <c r="L29" s="155"/>
    </row>
    <row r="30" spans="1:12" s="153" customFormat="1" ht="30" customHeight="1" x14ac:dyDescent="0.3">
      <c r="A30" s="153" t="s">
        <v>274</v>
      </c>
      <c r="B30" s="157">
        <f>'Summary YTD 06.30.18'!B58</f>
        <v>2564.1</v>
      </c>
      <c r="C30" s="157">
        <f>'Summary YTD 06.30.18'!C58</f>
        <v>0</v>
      </c>
      <c r="D30" s="157">
        <f>'Summary YTD 06.30.18'!D58</f>
        <v>1947.3999999999999</v>
      </c>
      <c r="E30" s="157">
        <f>'Summary YTD 06.30.18'!E58</f>
        <v>0</v>
      </c>
      <c r="F30" s="157">
        <f>'Summary YTD 06.30.18'!F58</f>
        <v>0</v>
      </c>
      <c r="G30" s="157">
        <f>'Summary YTD 06.30.18'!G58</f>
        <v>0</v>
      </c>
      <c r="H30" s="157">
        <f>'Summary YTD 06.30.18'!H58</f>
        <v>0</v>
      </c>
      <c r="I30" s="157">
        <f t="shared" si="5"/>
        <v>4511.5</v>
      </c>
      <c r="L30" s="155"/>
    </row>
    <row r="31" spans="1:12" s="153" customFormat="1" ht="30" customHeight="1" x14ac:dyDescent="0.3">
      <c r="A31" s="153" t="s">
        <v>276</v>
      </c>
      <c r="B31" s="157">
        <f>'Summary YTD 06.30.18'!B60</f>
        <v>738820.29</v>
      </c>
      <c r="C31" s="157">
        <f>'Summary YTD 06.30.18'!C60</f>
        <v>2233.87</v>
      </c>
      <c r="D31" s="157">
        <f>'Summary YTD 06.30.18'!D60</f>
        <v>62530.3</v>
      </c>
      <c r="E31" s="157">
        <f>'Summary YTD 06.30.18'!E60</f>
        <v>0</v>
      </c>
      <c r="F31" s="157">
        <f>'Summary YTD 06.30.18'!F60</f>
        <v>56292.94</v>
      </c>
      <c r="G31" s="157">
        <f>'Summary YTD 06.30.18'!G60</f>
        <v>55507.62000000001</v>
      </c>
      <c r="H31" s="157">
        <f>'Summary YTD 06.30.18'!H60</f>
        <v>88198.56</v>
      </c>
      <c r="I31" s="157">
        <f t="shared" si="5"/>
        <v>1003583.5800000001</v>
      </c>
      <c r="L31" s="155"/>
    </row>
    <row r="32" spans="1:12" s="153" customFormat="1" ht="30" customHeight="1" x14ac:dyDescent="0.3">
      <c r="A32" s="153" t="s">
        <v>275</v>
      </c>
      <c r="B32" s="157">
        <f>'Summary YTD 06.30.18'!B59</f>
        <v>1999.9799999999998</v>
      </c>
      <c r="C32" s="157">
        <f>'Summary YTD 06.30.18'!C59</f>
        <v>0</v>
      </c>
      <c r="D32" s="157">
        <f>'Summary YTD 06.30.18'!D59</f>
        <v>0</v>
      </c>
      <c r="E32" s="157">
        <f>'Summary YTD 06.30.18'!E59</f>
        <v>0</v>
      </c>
      <c r="F32" s="157">
        <f>'Summary YTD 06.30.18'!F59</f>
        <v>0</v>
      </c>
      <c r="G32" s="157">
        <f>'Summary YTD 06.30.18'!G59</f>
        <v>0</v>
      </c>
      <c r="H32" s="157">
        <f>'Summary YTD 06.30.18'!H59</f>
        <v>0</v>
      </c>
      <c r="I32" s="157">
        <f t="shared" si="5"/>
        <v>1999.9799999999998</v>
      </c>
      <c r="L32" s="155"/>
    </row>
    <row r="33" spans="1:12" s="153" customFormat="1" ht="30" customHeight="1" x14ac:dyDescent="0.3">
      <c r="A33" s="153" t="s">
        <v>286</v>
      </c>
      <c r="B33" s="157">
        <f>'Summary YTD 06.30.18'!B61</f>
        <v>976.74</v>
      </c>
      <c r="C33" s="157">
        <f>'Summary YTD 06.30.18'!C61</f>
        <v>0</v>
      </c>
      <c r="D33" s="157">
        <f>'Summary YTD 06.30.18'!D61</f>
        <v>0</v>
      </c>
      <c r="E33" s="157">
        <f>'Summary YTD 06.30.18'!E61</f>
        <v>0</v>
      </c>
      <c r="F33" s="157">
        <f>'Summary YTD 06.30.18'!F61</f>
        <v>0</v>
      </c>
      <c r="G33" s="157">
        <f>'Summary YTD 06.30.18'!G61</f>
        <v>0</v>
      </c>
      <c r="H33" s="157">
        <f>'Summary YTD 06.30.18'!H61</f>
        <v>0</v>
      </c>
      <c r="I33" s="157">
        <f t="shared" si="5"/>
        <v>976.74</v>
      </c>
      <c r="L33" s="155"/>
    </row>
    <row r="34" spans="1:12" s="153" customFormat="1" ht="30" customHeight="1" x14ac:dyDescent="0.3">
      <c r="A34" s="153" t="s">
        <v>280</v>
      </c>
      <c r="B34" s="157">
        <f>'Summary YTD 06.30.18'!B63</f>
        <v>88523.219999999987</v>
      </c>
      <c r="C34" s="157">
        <f>'Summary YTD 06.30.18'!C63</f>
        <v>0</v>
      </c>
      <c r="D34" s="157">
        <f>'Summary YTD 06.30.18'!D63</f>
        <v>44064.959999999999</v>
      </c>
      <c r="E34" s="157">
        <f>'Summary YTD 06.30.18'!E63</f>
        <v>0</v>
      </c>
      <c r="F34" s="157">
        <f>'Summary YTD 06.30.18'!F63</f>
        <v>0</v>
      </c>
      <c r="G34" s="157">
        <f>'Summary YTD 06.30.18'!G63</f>
        <v>0</v>
      </c>
      <c r="H34" s="157">
        <f>'Summary YTD 06.30.18'!H63</f>
        <v>0</v>
      </c>
      <c r="I34" s="157">
        <f t="shared" si="5"/>
        <v>132588.18</v>
      </c>
      <c r="L34" s="155"/>
    </row>
    <row r="35" spans="1:12" s="153" customFormat="1" ht="30" customHeight="1" x14ac:dyDescent="0.3">
      <c r="A35" s="153" t="s">
        <v>447</v>
      </c>
      <c r="B35" s="157">
        <f>'Summary YTD 06.30.18'!B62+'Summary YTD 06.30.18'!B64+'Summary YTD 06.30.18'!B65</f>
        <v>25496.579999999998</v>
      </c>
      <c r="C35" s="157">
        <f>'Summary YTD 06.30.18'!C62+'Summary YTD 06.30.18'!C64+'Summary YTD 06.30.18'!C65</f>
        <v>2691.3</v>
      </c>
      <c r="D35" s="157">
        <f>'Summary YTD 06.30.18'!D62+'Summary YTD 06.30.18'!D64+'Summary YTD 06.30.18'!D65</f>
        <v>19275.219999999998</v>
      </c>
      <c r="E35" s="157">
        <f>'Summary YTD 06.30.18'!E62+'Summary YTD 06.30.18'!E64+'Summary YTD 06.30.18'!E65</f>
        <v>0</v>
      </c>
      <c r="F35" s="157">
        <f>'Summary YTD 06.30.18'!F62+'Summary YTD 06.30.18'!F64+'Summary YTD 06.30.18'!F65</f>
        <v>5939.55</v>
      </c>
      <c r="G35" s="157">
        <f>'Summary YTD 06.30.18'!G62+'Summary YTD 06.30.18'!G64+'Summary YTD 06.30.18'!G65</f>
        <v>0</v>
      </c>
      <c r="H35" s="157">
        <f>'Summary YTD 06.30.18'!H62+'Summary YTD 06.30.18'!H64+'Summary YTD 06.30.18'!H65</f>
        <v>0</v>
      </c>
      <c r="I35" s="157">
        <f t="shared" si="5"/>
        <v>53402.649999999994</v>
      </c>
      <c r="L35" s="155"/>
    </row>
    <row r="36" spans="1:12" s="153" customFormat="1" ht="30" customHeight="1" x14ac:dyDescent="0.3">
      <c r="A36" s="156" t="s">
        <v>281</v>
      </c>
      <c r="B36" s="158">
        <f t="shared" ref="B36:H36" si="7">SUM(B22:B35)</f>
        <v>1276118.3500000001</v>
      </c>
      <c r="C36" s="158">
        <f t="shared" si="7"/>
        <v>6665.79</v>
      </c>
      <c r="D36" s="158">
        <f t="shared" si="7"/>
        <v>558398.41</v>
      </c>
      <c r="E36" s="158">
        <f t="shared" si="7"/>
        <v>0</v>
      </c>
      <c r="F36" s="158">
        <f t="shared" si="7"/>
        <v>175501.44999999998</v>
      </c>
      <c r="G36" s="158">
        <f t="shared" si="7"/>
        <v>56027.62000000001</v>
      </c>
      <c r="H36" s="158">
        <f t="shared" si="7"/>
        <v>88718.56</v>
      </c>
      <c r="I36" s="158">
        <f>SUM(B36:H36)</f>
        <v>2161430.1800000002</v>
      </c>
      <c r="L36" s="155"/>
    </row>
    <row r="37" spans="1:12" s="153" customFormat="1" ht="30" customHeight="1" x14ac:dyDescent="0.3">
      <c r="B37" s="157"/>
      <c r="C37" s="157"/>
      <c r="D37" s="157"/>
      <c r="E37" s="157"/>
      <c r="F37" s="157"/>
      <c r="G37" s="157"/>
      <c r="H37" s="157"/>
      <c r="I37" s="157">
        <f>SUM(B37:F37)</f>
        <v>0</v>
      </c>
      <c r="L37" s="155"/>
    </row>
    <row r="38" spans="1:12" s="153" customFormat="1" ht="30" customHeight="1" x14ac:dyDescent="0.3">
      <c r="A38" s="156" t="s">
        <v>282</v>
      </c>
      <c r="B38" s="157"/>
      <c r="C38" s="157"/>
      <c r="D38" s="157"/>
      <c r="E38" s="157"/>
      <c r="F38" s="157"/>
      <c r="G38" s="157"/>
      <c r="H38" s="157"/>
      <c r="I38" s="157">
        <f>SUM(B38:F38)</f>
        <v>0</v>
      </c>
      <c r="L38" s="155"/>
    </row>
    <row r="39" spans="1:12" s="153" customFormat="1" ht="30" customHeight="1" x14ac:dyDescent="0.3">
      <c r="A39" s="153" t="s">
        <v>283</v>
      </c>
      <c r="B39" s="157">
        <f>'Summary YTD 06.30.18'!B69</f>
        <v>5487.78</v>
      </c>
      <c r="C39" s="157">
        <f>'Summary YTD 06.30.18'!C69</f>
        <v>0</v>
      </c>
      <c r="D39" s="157">
        <f>'Summary YTD 06.30.18'!D69</f>
        <v>983.99</v>
      </c>
      <c r="E39" s="157">
        <f>'Summary YTD 06.30.18'!E69</f>
        <v>0</v>
      </c>
      <c r="F39" s="157">
        <f>'Summary YTD 06.30.18'!F69</f>
        <v>2229.16</v>
      </c>
      <c r="G39" s="157">
        <f>'Summary YTD 06.30.18'!G69</f>
        <v>0</v>
      </c>
      <c r="H39" s="157">
        <f>'Summary YTD 06.30.18'!H69</f>
        <v>0</v>
      </c>
      <c r="I39" s="157">
        <f>SUM(B39:H39)</f>
        <v>8700.93</v>
      </c>
      <c r="L39" s="155"/>
    </row>
    <row r="40" spans="1:12" s="153" customFormat="1" ht="30" customHeight="1" x14ac:dyDescent="0.3">
      <c r="A40" s="153" t="s">
        <v>284</v>
      </c>
      <c r="B40" s="157">
        <f>'Summary YTD 06.30.18'!B70</f>
        <v>58251.789999999994</v>
      </c>
      <c r="C40" s="157">
        <f>'Summary YTD 06.30.18'!C70</f>
        <v>4505.09</v>
      </c>
      <c r="D40" s="157">
        <f>'Summary YTD 06.30.18'!D70</f>
        <v>4325.3</v>
      </c>
      <c r="E40" s="157">
        <f>'Summary YTD 06.30.18'!E70</f>
        <v>1276.94</v>
      </c>
      <c r="F40" s="157">
        <f>'Summary YTD 06.30.18'!F70</f>
        <v>2462.0699999999997</v>
      </c>
      <c r="G40" s="157">
        <f>'Summary YTD 06.30.18'!G70</f>
        <v>0</v>
      </c>
      <c r="H40" s="157">
        <f>'Summary YTD 06.30.18'!H70</f>
        <v>480.63</v>
      </c>
      <c r="I40" s="157">
        <f t="shared" ref="I40:I50" si="8">SUM(B40:H40)</f>
        <v>71301.820000000007</v>
      </c>
      <c r="L40" s="155"/>
    </row>
    <row r="41" spans="1:12" s="153" customFormat="1" ht="30" customHeight="1" x14ac:dyDescent="0.3">
      <c r="A41" s="153" t="s">
        <v>396</v>
      </c>
      <c r="B41" s="157">
        <f>'Summary YTD 06.30.18'!B71</f>
        <v>0</v>
      </c>
      <c r="C41" s="157">
        <f>'Summary YTD 06.30.18'!C71</f>
        <v>0</v>
      </c>
      <c r="D41" s="157">
        <f>'Summary YTD 06.30.18'!D71</f>
        <v>0</v>
      </c>
      <c r="E41" s="157">
        <f>'Summary YTD 06.30.18'!E71</f>
        <v>0</v>
      </c>
      <c r="F41" s="157">
        <f>'Summary YTD 06.30.18'!F71</f>
        <v>2725.63</v>
      </c>
      <c r="G41" s="157">
        <f>'Summary YTD 06.30.18'!G71</f>
        <v>0</v>
      </c>
      <c r="H41" s="157">
        <f>'Summary YTD 06.30.18'!H71</f>
        <v>0</v>
      </c>
      <c r="I41" s="157">
        <f t="shared" si="8"/>
        <v>2725.63</v>
      </c>
      <c r="L41" s="155"/>
    </row>
    <row r="42" spans="1:12" s="153" customFormat="1" ht="30" customHeight="1" x14ac:dyDescent="0.3">
      <c r="A42" s="153" t="s">
        <v>285</v>
      </c>
      <c r="B42" s="157">
        <f>'Summary YTD 06.30.18'!B72</f>
        <v>3728.73</v>
      </c>
      <c r="C42" s="157">
        <f>'Summary YTD 06.30.18'!C72</f>
        <v>0</v>
      </c>
      <c r="D42" s="157">
        <f>'Summary YTD 06.30.18'!D72</f>
        <v>0</v>
      </c>
      <c r="E42" s="157">
        <f>'Summary YTD 06.30.18'!E72</f>
        <v>109</v>
      </c>
      <c r="F42" s="157">
        <f>'Summary YTD 06.30.18'!F72</f>
        <v>975.56000000000006</v>
      </c>
      <c r="G42" s="157">
        <f>'Summary YTD 06.30.18'!G72</f>
        <v>0</v>
      </c>
      <c r="H42" s="157">
        <f>'Summary YTD 06.30.18'!H72</f>
        <v>0</v>
      </c>
      <c r="I42" s="157">
        <f t="shared" si="8"/>
        <v>4813.29</v>
      </c>
      <c r="L42" s="155"/>
    </row>
    <row r="43" spans="1:12" s="153" customFormat="1" ht="30" customHeight="1" x14ac:dyDescent="0.3">
      <c r="A43" s="153" t="s">
        <v>483</v>
      </c>
      <c r="B43" s="157">
        <f>'Summary YTD 06.30.18'!B73+'Summary YTD 06.30.18'!B74+'Summary YTD 06.30.18'!B75+'Summary YTD 06.30.18'!B76+'Summary YTD 06.30.18'!B77</f>
        <v>261713.98</v>
      </c>
      <c r="C43" s="157">
        <f>'Summary YTD 06.30.18'!C73+'Summary YTD 06.30.18'!C74+'Summary YTD 06.30.18'!C75+'Summary YTD 06.30.18'!C76+'Summary YTD 06.30.18'!C77</f>
        <v>39500</v>
      </c>
      <c r="D43" s="157">
        <f>'Summary YTD 06.30.18'!D73+'Summary YTD 06.30.18'!D74+'Summary YTD 06.30.18'!D75+'Summary YTD 06.30.18'!D76+'Summary YTD 06.30.18'!D77</f>
        <v>41348.450000000004</v>
      </c>
      <c r="E43" s="157">
        <f>'Summary YTD 06.30.18'!E73+'Summary YTD 06.30.18'!E74+'Summary YTD 06.30.18'!E75+'Summary YTD 06.30.18'!E76+'Summary YTD 06.30.18'!E77</f>
        <v>2770</v>
      </c>
      <c r="F43" s="157">
        <f>'Summary YTD 06.30.18'!F73+'Summary YTD 06.30.18'!F74+'Summary YTD 06.30.18'!F75+'Summary YTD 06.30.18'!F76+'Summary YTD 06.30.18'!F77</f>
        <v>12125</v>
      </c>
      <c r="G43" s="157">
        <f>'Summary YTD 06.30.18'!G73+'Summary YTD 06.30.18'!G74+'Summary YTD 06.30.18'!G75+'Summary YTD 06.30.18'!G76+'Summary YTD 06.30.18'!G77</f>
        <v>1590</v>
      </c>
      <c r="H43" s="157">
        <f>'Summary YTD 06.30.18'!H73+'Summary YTD 06.30.18'!H74+'Summary YTD 06.30.18'!H75+'Summary YTD 06.30.18'!H76+'Summary YTD 06.30.18'!H77</f>
        <v>0</v>
      </c>
      <c r="I43" s="157">
        <f t="shared" si="8"/>
        <v>359047.43</v>
      </c>
      <c r="L43" s="155"/>
    </row>
    <row r="44" spans="1:12" s="153" customFormat="1" ht="30" customHeight="1" x14ac:dyDescent="0.3">
      <c r="A44" s="153" t="s">
        <v>287</v>
      </c>
      <c r="B44" s="157">
        <f>'Summary YTD 06.30.18'!B78</f>
        <v>21230.010000000002</v>
      </c>
      <c r="C44" s="157">
        <f>'Summary YTD 06.30.18'!C78</f>
        <v>0</v>
      </c>
      <c r="D44" s="157">
        <f>'Summary YTD 06.30.18'!D78</f>
        <v>1250</v>
      </c>
      <c r="E44" s="157">
        <f>'Summary YTD 06.30.18'!E78</f>
        <v>0</v>
      </c>
      <c r="F44" s="157">
        <f>'Summary YTD 06.30.18'!F78</f>
        <v>929.66999999999985</v>
      </c>
      <c r="G44" s="157">
        <f>'Summary YTD 06.30.18'!G78</f>
        <v>0</v>
      </c>
      <c r="H44" s="157">
        <f>'Summary YTD 06.30.18'!H78</f>
        <v>0</v>
      </c>
      <c r="I44" s="157">
        <f t="shared" si="8"/>
        <v>23409.68</v>
      </c>
      <c r="L44" s="155"/>
    </row>
    <row r="45" spans="1:12" s="153" customFormat="1" ht="30" customHeight="1" x14ac:dyDescent="0.3">
      <c r="A45" s="153" t="s">
        <v>288</v>
      </c>
      <c r="B45" s="157">
        <f>'Summary YTD 06.30.18'!B79</f>
        <v>20832.629999999997</v>
      </c>
      <c r="C45" s="157">
        <f>'Summary YTD 06.30.18'!C79</f>
        <v>687.49</v>
      </c>
      <c r="D45" s="157">
        <f>'Summary YTD 06.30.18'!D79</f>
        <v>1227.5</v>
      </c>
      <c r="E45" s="157">
        <f>'Summary YTD 06.30.18'!E79</f>
        <v>0</v>
      </c>
      <c r="F45" s="157">
        <f>'Summary YTD 06.30.18'!F79</f>
        <v>642</v>
      </c>
      <c r="G45" s="157">
        <f>'Summary YTD 06.30.18'!G79</f>
        <v>0</v>
      </c>
      <c r="H45" s="157">
        <f>'Summary YTD 06.30.18'!H79</f>
        <v>0</v>
      </c>
      <c r="I45" s="157">
        <f t="shared" si="8"/>
        <v>23389.62</v>
      </c>
      <c r="L45" s="155"/>
    </row>
    <row r="46" spans="1:12" s="153" customFormat="1" ht="30" customHeight="1" x14ac:dyDescent="0.3">
      <c r="A46" s="153" t="s">
        <v>289</v>
      </c>
      <c r="B46" s="157">
        <f>'Summary YTD 06.30.18'!B80</f>
        <v>16766.82</v>
      </c>
      <c r="C46" s="157">
        <f>'Summary YTD 06.30.18'!C80</f>
        <v>0</v>
      </c>
      <c r="D46" s="157">
        <f>'Summary YTD 06.30.18'!D80</f>
        <v>0</v>
      </c>
      <c r="E46" s="157">
        <f>'Summary YTD 06.30.18'!E80</f>
        <v>0</v>
      </c>
      <c r="F46" s="157">
        <f>'Summary YTD 06.30.18'!F80</f>
        <v>0</v>
      </c>
      <c r="G46" s="157">
        <f>'Summary YTD 06.30.18'!G80</f>
        <v>0</v>
      </c>
      <c r="H46" s="157">
        <f>'Summary YTD 06.30.18'!H80</f>
        <v>0</v>
      </c>
      <c r="I46" s="157">
        <f t="shared" si="8"/>
        <v>16766.82</v>
      </c>
      <c r="L46" s="155"/>
    </row>
    <row r="47" spans="1:12" s="153" customFormat="1" ht="30" customHeight="1" x14ac:dyDescent="0.3">
      <c r="A47" s="153" t="s">
        <v>326</v>
      </c>
      <c r="B47" s="157">
        <f>'Summary YTD 06.30.18'!B81</f>
        <v>0</v>
      </c>
      <c r="C47" s="157">
        <f>'Summary YTD 06.30.18'!C81</f>
        <v>0</v>
      </c>
      <c r="D47" s="157">
        <f>'Summary YTD 06.30.18'!D81</f>
        <v>300</v>
      </c>
      <c r="E47" s="157">
        <f>'Summary YTD 06.30.18'!E81</f>
        <v>0</v>
      </c>
      <c r="F47" s="157">
        <f>'Summary YTD 06.30.18'!F81</f>
        <v>1600</v>
      </c>
      <c r="G47" s="157">
        <f>'Summary YTD 06.30.18'!G81</f>
        <v>0</v>
      </c>
      <c r="H47" s="157">
        <f>'Summary YTD 06.30.18'!H81</f>
        <v>0</v>
      </c>
      <c r="I47" s="157">
        <f t="shared" si="8"/>
        <v>1900</v>
      </c>
      <c r="L47" s="155"/>
    </row>
    <row r="48" spans="1:12" s="153" customFormat="1" ht="30" customHeight="1" x14ac:dyDescent="0.3">
      <c r="A48" s="153" t="s">
        <v>411</v>
      </c>
      <c r="B48" s="157">
        <f>'Summary YTD 06.30.18'!B82</f>
        <v>234.03</v>
      </c>
      <c r="C48" s="157">
        <v>0</v>
      </c>
      <c r="D48" s="157">
        <v>0</v>
      </c>
      <c r="E48" s="157">
        <v>0</v>
      </c>
      <c r="F48" s="157">
        <f>'BSC (Dome)'!H64</f>
        <v>10329.9</v>
      </c>
      <c r="G48" s="157">
        <v>0</v>
      </c>
      <c r="H48" s="157">
        <f>'BSC (Dome)'!I64</f>
        <v>0</v>
      </c>
      <c r="I48" s="157">
        <f t="shared" si="8"/>
        <v>10563.93</v>
      </c>
      <c r="L48" s="155"/>
    </row>
    <row r="49" spans="1:12" s="153" customFormat="1" ht="30" customHeight="1" x14ac:dyDescent="0.3">
      <c r="A49" s="153" t="s">
        <v>448</v>
      </c>
      <c r="B49" s="157">
        <f>'Summary YTD 06.30.18'!B83+'Summary YTD 06.30.18'!B84</f>
        <v>27874.84</v>
      </c>
      <c r="C49" s="157">
        <f>'Summary YTD 06.30.18'!C83+'Summary YTD 06.30.18'!C84</f>
        <v>0</v>
      </c>
      <c r="D49" s="157">
        <f>'Summary YTD 06.30.18'!D83+'Summary YTD 06.30.18'!D84</f>
        <v>0</v>
      </c>
      <c r="E49" s="157">
        <f>'Summary YTD 06.30.18'!E83+'Summary YTD 06.30.18'!E84</f>
        <v>0</v>
      </c>
      <c r="F49" s="157">
        <f>'Summary YTD 06.30.18'!F83+'Summary YTD 06.30.18'!F84</f>
        <v>0</v>
      </c>
      <c r="G49" s="157">
        <f>'Summary YTD 06.30.18'!G83+'Summary YTD 06.30.18'!G84</f>
        <v>0</v>
      </c>
      <c r="H49" s="157">
        <f>'Summary YTD 06.30.18'!H83+'Summary YTD 06.30.18'!H84</f>
        <v>0</v>
      </c>
      <c r="I49" s="157">
        <f t="shared" si="8"/>
        <v>27874.84</v>
      </c>
      <c r="L49" s="155"/>
    </row>
    <row r="50" spans="1:12" s="153" customFormat="1" ht="30" customHeight="1" x14ac:dyDescent="0.3">
      <c r="A50" s="153" t="s">
        <v>484</v>
      </c>
      <c r="B50" s="157">
        <f>'Summary YTD 06.30.18'!B85+'Summary YTD 06.30.18'!B86</f>
        <v>14748.37</v>
      </c>
      <c r="C50" s="157">
        <f>'Summary YTD 06.30.18'!C85+'Summary YTD 06.30.18'!C86</f>
        <v>0</v>
      </c>
      <c r="D50" s="157">
        <f>'Summary YTD 06.30.18'!D85+'Summary YTD 06.30.18'!D86</f>
        <v>0</v>
      </c>
      <c r="E50" s="157">
        <f>'Summary YTD 06.30.18'!E85+'Summary YTD 06.30.18'!E86</f>
        <v>0</v>
      </c>
      <c r="F50" s="157">
        <f>'Summary YTD 06.30.18'!F85+'Summary YTD 06.30.18'!F86</f>
        <v>0</v>
      </c>
      <c r="G50" s="157">
        <f>'Summary YTD 06.30.18'!G85+'Summary YTD 06.30.18'!G86</f>
        <v>0</v>
      </c>
      <c r="H50" s="157">
        <f>'Summary YTD 06.30.18'!H85+'Summary YTD 06.30.18'!H86</f>
        <v>0</v>
      </c>
      <c r="I50" s="157">
        <f t="shared" si="8"/>
        <v>14748.37</v>
      </c>
      <c r="L50" s="155"/>
    </row>
    <row r="51" spans="1:12" s="153" customFormat="1" ht="30" customHeight="1" x14ac:dyDescent="0.3">
      <c r="A51" s="156" t="s">
        <v>295</v>
      </c>
      <c r="B51" s="158">
        <f t="shared" ref="B51:H51" si="9">SUM(B39:B50)</f>
        <v>430868.9800000001</v>
      </c>
      <c r="C51" s="158">
        <f t="shared" si="9"/>
        <v>44692.579999999994</v>
      </c>
      <c r="D51" s="158">
        <f t="shared" si="9"/>
        <v>49435.240000000005</v>
      </c>
      <c r="E51" s="158">
        <f t="shared" si="9"/>
        <v>4155.9400000000005</v>
      </c>
      <c r="F51" s="158">
        <f t="shared" si="9"/>
        <v>34018.99</v>
      </c>
      <c r="G51" s="158">
        <f t="shared" si="9"/>
        <v>1590</v>
      </c>
      <c r="H51" s="158">
        <f t="shared" si="9"/>
        <v>480.63</v>
      </c>
      <c r="I51" s="158">
        <f>SUM(B51:H51)</f>
        <v>565242.3600000001</v>
      </c>
      <c r="L51" s="155"/>
    </row>
    <row r="52" spans="1:12" s="153" customFormat="1" ht="30" customHeight="1" x14ac:dyDescent="0.3">
      <c r="B52" s="157"/>
      <c r="C52" s="157"/>
      <c r="D52" s="157"/>
      <c r="E52" s="157"/>
      <c r="F52" s="157"/>
      <c r="G52" s="157"/>
      <c r="H52" s="157"/>
      <c r="I52" s="157">
        <f>SUM(B52:F52)</f>
        <v>0</v>
      </c>
      <c r="L52" s="155"/>
    </row>
    <row r="53" spans="1:12" s="153" customFormat="1" ht="30" customHeight="1" thickBot="1" x14ac:dyDescent="0.35">
      <c r="A53" s="156" t="s">
        <v>296</v>
      </c>
      <c r="B53" s="159">
        <f t="shared" ref="B53:H53" si="10">B19+B36+B51</f>
        <v>4008905.69</v>
      </c>
      <c r="C53" s="159">
        <f t="shared" si="10"/>
        <v>51358.369999999995</v>
      </c>
      <c r="D53" s="159">
        <f t="shared" si="10"/>
        <v>688487.73</v>
      </c>
      <c r="E53" s="159">
        <f t="shared" si="10"/>
        <v>4155.9400000000005</v>
      </c>
      <c r="F53" s="159">
        <f t="shared" si="10"/>
        <v>435602.82999999996</v>
      </c>
      <c r="G53" s="159">
        <f t="shared" ref="G53" si="11">G19+G36+G51</f>
        <v>57617.62000000001</v>
      </c>
      <c r="H53" s="159">
        <f t="shared" si="10"/>
        <v>89199.19</v>
      </c>
      <c r="I53" s="159">
        <f>SUM(B53:H53)</f>
        <v>5335327.370000001</v>
      </c>
      <c r="L53" s="155"/>
    </row>
    <row r="54" spans="1:12" s="153" customFormat="1" ht="30" customHeight="1" x14ac:dyDescent="0.3">
      <c r="B54" s="157"/>
      <c r="C54" s="157"/>
      <c r="D54" s="157"/>
      <c r="E54" s="157"/>
      <c r="F54" s="157"/>
      <c r="G54" s="157"/>
      <c r="H54" s="157"/>
      <c r="I54" s="157"/>
      <c r="L54" s="155"/>
    </row>
    <row r="55" spans="1:12" s="153" customFormat="1" ht="30" customHeight="1" x14ac:dyDescent="0.3">
      <c r="A55" s="156" t="s">
        <v>485</v>
      </c>
      <c r="B55" s="157"/>
      <c r="C55" s="157"/>
      <c r="D55" s="157"/>
      <c r="E55" s="157"/>
      <c r="F55" s="157"/>
      <c r="G55" s="157"/>
      <c r="H55" s="157"/>
      <c r="I55" s="157"/>
      <c r="L55" s="155"/>
    </row>
    <row r="56" spans="1:12" s="153" customFormat="1" ht="30" customHeight="1" x14ac:dyDescent="0.3">
      <c r="A56" s="153" t="s">
        <v>299</v>
      </c>
      <c r="B56" s="157">
        <f>'Summary YTD 06.30.18'!B92</f>
        <v>75000</v>
      </c>
      <c r="C56" s="157">
        <v>0</v>
      </c>
      <c r="D56" s="157">
        <f>DEP!H71</f>
        <v>75000</v>
      </c>
      <c r="E56" s="157">
        <v>0</v>
      </c>
      <c r="F56" s="157">
        <f>'BSC (Dome)'!H75+'BSC (Dome)'!H76</f>
        <v>34000</v>
      </c>
      <c r="G56" s="157">
        <f>'Summary YTD 06.30.18'!G92</f>
        <v>106200</v>
      </c>
      <c r="H56" s="157">
        <v>0</v>
      </c>
      <c r="I56" s="157">
        <f>SUM(B56:H56)</f>
        <v>290200</v>
      </c>
      <c r="L56" s="155"/>
    </row>
    <row r="57" spans="1:12" s="153" customFormat="1" ht="30" customHeight="1" x14ac:dyDescent="0.3">
      <c r="A57" s="153" t="s">
        <v>304</v>
      </c>
      <c r="B57" s="157">
        <f>'Summary YTD 06.30.18'!B93+'Summary YTD 06.30.18'!B95+'Summary YTD 06.30.18'!B96+'Summary YTD 06.30.18'!B99+'Summary YTD 06.30.18'!B100+'Summary YTD 06.30.18'!B103+'Summary YTD 06.30.18'!B101+'Summary YTD 06.30.18'!B102</f>
        <v>357465.55999999994</v>
      </c>
      <c r="C57" s="157">
        <v>0</v>
      </c>
      <c r="D57" s="157">
        <f>'Summary YTD 06.30.18'!D93+'Summary YTD 06.30.18'!D95+'Summary YTD 06.30.18'!D96+'Summary YTD 06.30.18'!D99+'Summary YTD 06.30.18'!D100+'Summary YTD 06.30.18'!D103</f>
        <v>0</v>
      </c>
      <c r="E57" s="157">
        <f>'Summary YTD 06.30.18'!E93+'Summary YTD 06.30.18'!E95+'Summary YTD 06.30.18'!E96+'Summary YTD 06.30.18'!E99+'Summary YTD 06.30.18'!E100+'Summary YTD 06.30.18'!E103</f>
        <v>0</v>
      </c>
      <c r="F57" s="157">
        <f>'Summary YTD 06.30.18'!F93+'Summary YTD 06.30.18'!F95+'Summary YTD 06.30.18'!F96+'Summary YTD 06.30.18'!F99+'Summary YTD 06.30.18'!F100+'Summary YTD 06.30.18'!F103</f>
        <v>1833.08</v>
      </c>
      <c r="G57" s="157">
        <f>'Summary YTD 06.30.18'!G99</f>
        <v>1.01</v>
      </c>
      <c r="H57" s="157">
        <v>0</v>
      </c>
      <c r="I57" s="157">
        <f t="shared" ref="I57:I60" si="12">SUM(B57:H57)</f>
        <v>359299.64999999997</v>
      </c>
      <c r="L57" s="155"/>
    </row>
    <row r="58" spans="1:12" s="153" customFormat="1" ht="30" customHeight="1" x14ac:dyDescent="0.3">
      <c r="A58" s="153" t="s">
        <v>302</v>
      </c>
      <c r="B58" s="157">
        <f>'Summary YTD 06.30.18'!B97</f>
        <v>137162.19</v>
      </c>
      <c r="C58" s="157">
        <f>'Summary YTD 06.30.18'!C97</f>
        <v>6253.0599999999995</v>
      </c>
      <c r="D58" s="157">
        <f>'Summary YTD 06.30.18'!D97</f>
        <v>15457.72</v>
      </c>
      <c r="E58" s="157">
        <f>'Summary YTD 06.30.18'!E97</f>
        <v>21448.98</v>
      </c>
      <c r="F58" s="157">
        <f>'Summary YTD 06.30.18'!F97</f>
        <v>0</v>
      </c>
      <c r="G58" s="157">
        <f>'Summary YTD 06.30.18'!G97</f>
        <v>21880.090000000004</v>
      </c>
      <c r="H58" s="157">
        <v>0</v>
      </c>
      <c r="I58" s="157">
        <f t="shared" si="12"/>
        <v>202202.04</v>
      </c>
      <c r="L58" s="155"/>
    </row>
    <row r="59" spans="1:12" s="153" customFormat="1" ht="30" customHeight="1" x14ac:dyDescent="0.3">
      <c r="A59" s="153" t="s">
        <v>303</v>
      </c>
      <c r="B59" s="157">
        <f>'Summary YTD 06.30.18'!B98</f>
        <v>-92778.459999999992</v>
      </c>
      <c r="C59" s="157">
        <f>'Summary YTD 06.30.18'!C98</f>
        <v>0</v>
      </c>
      <c r="D59" s="157">
        <f>'Summary YTD 06.30.18'!D98</f>
        <v>0</v>
      </c>
      <c r="E59" s="157">
        <f>'Summary YTD 06.30.18'!E98</f>
        <v>-3334.5099999999998</v>
      </c>
      <c r="F59" s="157">
        <f>'Summary YTD 06.30.18'!F98</f>
        <v>-58232.350000000006</v>
      </c>
      <c r="G59" s="157">
        <f>'Summary YTD 06.30.18'!G98</f>
        <v>-5165.58</v>
      </c>
      <c r="H59" s="157">
        <v>0</v>
      </c>
      <c r="I59" s="157">
        <f t="shared" si="12"/>
        <v>-159510.9</v>
      </c>
      <c r="L59" s="155"/>
    </row>
    <row r="60" spans="1:12" s="153" customFormat="1" ht="30" customHeight="1" x14ac:dyDescent="0.3">
      <c r="A60" s="153" t="s">
        <v>449</v>
      </c>
      <c r="B60" s="157">
        <f>'Summary YTD 06.30.18'!B94</f>
        <v>0</v>
      </c>
      <c r="C60" s="157">
        <f>'Summary YTD 06.30.18'!C94+'Summary YTD 06.30.18'!C95</f>
        <v>-244432.94</v>
      </c>
      <c r="D60" s="157">
        <f>'Summary YTD 06.30.18'!D94</f>
        <v>0</v>
      </c>
      <c r="E60" s="157">
        <f>'Summary YTD 06.30.18'!E94</f>
        <v>0</v>
      </c>
      <c r="F60" s="157">
        <f>'Summary YTD 06.30.18'!F94</f>
        <v>0</v>
      </c>
      <c r="G60" s="157">
        <f>'Summary YTD 06.30.18'!G94</f>
        <v>0</v>
      </c>
      <c r="H60" s="157">
        <v>0</v>
      </c>
      <c r="I60" s="157">
        <f t="shared" si="12"/>
        <v>-244432.94</v>
      </c>
      <c r="L60" s="155"/>
    </row>
    <row r="61" spans="1:12" s="153" customFormat="1" ht="30" customHeight="1" x14ac:dyDescent="0.3">
      <c r="A61" s="156" t="s">
        <v>486</v>
      </c>
      <c r="B61" s="158">
        <f t="shared" ref="B61:H61" si="13">SUM(B56:B60)</f>
        <v>476849.29000000004</v>
      </c>
      <c r="C61" s="158">
        <f t="shared" si="13"/>
        <v>-238179.88</v>
      </c>
      <c r="D61" s="158">
        <f t="shared" si="13"/>
        <v>90457.72</v>
      </c>
      <c r="E61" s="158">
        <f t="shared" si="13"/>
        <v>18114.47</v>
      </c>
      <c r="F61" s="158">
        <f t="shared" si="13"/>
        <v>-22399.270000000004</v>
      </c>
      <c r="G61" s="158">
        <f t="shared" si="13"/>
        <v>122915.52</v>
      </c>
      <c r="H61" s="158">
        <f t="shared" si="13"/>
        <v>0</v>
      </c>
      <c r="I61" s="158">
        <f>SUM(B61:H61)</f>
        <v>447757.85</v>
      </c>
      <c r="L61" s="155"/>
    </row>
    <row r="62" spans="1:12" s="153" customFormat="1" ht="30" customHeight="1" x14ac:dyDescent="0.3">
      <c r="A62" s="156"/>
      <c r="B62" s="157"/>
      <c r="C62" s="157"/>
      <c r="D62" s="157"/>
      <c r="E62" s="157"/>
      <c r="F62" s="157"/>
      <c r="G62" s="157"/>
      <c r="H62" s="157"/>
      <c r="I62" s="157">
        <f>SUM(B62:F62)</f>
        <v>0</v>
      </c>
      <c r="L62" s="155"/>
    </row>
    <row r="63" spans="1:12" s="153" customFormat="1" ht="30" customHeight="1" thickBot="1" x14ac:dyDescent="0.35">
      <c r="A63" s="156" t="s">
        <v>298</v>
      </c>
      <c r="B63" s="160">
        <f t="shared" ref="B63:H63" si="14">B11-B53+B61</f>
        <v>-43518.600001239683</v>
      </c>
      <c r="C63" s="160">
        <f t="shared" si="14"/>
        <v>252410.66999999434</v>
      </c>
      <c r="D63" s="160">
        <f t="shared" si="14"/>
        <v>387722.48</v>
      </c>
      <c r="E63" s="160">
        <f t="shared" si="14"/>
        <v>13958.53</v>
      </c>
      <c r="F63" s="160">
        <f t="shared" si="14"/>
        <v>60034.920000000115</v>
      </c>
      <c r="G63" s="160">
        <f t="shared" ref="G63" si="15">G11-G53+G61</f>
        <v>65297.899999999994</v>
      </c>
      <c r="H63" s="160">
        <f t="shared" si="14"/>
        <v>-89199.19</v>
      </c>
      <c r="I63" s="160">
        <f>SUM(B63:H63)</f>
        <v>646706.70999875478</v>
      </c>
      <c r="L63" s="155"/>
    </row>
    <row r="64" spans="1:12" ht="15.75" thickTop="1" x14ac:dyDescent="0.25">
      <c r="B64" s="124"/>
      <c r="C64" s="124"/>
      <c r="D64" s="124"/>
      <c r="E64" s="124"/>
      <c r="F64" s="124"/>
      <c r="G64" s="124"/>
      <c r="H64" s="124"/>
      <c r="I64" s="124"/>
    </row>
    <row r="66" spans="1:12" x14ac:dyDescent="0.25">
      <c r="A66" t="s">
        <v>363</v>
      </c>
      <c r="B66" s="122">
        <v>-43518.6</v>
      </c>
      <c r="C66" s="175">
        <v>252410.67</v>
      </c>
      <c r="D66" s="175">
        <v>387722.48</v>
      </c>
      <c r="E66" s="175">
        <v>13958.53</v>
      </c>
      <c r="F66" s="175">
        <v>60034.92</v>
      </c>
      <c r="G66" s="175">
        <v>65297.9</v>
      </c>
      <c r="H66" s="175">
        <f>'Summary YTD 06.30.18'!H109</f>
        <v>-89199.19</v>
      </c>
      <c r="I66" s="124">
        <f>SUM(B66:H66)</f>
        <v>646706.7100000002</v>
      </c>
    </row>
    <row r="67" spans="1:12" x14ac:dyDescent="0.25">
      <c r="B67" s="122">
        <f>B63-B66</f>
        <v>-1.2396849342621863E-6</v>
      </c>
      <c r="C67" s="175">
        <f t="shared" ref="C67:D67" si="16">C63-C66</f>
        <v>-5.6752469390630722E-9</v>
      </c>
      <c r="D67" s="175">
        <f t="shared" si="16"/>
        <v>0</v>
      </c>
      <c r="E67" s="175">
        <f>E63-E66</f>
        <v>0</v>
      </c>
      <c r="F67" s="175">
        <f>F63-F66</f>
        <v>1.1641532182693481E-10</v>
      </c>
      <c r="G67" s="175">
        <f>G63-G66</f>
        <v>0</v>
      </c>
      <c r="H67" s="175">
        <f>H63-H66</f>
        <v>0</v>
      </c>
      <c r="I67" s="122">
        <f>I63-I66</f>
        <v>-1.2454111129045486E-6</v>
      </c>
    </row>
    <row r="68" spans="1:12" x14ac:dyDescent="0.25">
      <c r="B68" s="122"/>
      <c r="C68" s="122"/>
      <c r="D68" s="122"/>
      <c r="E68" s="122"/>
      <c r="I68" s="124"/>
    </row>
    <row r="69" spans="1:12" x14ac:dyDescent="0.25">
      <c r="B69" s="122"/>
      <c r="C69" s="122"/>
      <c r="D69" s="122"/>
      <c r="E69" s="122"/>
    </row>
    <row r="70" spans="1:12" x14ac:dyDescent="0.25">
      <c r="B70" s="122"/>
      <c r="C70" s="122"/>
      <c r="D70" s="122"/>
      <c r="E70" s="122"/>
    </row>
    <row r="71" spans="1:12" x14ac:dyDescent="0.25">
      <c r="B71" s="122"/>
      <c r="C71" s="122"/>
      <c r="D71" s="122"/>
      <c r="E71" s="122"/>
    </row>
    <row r="72" spans="1:12" s="120" customFormat="1" x14ac:dyDescent="0.25">
      <c r="A72"/>
      <c r="B72" s="122"/>
      <c r="C72" s="122"/>
      <c r="D72" s="122"/>
      <c r="E72" s="122"/>
      <c r="J72"/>
      <c r="K72"/>
      <c r="L72" s="83"/>
    </row>
    <row r="73" spans="1:12" s="120" customFormat="1" x14ac:dyDescent="0.25">
      <c r="A73"/>
      <c r="B73" s="122"/>
      <c r="C73" s="122"/>
      <c r="D73" s="122"/>
      <c r="E73" s="122"/>
      <c r="J73"/>
      <c r="K73"/>
      <c r="L73" s="83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1" manualBreakCount="1"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2711-355A-48AA-AA67-D407A5D3DFC6}">
  <sheetPr>
    <tabColor theme="9" tint="-0.249977111117893"/>
  </sheetPr>
  <dimension ref="A1:I30"/>
  <sheetViews>
    <sheetView view="pageBreakPreview" zoomScale="60" zoomScaleNormal="100" workbookViewId="0">
      <pane ySplit="6" topLeftCell="A7" activePane="bottomLeft" state="frozen"/>
      <selection activeCell="A16" sqref="A16"/>
      <selection pane="bottomLeft" activeCell="K32" sqref="K32"/>
    </sheetView>
  </sheetViews>
  <sheetFormatPr defaultRowHeight="15" x14ac:dyDescent="0.25"/>
  <cols>
    <col min="1" max="1" width="44.42578125" bestFit="1" customWidth="1"/>
    <col min="2" max="3" width="13" style="83" bestFit="1" customWidth="1"/>
    <col min="4" max="4" width="13.42578125" style="83" bestFit="1" customWidth="1"/>
    <col min="5" max="7" width="13" style="83" bestFit="1" customWidth="1"/>
    <col min="8" max="8" width="13.42578125" style="83" bestFit="1" customWidth="1"/>
    <col min="9" max="9" width="9.140625" style="83"/>
    <col min="10" max="10" width="9.5703125" bestFit="1" customWidth="1"/>
    <col min="12" max="12" width="11.5703125" bestFit="1" customWidth="1"/>
  </cols>
  <sheetData>
    <row r="1" spans="1:8" x14ac:dyDescent="0.25">
      <c r="A1" s="274" t="s">
        <v>451</v>
      </c>
      <c r="B1" s="274"/>
      <c r="C1" s="274"/>
      <c r="D1" s="274"/>
      <c r="E1" s="274"/>
      <c r="F1" s="274"/>
      <c r="G1" s="274"/>
      <c r="H1" s="274"/>
    </row>
    <row r="2" spans="1:8" x14ac:dyDescent="0.25">
      <c r="A2" s="274" t="s">
        <v>306</v>
      </c>
      <c r="B2" s="274"/>
      <c r="C2" s="274"/>
      <c r="D2" s="274"/>
      <c r="E2" s="274"/>
      <c r="F2" s="274"/>
      <c r="G2" s="274"/>
      <c r="H2" s="274"/>
    </row>
    <row r="3" spans="1:8" x14ac:dyDescent="0.25">
      <c r="A3" s="274">
        <v>2018</v>
      </c>
      <c r="B3" s="274"/>
      <c r="C3" s="274"/>
      <c r="D3" s="274"/>
      <c r="E3" s="274"/>
      <c r="F3" s="274"/>
      <c r="G3" s="274"/>
      <c r="H3" s="274"/>
    </row>
    <row r="4" spans="1:8" x14ac:dyDescent="0.25">
      <c r="A4" s="114"/>
      <c r="B4" s="114"/>
      <c r="C4" s="114"/>
      <c r="D4" s="114"/>
      <c r="E4" s="114"/>
      <c r="F4" s="114"/>
      <c r="G4" s="114"/>
      <c r="H4" s="114"/>
    </row>
    <row r="5" spans="1:8" x14ac:dyDescent="0.25">
      <c r="A5" s="114"/>
      <c r="B5" s="114"/>
      <c r="C5" s="114"/>
      <c r="D5" s="114"/>
      <c r="E5" s="114"/>
      <c r="F5" s="114"/>
      <c r="G5" s="114"/>
      <c r="H5" s="114"/>
    </row>
    <row r="6" spans="1:8" x14ac:dyDescent="0.25">
      <c r="B6" s="118" t="s">
        <v>333</v>
      </c>
      <c r="C6" s="118" t="s">
        <v>334</v>
      </c>
      <c r="D6" s="118" t="s">
        <v>335</v>
      </c>
      <c r="E6" s="118" t="s">
        <v>336</v>
      </c>
      <c r="F6" s="118" t="s">
        <v>412</v>
      </c>
      <c r="G6" s="118" t="s">
        <v>456</v>
      </c>
      <c r="H6" s="118" t="s">
        <v>216</v>
      </c>
    </row>
    <row r="8" spans="1:8" s="83" customFormat="1" x14ac:dyDescent="0.25">
      <c r="A8" s="58" t="s">
        <v>239</v>
      </c>
    </row>
    <row r="9" spans="1:8" s="83" customFormat="1" x14ac:dyDescent="0.25">
      <c r="A9" s="58" t="s">
        <v>320</v>
      </c>
    </row>
    <row r="10" spans="1:8" s="83" customFormat="1" x14ac:dyDescent="0.25">
      <c r="A10" t="s">
        <v>389</v>
      </c>
      <c r="B10" s="83">
        <v>0</v>
      </c>
      <c r="C10" s="83">
        <v>0</v>
      </c>
      <c r="D10" s="83">
        <v>0</v>
      </c>
      <c r="E10" s="83">
        <v>520</v>
      </c>
      <c r="F10" s="83">
        <v>0</v>
      </c>
      <c r="G10" s="83">
        <v>0</v>
      </c>
      <c r="H10" s="83">
        <f>SUM(B10:G10)</f>
        <v>520</v>
      </c>
    </row>
    <row r="11" spans="1:8" s="83" customFormat="1" x14ac:dyDescent="0.25">
      <c r="A11" t="s">
        <v>324</v>
      </c>
      <c r="B11" s="83">
        <v>14678.56</v>
      </c>
      <c r="C11" s="83">
        <v>14704</v>
      </c>
      <c r="D11" s="83">
        <v>14704</v>
      </c>
      <c r="E11" s="83">
        <v>14704</v>
      </c>
      <c r="F11" s="83">
        <v>14704</v>
      </c>
      <c r="G11" s="83">
        <v>14704</v>
      </c>
      <c r="H11" s="83">
        <f>SUM(B11:G11)</f>
        <v>88198.56</v>
      </c>
    </row>
    <row r="12" spans="1:8" s="83" customFormat="1" x14ac:dyDescent="0.25">
      <c r="A12" s="58" t="s">
        <v>366</v>
      </c>
      <c r="B12" s="115">
        <f t="shared" ref="B12:H12" si="0">SUM(B10:B11)</f>
        <v>14678.56</v>
      </c>
      <c r="C12" s="115">
        <f t="shared" si="0"/>
        <v>14704</v>
      </c>
      <c r="D12" s="115">
        <f t="shared" si="0"/>
        <v>14704</v>
      </c>
      <c r="E12" s="115">
        <f t="shared" si="0"/>
        <v>15224</v>
      </c>
      <c r="F12" s="115">
        <f t="shared" ref="F12" si="1">SUM(F10:F11)</f>
        <v>14704</v>
      </c>
      <c r="G12" s="115">
        <f t="shared" si="0"/>
        <v>14704</v>
      </c>
      <c r="H12" s="115">
        <f t="shared" si="0"/>
        <v>88718.56</v>
      </c>
    </row>
    <row r="14" spans="1:8" s="83" customFormat="1" x14ac:dyDescent="0.25">
      <c r="A14" s="58" t="s">
        <v>325</v>
      </c>
    </row>
    <row r="15" spans="1:8" s="83" customFormat="1" x14ac:dyDescent="0.25">
      <c r="A15" t="s">
        <v>393</v>
      </c>
    </row>
    <row r="16" spans="1:8" s="83" customFormat="1" x14ac:dyDescent="0.25">
      <c r="A16"/>
      <c r="B16" s="83">
        <v>78.37</v>
      </c>
      <c r="C16" s="83">
        <v>78.38</v>
      </c>
      <c r="D16" s="83">
        <v>84.61</v>
      </c>
      <c r="E16" s="83">
        <v>78.400000000000006</v>
      </c>
      <c r="F16" s="83">
        <v>82.39</v>
      </c>
      <c r="G16" s="83">
        <v>78.48</v>
      </c>
      <c r="H16" s="83">
        <f>SUM(B16:G16)</f>
        <v>480.63</v>
      </c>
    </row>
    <row r="17" spans="1:9" s="83" customFormat="1" x14ac:dyDescent="0.25">
      <c r="A17" s="58" t="s">
        <v>328</v>
      </c>
      <c r="B17" s="115">
        <f>SUM(B15:B16)</f>
        <v>78.37</v>
      </c>
      <c r="C17" s="115">
        <f t="shared" ref="C17:G17" si="2">SUM(C15:C16)</f>
        <v>78.38</v>
      </c>
      <c r="D17" s="115">
        <f t="shared" si="2"/>
        <v>84.61</v>
      </c>
      <c r="E17" s="115">
        <f t="shared" si="2"/>
        <v>78.400000000000006</v>
      </c>
      <c r="F17" s="115">
        <f t="shared" ref="F17" si="3">SUM(F15:F16)</f>
        <v>82.39</v>
      </c>
      <c r="G17" s="115">
        <f t="shared" si="2"/>
        <v>78.48</v>
      </c>
      <c r="H17" s="115">
        <f>SUM(H15:H16)</f>
        <v>480.63</v>
      </c>
    </row>
    <row r="18" spans="1:9" s="83" customFormat="1" x14ac:dyDescent="0.25">
      <c r="A18" t="s">
        <v>277</v>
      </c>
    </row>
    <row r="19" spans="1:9" s="83" customFormat="1" ht="15.75" thickBot="1" x14ac:dyDescent="0.3">
      <c r="A19" s="58" t="s">
        <v>240</v>
      </c>
      <c r="B19" s="116">
        <f t="shared" ref="B19:H19" si="4">B12+B17</f>
        <v>14756.93</v>
      </c>
      <c r="C19" s="116">
        <f t="shared" si="4"/>
        <v>14782.38</v>
      </c>
      <c r="D19" s="116">
        <f t="shared" si="4"/>
        <v>14788.61</v>
      </c>
      <c r="E19" s="116">
        <f t="shared" si="4"/>
        <v>15302.4</v>
      </c>
      <c r="F19" s="116">
        <f t="shared" ref="F19" si="5">F12+F17</f>
        <v>14786.39</v>
      </c>
      <c r="G19" s="116">
        <f t="shared" si="4"/>
        <v>14782.48</v>
      </c>
      <c r="H19" s="116">
        <f t="shared" si="4"/>
        <v>89199.19</v>
      </c>
    </row>
    <row r="21" spans="1:9" s="83" customFormat="1" x14ac:dyDescent="0.25">
      <c r="A21" s="58" t="s">
        <v>329</v>
      </c>
    </row>
    <row r="22" spans="1:9" s="83" customFormat="1" x14ac:dyDescent="0.25">
      <c r="A22" t="s">
        <v>398</v>
      </c>
      <c r="B22" s="83">
        <v>0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3">
        <f>SUM(B22:G22)</f>
        <v>0</v>
      </c>
    </row>
    <row r="23" spans="1:9" s="83" customFormat="1" x14ac:dyDescent="0.25">
      <c r="A23" t="s">
        <v>441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83">
        <f>SUM(B23:G23)</f>
        <v>0</v>
      </c>
    </row>
    <row r="24" spans="1:9" s="83" customFormat="1" x14ac:dyDescent="0.25">
      <c r="A24" t="s">
        <v>399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f>SUM(B24:G24)</f>
        <v>0</v>
      </c>
    </row>
    <row r="25" spans="1:9" s="83" customFormat="1" x14ac:dyDescent="0.25">
      <c r="A25" t="s">
        <v>302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f>SUM(B25:G25)</f>
        <v>0</v>
      </c>
    </row>
    <row r="26" spans="1:9" s="83" customFormat="1" x14ac:dyDescent="0.25">
      <c r="A26" t="s">
        <v>303</v>
      </c>
      <c r="B26" s="83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173">
        <f>SUM(B26:G26)</f>
        <v>0</v>
      </c>
    </row>
    <row r="27" spans="1:9" s="83" customFormat="1" x14ac:dyDescent="0.25">
      <c r="A27" s="58" t="s">
        <v>331</v>
      </c>
      <c r="B27" s="115">
        <f t="shared" ref="B27:H27" si="6">SUM(B22:B26)</f>
        <v>0</v>
      </c>
      <c r="C27" s="115">
        <f t="shared" si="6"/>
        <v>0</v>
      </c>
      <c r="D27" s="115">
        <f t="shared" si="6"/>
        <v>0</v>
      </c>
      <c r="E27" s="115">
        <f t="shared" si="6"/>
        <v>0</v>
      </c>
      <c r="F27" s="115">
        <f t="shared" ref="F27" si="7">SUM(F22:F26)</f>
        <v>0</v>
      </c>
      <c r="G27" s="115">
        <f t="shared" si="6"/>
        <v>0</v>
      </c>
      <c r="H27" s="115">
        <f t="shared" si="6"/>
        <v>0</v>
      </c>
    </row>
    <row r="29" spans="1:9" ht="15.75" thickBot="1" x14ac:dyDescent="0.3">
      <c r="A29" s="58" t="s">
        <v>332</v>
      </c>
      <c r="B29" s="117">
        <f>B27-B19</f>
        <v>-14756.93</v>
      </c>
      <c r="C29" s="117">
        <f t="shared" ref="C29:H29" si="8">C27-C19</f>
        <v>-14782.38</v>
      </c>
      <c r="D29" s="117">
        <f t="shared" si="8"/>
        <v>-14788.61</v>
      </c>
      <c r="E29" s="117">
        <f t="shared" si="8"/>
        <v>-15302.4</v>
      </c>
      <c r="F29" s="117">
        <f t="shared" ref="F29" si="9">F27-F19</f>
        <v>-14786.39</v>
      </c>
      <c r="G29" s="117">
        <f t="shared" si="8"/>
        <v>-14782.48</v>
      </c>
      <c r="H29" s="117">
        <f t="shared" si="8"/>
        <v>-89199.19</v>
      </c>
      <c r="I29"/>
    </row>
    <row r="30" spans="1:9" ht="15.75" thickTop="1" x14ac:dyDescent="0.25"/>
  </sheetData>
  <mergeCells count="3">
    <mergeCell ref="A1:H1"/>
    <mergeCell ref="A2:H2"/>
    <mergeCell ref="A3:H3"/>
  </mergeCells>
  <pageMargins left="0.7" right="0.7" top="0.75" bottom="0.75" header="0.3" footer="0.3"/>
  <pageSetup scale="66" orientation="portrait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C3F96-9B42-48C3-A8DE-AB40B02C6690}">
  <sheetPr>
    <tabColor theme="9" tint="0.39997558519241921"/>
    <pageSetUpPr fitToPage="1"/>
  </sheetPr>
  <dimension ref="A1:X303"/>
  <sheetViews>
    <sheetView topLeftCell="A280" zoomScaleNormal="100" workbookViewId="0">
      <selection activeCell="C77" sqref="C77"/>
    </sheetView>
  </sheetViews>
  <sheetFormatPr defaultColWidth="8.7109375" defaultRowHeight="15" x14ac:dyDescent="0.25"/>
  <cols>
    <col min="1" max="1" width="27.28515625" style="49" customWidth="1"/>
    <col min="2" max="2" width="19" style="50" bestFit="1" customWidth="1"/>
    <col min="3" max="3" width="19.140625" style="50" bestFit="1" customWidth="1"/>
    <col min="4" max="5" width="16.85546875" style="50" bestFit="1" customWidth="1"/>
    <col min="6" max="6" width="14.85546875" style="50" bestFit="1" customWidth="1"/>
    <col min="7" max="7" width="24" style="50" bestFit="1" customWidth="1"/>
    <col min="8" max="15" width="8.7109375" style="49"/>
    <col min="16" max="16" width="19" style="50" bestFit="1" customWidth="1"/>
    <col min="17" max="17" width="19.140625" style="50" bestFit="1" customWidth="1"/>
    <col min="18" max="19" width="16.85546875" style="50" bestFit="1" customWidth="1"/>
    <col min="20" max="20" width="14.85546875" style="50" bestFit="1" customWidth="1"/>
    <col min="21" max="21" width="24" style="50" bestFit="1" customWidth="1"/>
    <col min="22" max="22" width="16.7109375" style="48" customWidth="1"/>
    <col min="23" max="23" width="16" style="49" bestFit="1" customWidth="1"/>
    <col min="24" max="24" width="14.28515625" style="49" bestFit="1" customWidth="1"/>
    <col min="25" max="16384" width="8.7109375" style="49"/>
  </cols>
  <sheetData>
    <row r="1" spans="1:23" x14ac:dyDescent="0.25">
      <c r="A1" s="108" t="s">
        <v>209</v>
      </c>
      <c r="D1" s="49"/>
      <c r="E1" s="49"/>
      <c r="F1" s="49"/>
      <c r="G1" s="49"/>
      <c r="P1" s="49"/>
      <c r="Q1" s="49"/>
      <c r="R1" s="49"/>
      <c r="S1" s="49"/>
      <c r="T1" s="49"/>
      <c r="U1" s="49"/>
    </row>
    <row r="2" spans="1:23" x14ac:dyDescent="0.25">
      <c r="A2" s="109" t="s">
        <v>210</v>
      </c>
      <c r="D2" s="49"/>
      <c r="E2" s="49"/>
      <c r="F2" s="49"/>
      <c r="G2" s="49"/>
      <c r="P2" s="49"/>
      <c r="Q2" s="49"/>
      <c r="R2" s="49"/>
      <c r="S2" s="49"/>
      <c r="T2" s="49"/>
      <c r="U2" s="49"/>
    </row>
    <row r="3" spans="1:23" x14ac:dyDescent="0.25">
      <c r="A3" s="110">
        <v>43131</v>
      </c>
      <c r="D3" s="49"/>
      <c r="E3" s="49"/>
      <c r="F3" s="49"/>
      <c r="G3" s="49"/>
      <c r="P3" s="49"/>
      <c r="Q3" s="49"/>
      <c r="R3" s="49"/>
      <c r="S3" s="49"/>
      <c r="T3" s="49"/>
      <c r="U3" s="49"/>
    </row>
    <row r="4" spans="1:23" x14ac:dyDescent="0.25">
      <c r="A4" s="51"/>
      <c r="B4" s="52"/>
      <c r="C4" s="52"/>
      <c r="D4" s="52"/>
      <c r="E4" s="52"/>
      <c r="F4" s="52"/>
      <c r="G4" s="53"/>
      <c r="P4" s="52"/>
      <c r="Q4" s="52"/>
      <c r="R4" s="52"/>
      <c r="S4" s="52"/>
      <c r="T4" s="52"/>
      <c r="U4" s="53"/>
    </row>
    <row r="5" spans="1:23" s="58" customFormat="1" x14ac:dyDescent="0.25">
      <c r="A5" s="54"/>
      <c r="B5" s="55" t="s">
        <v>211</v>
      </c>
      <c r="C5" s="55" t="s">
        <v>212</v>
      </c>
      <c r="D5" s="55" t="s">
        <v>213</v>
      </c>
      <c r="E5" s="55" t="s">
        <v>214</v>
      </c>
      <c r="F5" s="55" t="s">
        <v>215</v>
      </c>
      <c r="G5" s="56" t="s">
        <v>216</v>
      </c>
      <c r="P5" s="55" t="s">
        <v>211</v>
      </c>
      <c r="Q5" s="55" t="s">
        <v>212</v>
      </c>
      <c r="R5" s="55" t="s">
        <v>213</v>
      </c>
      <c r="S5" s="55" t="s">
        <v>214</v>
      </c>
      <c r="T5" s="55" t="s">
        <v>215</v>
      </c>
      <c r="U5" s="56" t="s">
        <v>216</v>
      </c>
      <c r="V5" s="57"/>
    </row>
    <row r="6" spans="1:23" x14ac:dyDescent="0.25">
      <c r="A6" s="54" t="s">
        <v>62</v>
      </c>
      <c r="B6" s="5">
        <v>154563428.67000002</v>
      </c>
      <c r="C6" s="5">
        <v>424529753.21999997</v>
      </c>
      <c r="D6" s="5">
        <v>2884704.37</v>
      </c>
      <c r="E6" s="5">
        <v>3238349</v>
      </c>
      <c r="F6" s="5">
        <v>85825</v>
      </c>
      <c r="G6" s="59">
        <v>585302060.25999999</v>
      </c>
      <c r="P6" s="5">
        <f>'[1]P&amp;L Compare to Hedge 2018'!$B$5</f>
        <v>154563428.67000002</v>
      </c>
      <c r="Q6" s="5">
        <f>'[1]P&amp;L Compare to Hedge 2018'!$B$6</f>
        <v>424529753.21999997</v>
      </c>
      <c r="R6" s="5">
        <f>'[1]P&amp;L Compare to Hedge 2018'!$B$7</f>
        <v>2884704.37</v>
      </c>
      <c r="S6" s="5">
        <f>'[1]P&amp;L Compare to Hedge 2018'!$B$8</f>
        <v>3238349</v>
      </c>
      <c r="T6" s="5">
        <f>'[1]P&amp;L Compare to Hedge 2018'!$B$9</f>
        <v>85825</v>
      </c>
      <c r="U6" s="59">
        <f>SUM(P6:T6)</f>
        <v>585302060.25999999</v>
      </c>
    </row>
    <row r="7" spans="1:23" x14ac:dyDescent="0.25">
      <c r="A7" s="54" t="s">
        <v>217</v>
      </c>
      <c r="B7" s="5">
        <v>157842383.69</v>
      </c>
      <c r="C7" s="5">
        <v>422465521.94999993</v>
      </c>
      <c r="D7" s="5">
        <v>2842624.1900000004</v>
      </c>
      <c r="E7" s="5">
        <v>3972878.5</v>
      </c>
      <c r="F7" s="5">
        <v>103200.43</v>
      </c>
      <c r="G7" s="59">
        <v>587226608.75999987</v>
      </c>
      <c r="P7" s="5">
        <f>'[1]P&amp;L Compare to Hedge 2018'!$B$14</f>
        <v>157842383.69</v>
      </c>
      <c r="Q7" s="5">
        <f>'[1]P&amp;L Compare to Hedge 2018'!$B$15</f>
        <v>422465521.94999993</v>
      </c>
      <c r="R7" s="5">
        <f>'[1]P&amp;L Compare to Hedge 2018'!$B$16</f>
        <v>2842624.1900000004</v>
      </c>
      <c r="S7" s="5">
        <f>'[1]P&amp;L Compare to Hedge 2018'!$B$17</f>
        <v>3972878.5</v>
      </c>
      <c r="T7" s="5">
        <f>'[1]P&amp;L Compare to Hedge 2018'!$B$18</f>
        <v>103200.43</v>
      </c>
      <c r="U7" s="59">
        <f>SUM(P7:T7)</f>
        <v>587226608.75999987</v>
      </c>
    </row>
    <row r="8" spans="1:23" x14ac:dyDescent="0.25">
      <c r="A8" s="54" t="s">
        <v>218</v>
      </c>
      <c r="B8" s="5">
        <v>-4303584.0399999917</v>
      </c>
      <c r="C8" s="5">
        <v>-198311.54999999702</v>
      </c>
      <c r="D8" s="5">
        <v>-28077.910000000033</v>
      </c>
      <c r="E8" s="5">
        <v>-17915.510000000009</v>
      </c>
      <c r="F8" s="5">
        <v>0</v>
      </c>
      <c r="G8" s="59">
        <v>-4547889.0099999886</v>
      </c>
      <c r="P8" s="5">
        <f>'[1]P&amp;L Compare to Hedge 2018'!$B$21</f>
        <v>-4303584.0399999917</v>
      </c>
      <c r="Q8" s="5">
        <f>'[1]P&amp;L Compare to Hedge 2018'!$B$22</f>
        <v>-198311.54999999702</v>
      </c>
      <c r="R8" s="5">
        <f>'[1]P&amp;L Compare to Hedge 2018'!$B$23</f>
        <v>-28077.910000000033</v>
      </c>
      <c r="S8" s="5">
        <f>'[1]P&amp;L Compare to Hedge 2018'!$B$24</f>
        <v>-17915.510000000009</v>
      </c>
      <c r="T8" s="5">
        <f>0</f>
        <v>0</v>
      </c>
      <c r="U8" s="59">
        <f>SUM(P8:T8)</f>
        <v>-4547889.0099999886</v>
      </c>
    </row>
    <row r="9" spans="1:23" x14ac:dyDescent="0.25">
      <c r="A9" s="54" t="s">
        <v>219</v>
      </c>
      <c r="B9" s="5">
        <v>-1451390.0700000077</v>
      </c>
      <c r="C9" s="5">
        <v>287951.64999999851</v>
      </c>
      <c r="D9" s="5">
        <v>0</v>
      </c>
      <c r="E9" s="5">
        <v>0</v>
      </c>
      <c r="F9" s="5">
        <v>0</v>
      </c>
      <c r="G9" s="59">
        <v>-1163438.4200000092</v>
      </c>
      <c r="P9" s="5">
        <f>'[1]P&amp;L Compare to Hedge 2018'!$B$26</f>
        <v>-1451390.0700000077</v>
      </c>
      <c r="Q9" s="5">
        <f>'[1]P&amp;L Compare to Hedge 2018'!$B$27</f>
        <v>287951.64999999851</v>
      </c>
      <c r="R9" s="5">
        <f>'[1]P&amp;L Compare to Hedge 2018'!$B$28</f>
        <v>0</v>
      </c>
      <c r="S9" s="5">
        <f>'[1]P&amp;L Compare to Hedge 2018'!$B$29</f>
        <v>0</v>
      </c>
      <c r="T9" s="5">
        <v>0</v>
      </c>
      <c r="U9" s="59">
        <f>SUM(P9:T9)</f>
        <v>-1163438.4200000092</v>
      </c>
    </row>
    <row r="10" spans="1:23" ht="15.75" thickBot="1" x14ac:dyDescent="0.3">
      <c r="A10" s="54" t="s">
        <v>220</v>
      </c>
      <c r="B10" s="5">
        <v>2094840.4523199946</v>
      </c>
      <c r="C10" s="5">
        <v>1671312.9767381023</v>
      </c>
      <c r="D10" s="5">
        <v>53210.820259999891</v>
      </c>
      <c r="E10" s="5">
        <v>-759397.27174999984</v>
      </c>
      <c r="F10" s="5">
        <v>-20088.849999999991</v>
      </c>
      <c r="G10" s="59">
        <v>3039878.1275680969</v>
      </c>
      <c r="P10" s="5">
        <f>'[2]Mrkg to Mkt Gold'!$E$28</f>
        <v>2094840.4523199946</v>
      </c>
      <c r="Q10" s="5">
        <f>'[2]Mkg to Mkt Silver'!$E$28</f>
        <v>1671312.9767381023</v>
      </c>
      <c r="R10" s="5">
        <f>'[2]Mkg to Mkt Platinum  '!$E$28</f>
        <v>53210.820259999891</v>
      </c>
      <c r="S10" s="5">
        <f>'[2]Mkg to Mkt Palladium'!$E$28</f>
        <v>-759397.27174999984</v>
      </c>
      <c r="T10" s="5">
        <f>'[2]Mkg to Mkt Rhodium'!$E$28</f>
        <v>-20088.849999999991</v>
      </c>
      <c r="U10" s="59">
        <f>SUM(P10:T10)</f>
        <v>3039878.1275680969</v>
      </c>
      <c r="V10" s="60">
        <f>'[2]Mkg to Mkt All'!$E$39-U10</f>
        <v>0</v>
      </c>
      <c r="W10" s="61" t="s">
        <v>221</v>
      </c>
    </row>
    <row r="11" spans="1:23" ht="15.75" thickBot="1" x14ac:dyDescent="0.3">
      <c r="A11" s="54" t="s">
        <v>222</v>
      </c>
      <c r="B11" s="62"/>
      <c r="C11" s="62"/>
      <c r="D11" s="62"/>
      <c r="E11" s="62"/>
      <c r="F11" s="62"/>
      <c r="G11" s="63">
        <v>2682.05</v>
      </c>
      <c r="P11" s="62"/>
      <c r="Q11" s="62"/>
      <c r="R11" s="62"/>
      <c r="S11" s="62"/>
      <c r="T11" s="62"/>
      <c r="U11" s="63">
        <v>2682.05</v>
      </c>
    </row>
    <row r="12" spans="1:23" ht="15.75" thickBot="1" x14ac:dyDescent="0.3">
      <c r="A12" s="54"/>
      <c r="B12" s="64">
        <v>381178.63768002391</v>
      </c>
      <c r="C12" s="65">
        <v>303278.19326193677</v>
      </c>
      <c r="D12" s="65">
        <v>16947.269739999843</v>
      </c>
      <c r="E12" s="65">
        <v>42783.281749999849</v>
      </c>
      <c r="F12" s="65">
        <v>2713.4199999999983</v>
      </c>
      <c r="G12" s="66">
        <v>744218.75243202015</v>
      </c>
      <c r="P12" s="64">
        <f>+P6-P7-P8-P9-P10</f>
        <v>381178.63768002391</v>
      </c>
      <c r="Q12" s="65">
        <f>+Q6-Q7-Q8-Q9-Q10</f>
        <v>303278.19326193677</v>
      </c>
      <c r="R12" s="65">
        <f>+R6-R7-R8-R9-R10</f>
        <v>16947.269739999843</v>
      </c>
      <c r="S12" s="65">
        <f>+S6-S7-S8-S9-S10</f>
        <v>42783.281749999849</v>
      </c>
      <c r="T12" s="65">
        <f>+T6-T7-T8-T9-T10</f>
        <v>2713.4199999999983</v>
      </c>
      <c r="U12" s="66">
        <f>+U6-U7-U8-U9-U10-U11</f>
        <v>744218.75243202015</v>
      </c>
    </row>
    <row r="13" spans="1:23" ht="15.75" thickTop="1" x14ac:dyDescent="0.25">
      <c r="A13" s="54"/>
      <c r="B13" s="67"/>
      <c r="C13" s="67"/>
      <c r="D13" s="67"/>
      <c r="E13" s="67"/>
      <c r="F13" s="67"/>
      <c r="G13" s="68"/>
      <c r="P13" s="67"/>
      <c r="Q13" s="67"/>
      <c r="R13" s="67"/>
      <c r="S13" s="67"/>
      <c r="T13" s="67"/>
      <c r="U13" s="68"/>
    </row>
    <row r="14" spans="1:23" x14ac:dyDescent="0.25">
      <c r="A14" s="54" t="s">
        <v>223</v>
      </c>
      <c r="B14" s="5">
        <v>459437.98398514051</v>
      </c>
      <c r="C14" s="5">
        <v>365257.53999999905</v>
      </c>
      <c r="D14" s="5">
        <v>21090.145499999966</v>
      </c>
      <c r="E14" s="5">
        <v>37097.844600000004</v>
      </c>
      <c r="F14" s="5">
        <v>3045</v>
      </c>
      <c r="G14" s="59">
        <v>885928.5140851395</v>
      </c>
      <c r="P14" s="5">
        <f>'[3]Comparison 2017-2018'!$B$30</f>
        <v>459437.98398514051</v>
      </c>
      <c r="Q14" s="5">
        <f>'[3]Comparison 2017-2018'!$C$30</f>
        <v>365257.53999999905</v>
      </c>
      <c r="R14" s="5">
        <f>'[3]Comparison 2017-2018'!$D$30</f>
        <v>21090.145499999966</v>
      </c>
      <c r="S14" s="5">
        <f>'[3]Comparison 2017-2018'!$E$30</f>
        <v>37097.844600000004</v>
      </c>
      <c r="T14" s="5">
        <f>'[3]Comparison 2017-2018'!$F$30</f>
        <v>3045</v>
      </c>
      <c r="U14" s="59">
        <f t="shared" ref="U14:U20" si="0">SUM(P14:T14)</f>
        <v>885928.5140851395</v>
      </c>
    </row>
    <row r="15" spans="1:23" x14ac:dyDescent="0.25">
      <c r="A15" s="54" t="s">
        <v>224</v>
      </c>
      <c r="B15" s="5">
        <v>11347.91</v>
      </c>
      <c r="C15" s="5">
        <v>1307.73</v>
      </c>
      <c r="D15" s="5">
        <v>0</v>
      </c>
      <c r="E15" s="5">
        <v>0</v>
      </c>
      <c r="F15" s="5">
        <v>0</v>
      </c>
      <c r="G15" s="59">
        <v>12655.64</v>
      </c>
      <c r="P15" s="5">
        <v>11347.91</v>
      </c>
      <c r="Q15" s="5">
        <v>1307.73</v>
      </c>
      <c r="R15" s="5">
        <v>0</v>
      </c>
      <c r="S15" s="5">
        <v>0</v>
      </c>
      <c r="T15" s="5">
        <v>0</v>
      </c>
      <c r="U15" s="59">
        <f t="shared" si="0"/>
        <v>12655.64</v>
      </c>
    </row>
    <row r="16" spans="1:23" x14ac:dyDescent="0.25">
      <c r="A16" s="54"/>
      <c r="B16" s="5">
        <v>20228.97</v>
      </c>
      <c r="C16" s="5">
        <v>31705.259999999995</v>
      </c>
      <c r="D16" s="5">
        <v>0</v>
      </c>
      <c r="E16" s="5">
        <v>0</v>
      </c>
      <c r="F16" s="5">
        <v>0</v>
      </c>
      <c r="G16" s="59">
        <v>51934.229999999996</v>
      </c>
      <c r="P16" s="5">
        <f>[4]Jan!$B$10</f>
        <v>20228.97</v>
      </c>
      <c r="Q16" s="5">
        <f>[4]Jan!$B$20</f>
        <v>31705.259999999995</v>
      </c>
      <c r="R16" s="5">
        <f>[4]Jan!$B$26</f>
        <v>0</v>
      </c>
      <c r="S16" s="5">
        <v>0</v>
      </c>
      <c r="T16" s="5">
        <v>0</v>
      </c>
      <c r="U16" s="59">
        <f t="shared" si="0"/>
        <v>51934.229999999996</v>
      </c>
    </row>
    <row r="17" spans="1:24" x14ac:dyDescent="0.25">
      <c r="A17" s="54" t="s">
        <v>226</v>
      </c>
      <c r="B17" s="5">
        <v>-11152</v>
      </c>
      <c r="C17" s="5">
        <v>-36907.01</v>
      </c>
      <c r="D17" s="5">
        <v>0</v>
      </c>
      <c r="E17" s="5">
        <v>0</v>
      </c>
      <c r="F17" s="5">
        <v>0</v>
      </c>
      <c r="G17" s="59">
        <v>-48059.01</v>
      </c>
      <c r="P17" s="5">
        <f>-11152</f>
        <v>-11152</v>
      </c>
      <c r="Q17" s="5">
        <f>-36907.01</f>
        <v>-36907.01</v>
      </c>
      <c r="R17" s="5">
        <v>0</v>
      </c>
      <c r="S17" s="5">
        <v>0</v>
      </c>
      <c r="T17" s="5">
        <v>0</v>
      </c>
      <c r="U17" s="59">
        <f t="shared" si="0"/>
        <v>-48059.01</v>
      </c>
    </row>
    <row r="18" spans="1:24" x14ac:dyDescent="0.25">
      <c r="A18" s="54" t="s">
        <v>227</v>
      </c>
      <c r="B18" s="5">
        <v>-51657.33</v>
      </c>
      <c r="C18" s="5">
        <v>-70861</v>
      </c>
      <c r="D18" s="5">
        <v>0</v>
      </c>
      <c r="E18" s="5">
        <v>0</v>
      </c>
      <c r="F18" s="5">
        <v>0</v>
      </c>
      <c r="G18" s="59">
        <v>-122518.33</v>
      </c>
      <c r="P18" s="5">
        <v>-51657.33</v>
      </c>
      <c r="Q18" s="5">
        <v>-70861</v>
      </c>
      <c r="R18" s="5">
        <v>0</v>
      </c>
      <c r="S18" s="5">
        <v>0</v>
      </c>
      <c r="T18" s="5">
        <v>0</v>
      </c>
      <c r="U18" s="59">
        <f t="shared" si="0"/>
        <v>-122518.33</v>
      </c>
    </row>
    <row r="19" spans="1:24" x14ac:dyDescent="0.25">
      <c r="A19" s="54" t="s">
        <v>228</v>
      </c>
      <c r="B19" s="5">
        <v>-129582</v>
      </c>
      <c r="C19" s="5"/>
      <c r="D19" s="5"/>
      <c r="E19" s="5">
        <v>0</v>
      </c>
      <c r="F19" s="5">
        <v>0</v>
      </c>
      <c r="G19" s="59">
        <v>-129582</v>
      </c>
      <c r="P19" s="5">
        <v>-129582</v>
      </c>
      <c r="Q19" s="5"/>
      <c r="R19" s="5"/>
      <c r="S19" s="5">
        <v>0</v>
      </c>
      <c r="T19" s="5">
        <v>0</v>
      </c>
      <c r="U19" s="59">
        <f t="shared" si="0"/>
        <v>-129582</v>
      </c>
    </row>
    <row r="20" spans="1:24" x14ac:dyDescent="0.25">
      <c r="A20" s="54" t="s">
        <v>36</v>
      </c>
      <c r="B20" s="5">
        <v>-18000</v>
      </c>
      <c r="C20" s="5">
        <v>-17000</v>
      </c>
      <c r="D20" s="5">
        <v>0</v>
      </c>
      <c r="E20" s="5">
        <v>0</v>
      </c>
      <c r="F20" s="5">
        <v>0</v>
      </c>
      <c r="G20" s="59">
        <v>-35000</v>
      </c>
      <c r="P20" s="5">
        <v>-18000</v>
      </c>
      <c r="Q20" s="5">
        <v>-17000</v>
      </c>
      <c r="R20" s="5">
        <v>0</v>
      </c>
      <c r="S20" s="5">
        <v>0</v>
      </c>
      <c r="T20" s="5">
        <v>0</v>
      </c>
      <c r="U20" s="59">
        <f t="shared" si="0"/>
        <v>-35000</v>
      </c>
    </row>
    <row r="21" spans="1:24" x14ac:dyDescent="0.25">
      <c r="A21" s="54"/>
      <c r="B21" s="5"/>
      <c r="C21" s="5"/>
      <c r="D21" s="5"/>
      <c r="E21" s="5"/>
      <c r="F21" s="5"/>
      <c r="G21" s="59"/>
      <c r="P21" s="5"/>
      <c r="Q21" s="5"/>
      <c r="R21" s="5"/>
      <c r="S21" s="5"/>
      <c r="T21" s="5"/>
      <c r="U21" s="59"/>
    </row>
    <row r="22" spans="1:24" x14ac:dyDescent="0.25">
      <c r="A22" s="54" t="s">
        <v>221</v>
      </c>
      <c r="B22" s="5">
        <v>100555.10369488347</v>
      </c>
      <c r="C22" s="5">
        <v>29775.673261937744</v>
      </c>
      <c r="D22" s="5">
        <v>-4142.8757600001227</v>
      </c>
      <c r="E22" s="5">
        <v>5685.4371499998451</v>
      </c>
      <c r="F22" s="5">
        <v>-331.58000000000175</v>
      </c>
      <c r="G22" s="59">
        <v>128859.70834688062</v>
      </c>
      <c r="P22" s="5">
        <f>+P12-SUM(P14:P20)</f>
        <v>100555.10369488347</v>
      </c>
      <c r="Q22" s="5">
        <f t="shared" ref="Q22:T22" si="1">+Q12-SUM(Q14:Q20)</f>
        <v>29775.673261937744</v>
      </c>
      <c r="R22" s="5">
        <f t="shared" si="1"/>
        <v>-4142.8757600001227</v>
      </c>
      <c r="S22" s="5">
        <f t="shared" si="1"/>
        <v>5685.4371499998451</v>
      </c>
      <c r="T22" s="5">
        <f t="shared" si="1"/>
        <v>-331.58000000000175</v>
      </c>
      <c r="U22" s="59">
        <f>+U12-SUM(U14:U20)</f>
        <v>128859.70834688062</v>
      </c>
      <c r="V22" s="69">
        <f>SUM(P22:T22)-U11</f>
        <v>128859.70834682095</v>
      </c>
      <c r="W22" s="70">
        <f>U22-V22</f>
        <v>5.9677404351532459E-8</v>
      </c>
      <c r="X22" s="71" t="s">
        <v>229</v>
      </c>
    </row>
    <row r="23" spans="1:24" ht="15.75" thickBot="1" x14ac:dyDescent="0.3">
      <c r="A23" s="72" t="s">
        <v>230</v>
      </c>
      <c r="B23" s="5">
        <v>1339</v>
      </c>
      <c r="C23" s="5">
        <v>17.204000000000001</v>
      </c>
      <c r="D23" s="5">
        <v>1001.3</v>
      </c>
      <c r="E23" s="5">
        <v>1027.5</v>
      </c>
      <c r="F23" s="5">
        <v>1650</v>
      </c>
      <c r="G23" s="59"/>
      <c r="P23" s="5">
        <v>1339</v>
      </c>
      <c r="Q23" s="5">
        <v>17.204000000000001</v>
      </c>
      <c r="R23" s="5">
        <v>1001.3</v>
      </c>
      <c r="S23" s="5">
        <v>1027.5</v>
      </c>
      <c r="T23" s="5">
        <v>1650</v>
      </c>
      <c r="U23" s="59"/>
      <c r="V23" s="69">
        <f>'[1]P&amp;L Compare to Hedge 2018'!$B$45</f>
        <v>128859.70591497957</v>
      </c>
      <c r="W23" s="70">
        <f>U22-V23</f>
        <v>2.4319010553881526E-3</v>
      </c>
      <c r="X23" s="49" t="s">
        <v>231</v>
      </c>
    </row>
    <row r="24" spans="1:24" x14ac:dyDescent="0.25">
      <c r="A24" s="108" t="s">
        <v>209</v>
      </c>
      <c r="D24" s="49"/>
      <c r="E24" s="49"/>
      <c r="F24" s="49"/>
      <c r="G24" s="49"/>
      <c r="P24" s="49"/>
      <c r="Q24" s="49"/>
      <c r="R24" s="49"/>
      <c r="S24" s="49"/>
      <c r="T24" s="49"/>
      <c r="U24" s="49"/>
    </row>
    <row r="25" spans="1:24" x14ac:dyDescent="0.25">
      <c r="A25" s="109" t="s">
        <v>210</v>
      </c>
      <c r="D25" s="49"/>
      <c r="E25" s="49"/>
      <c r="F25" s="49"/>
      <c r="G25" s="49"/>
      <c r="P25" s="49"/>
      <c r="Q25" s="49"/>
      <c r="R25" s="49"/>
      <c r="S25" s="49"/>
      <c r="T25" s="49"/>
      <c r="U25" s="49"/>
    </row>
    <row r="26" spans="1:24" x14ac:dyDescent="0.25">
      <c r="A26" s="110">
        <v>43159</v>
      </c>
      <c r="D26" s="49"/>
      <c r="E26" s="49"/>
      <c r="F26" s="49"/>
      <c r="G26" s="49"/>
      <c r="P26" s="49"/>
      <c r="Q26" s="49"/>
      <c r="R26" s="49"/>
      <c r="S26" s="49"/>
      <c r="T26" s="49"/>
      <c r="U26" s="49"/>
    </row>
    <row r="27" spans="1:24" x14ac:dyDescent="0.25">
      <c r="A27" s="51"/>
      <c r="B27" s="52"/>
      <c r="C27" s="52"/>
      <c r="D27" s="52"/>
      <c r="E27" s="52"/>
      <c r="F27" s="52"/>
      <c r="G27" s="53"/>
      <c r="P27" s="52"/>
      <c r="Q27" s="52"/>
      <c r="R27" s="52"/>
      <c r="S27" s="52"/>
      <c r="T27" s="52"/>
      <c r="U27" s="53"/>
    </row>
    <row r="28" spans="1:24" s="58" customFormat="1" x14ac:dyDescent="0.25">
      <c r="A28" s="54"/>
      <c r="B28" s="55" t="s">
        <v>211</v>
      </c>
      <c r="C28" s="55" t="s">
        <v>212</v>
      </c>
      <c r="D28" s="55" t="s">
        <v>213</v>
      </c>
      <c r="E28" s="55" t="s">
        <v>214</v>
      </c>
      <c r="F28" s="55" t="s">
        <v>215</v>
      </c>
      <c r="G28" s="56" t="s">
        <v>216</v>
      </c>
      <c r="P28" s="55" t="s">
        <v>211</v>
      </c>
      <c r="Q28" s="55" t="s">
        <v>212</v>
      </c>
      <c r="R28" s="55" t="s">
        <v>213</v>
      </c>
      <c r="S28" s="55" t="s">
        <v>214</v>
      </c>
      <c r="T28" s="55" t="s">
        <v>215</v>
      </c>
      <c r="U28" s="56" t="s">
        <v>216</v>
      </c>
      <c r="V28" s="57"/>
    </row>
    <row r="29" spans="1:24" x14ac:dyDescent="0.25">
      <c r="A29" s="54" t="s">
        <v>62</v>
      </c>
      <c r="B29" s="5">
        <v>109601727.78999999</v>
      </c>
      <c r="C29" s="5">
        <v>1212317398.3500001</v>
      </c>
      <c r="D29" s="5">
        <v>2596535.7200000002</v>
      </c>
      <c r="E29" s="5">
        <v>1478660.42</v>
      </c>
      <c r="F29" s="5">
        <v>579872.5</v>
      </c>
      <c r="G29" s="59">
        <v>1326574194.7800002</v>
      </c>
      <c r="P29" s="5">
        <f>'[1]P&amp;L Compare to Hedge 2018'!$C$5</f>
        <v>109601727.78999999</v>
      </c>
      <c r="Q29" s="5">
        <f>'[1]P&amp;L Compare to Hedge 2018'!$C$6</f>
        <v>1212317398.3500001</v>
      </c>
      <c r="R29" s="5">
        <f>'[1]P&amp;L Compare to Hedge 2018'!$C$7</f>
        <v>2596535.7200000002</v>
      </c>
      <c r="S29" s="5">
        <f>'[1]P&amp;L Compare to Hedge 2018'!$C$8</f>
        <v>1478660.42</v>
      </c>
      <c r="T29" s="5">
        <f>'[1]P&amp;L Compare to Hedge 2018'!$C$9</f>
        <v>579872.5</v>
      </c>
      <c r="U29" s="59">
        <f>SUM(P29:T29)</f>
        <v>1326574194.7800002</v>
      </c>
    </row>
    <row r="30" spans="1:24" x14ac:dyDescent="0.25">
      <c r="A30" s="54" t="s">
        <v>217</v>
      </c>
      <c r="B30" s="5">
        <v>108846154.46000001</v>
      </c>
      <c r="C30" s="5">
        <v>1215546261.6300001</v>
      </c>
      <c r="D30" s="5">
        <v>2535222.7399999998</v>
      </c>
      <c r="E30" s="5">
        <v>1516251.86</v>
      </c>
      <c r="F30" s="5">
        <v>557565.63</v>
      </c>
      <c r="G30" s="59">
        <v>1329001456.3200002</v>
      </c>
      <c r="P30" s="5">
        <f>'[1]P&amp;L Compare to Hedge 2018'!$C$14</f>
        <v>108846154.46000001</v>
      </c>
      <c r="Q30" s="5">
        <f>'[1]P&amp;L Compare to Hedge 2018'!$C$15</f>
        <v>1215546261.6300001</v>
      </c>
      <c r="R30" s="5">
        <f>'[1]P&amp;L Compare to Hedge 2018'!$C$16</f>
        <v>2535222.7399999998</v>
      </c>
      <c r="S30" s="5">
        <f>'[1]P&amp;L Compare to Hedge 2018'!$C$17</f>
        <v>1516251.86</v>
      </c>
      <c r="T30" s="5">
        <f>'[1]P&amp;L Compare to Hedge 2018'!$C$18</f>
        <v>557565.63</v>
      </c>
      <c r="U30" s="59">
        <f>SUM(P30:T30)</f>
        <v>1329001456.3200002</v>
      </c>
    </row>
    <row r="31" spans="1:24" x14ac:dyDescent="0.25">
      <c r="A31" s="54" t="s">
        <v>218</v>
      </c>
      <c r="B31" s="5">
        <v>-230168.78000000119</v>
      </c>
      <c r="C31" s="5">
        <v>-141071.81000000052</v>
      </c>
      <c r="D31" s="5">
        <v>-41342.620000000112</v>
      </c>
      <c r="E31" s="5">
        <v>0</v>
      </c>
      <c r="F31" s="5">
        <v>0</v>
      </c>
      <c r="G31" s="59">
        <v>-412583.21000000183</v>
      </c>
      <c r="P31" s="5">
        <f>'[1]P&amp;L Compare to Hedge 2018'!$C$21</f>
        <v>-230168.78000000119</v>
      </c>
      <c r="Q31" s="5">
        <f>'[1]P&amp;L Compare to Hedge 2018'!$C$22</f>
        <v>-141071.81000000052</v>
      </c>
      <c r="R31" s="5">
        <f>'[1]P&amp;L Compare to Hedge 2018'!$C$23</f>
        <v>-41342.620000000112</v>
      </c>
      <c r="S31" s="5">
        <f>'[1]P&amp;L Compare to Hedge 2018'!$C$24</f>
        <v>0</v>
      </c>
      <c r="T31" s="5">
        <v>0</v>
      </c>
      <c r="U31" s="59">
        <f>SUM(P31:T31)</f>
        <v>-412583.21000000183</v>
      </c>
    </row>
    <row r="32" spans="1:24" x14ac:dyDescent="0.25">
      <c r="A32" s="54" t="s">
        <v>219</v>
      </c>
      <c r="B32" s="5">
        <v>-14017.5</v>
      </c>
      <c r="C32" s="5">
        <v>-4461877.3100000024</v>
      </c>
      <c r="D32" s="5">
        <v>4535</v>
      </c>
      <c r="E32" s="5">
        <v>0</v>
      </c>
      <c r="F32" s="10">
        <v>0</v>
      </c>
      <c r="G32" s="59">
        <v>-4471359.8100000024</v>
      </c>
      <c r="P32" s="5">
        <f>'[1]P&amp;L Compare to Hedge 2018'!$C$26</f>
        <v>-14017.5</v>
      </c>
      <c r="Q32" s="5">
        <f>'[1]P&amp;L Compare to Hedge 2018'!$C$27</f>
        <v>-4461877.3100000024</v>
      </c>
      <c r="R32" s="5">
        <f>'[1]P&amp;L Compare to Hedge 2018'!$C$28</f>
        <v>4535</v>
      </c>
      <c r="S32" s="5">
        <f>'[1]P&amp;L Compare to Hedge 2018'!$C$29</f>
        <v>0</v>
      </c>
      <c r="T32" s="10">
        <v>0</v>
      </c>
      <c r="U32" s="59">
        <f>SUM(P32:T32)</f>
        <v>-4471359.8100000024</v>
      </c>
    </row>
    <row r="33" spans="1:24" ht="15.75" thickBot="1" x14ac:dyDescent="0.3">
      <c r="A33" s="54" t="s">
        <v>220</v>
      </c>
      <c r="B33" s="5">
        <v>607654.88740001619</v>
      </c>
      <c r="C33" s="5">
        <v>1036939.8168504873</v>
      </c>
      <c r="D33" s="5">
        <v>54597.568599999649</v>
      </c>
      <c r="E33" s="5">
        <v>-56319.259040000208</v>
      </c>
      <c r="F33" s="5">
        <v>8290.3699999999953</v>
      </c>
      <c r="G33" s="73">
        <v>1651163.3838105029</v>
      </c>
      <c r="P33" s="5">
        <f>'[5]Mrkg to Mkt Gold'!$E$28</f>
        <v>607654.88740001619</v>
      </c>
      <c r="Q33" s="5">
        <f>'[5]Mkg to Mkt Silver'!$E$28</f>
        <v>1036939.8168504873</v>
      </c>
      <c r="R33" s="5">
        <f>'[5]Mkg to Mkt Platinum  '!$E$28</f>
        <v>54597.568599999649</v>
      </c>
      <c r="S33" s="5">
        <f>'[5]Mkg to Mkt Palladium'!$E$28</f>
        <v>-56319.259040000208</v>
      </c>
      <c r="T33" s="5">
        <f>'[5]Mkg to Mkt Rhodium'!$E$28</f>
        <v>8290.3699999999953</v>
      </c>
      <c r="U33" s="73">
        <f>SUM(P33:T33)</f>
        <v>1651163.3838105029</v>
      </c>
    </row>
    <row r="34" spans="1:24" ht="15.75" thickBot="1" x14ac:dyDescent="0.3">
      <c r="A34" s="54" t="s">
        <v>222</v>
      </c>
      <c r="B34" s="74"/>
      <c r="C34" s="74"/>
      <c r="D34" s="74"/>
      <c r="E34" s="74"/>
      <c r="F34" s="74"/>
      <c r="G34" s="75">
        <v>-1617.38</v>
      </c>
      <c r="P34" s="74"/>
      <c r="Q34" s="74"/>
      <c r="R34" s="74"/>
      <c r="S34" s="74"/>
      <c r="T34" s="74"/>
      <c r="U34" s="75">
        <v>-1617.38</v>
      </c>
    </row>
    <row r="35" spans="1:24" ht="15.75" thickBot="1" x14ac:dyDescent="0.3">
      <c r="A35" s="54"/>
      <c r="B35" s="76">
        <v>392104.72259996831</v>
      </c>
      <c r="C35" s="76">
        <v>337146.02314954426</v>
      </c>
      <c r="D35" s="76">
        <v>43523.031400000909</v>
      </c>
      <c r="E35" s="76">
        <v>18727.819040000031</v>
      </c>
      <c r="F35" s="76">
        <v>14016.5</v>
      </c>
      <c r="G35" s="66">
        <v>807135.47618953942</v>
      </c>
      <c r="P35" s="76">
        <f>+P29-P30-P31-P32-P33</f>
        <v>392104.72259996831</v>
      </c>
      <c r="Q35" s="76">
        <f>+Q29-Q30-Q31-Q32-Q33</f>
        <v>337146.02314954426</v>
      </c>
      <c r="R35" s="76">
        <f>+R29-R30-R31-R32-R33</f>
        <v>43523.031400000909</v>
      </c>
      <c r="S35" s="76">
        <f>+S29-S30-S31-S32-S33</f>
        <v>18727.819040000031</v>
      </c>
      <c r="T35" s="76">
        <f>+T29-T30-T31-T32-T33</f>
        <v>14016.5</v>
      </c>
      <c r="U35" s="66">
        <f>+U29-U30-U31-U32-U33-U34</f>
        <v>807135.47618953942</v>
      </c>
    </row>
    <row r="36" spans="1:24" ht="15.75" thickTop="1" x14ac:dyDescent="0.25">
      <c r="A36" s="54"/>
      <c r="B36" s="77"/>
      <c r="C36" s="77"/>
      <c r="D36" s="77"/>
      <c r="E36" s="77"/>
      <c r="F36" s="77"/>
      <c r="G36" s="59"/>
      <c r="P36" s="77"/>
      <c r="Q36" s="77"/>
      <c r="R36" s="77"/>
      <c r="S36" s="77"/>
      <c r="T36" s="77"/>
      <c r="U36" s="59"/>
    </row>
    <row r="37" spans="1:24" x14ac:dyDescent="0.25">
      <c r="A37" s="54" t="s">
        <v>223</v>
      </c>
      <c r="B37" s="5">
        <v>301276.599516891</v>
      </c>
      <c r="C37" s="5">
        <v>314838.27600001462</v>
      </c>
      <c r="D37" s="5">
        <v>40496.840099999994</v>
      </c>
      <c r="E37" s="5">
        <v>14645.328399999986</v>
      </c>
      <c r="F37" s="5">
        <v>10671.25</v>
      </c>
      <c r="G37" s="59">
        <v>681928.29401690571</v>
      </c>
      <c r="P37" s="5">
        <f>'[3]Comparison 2017-2018'!$B$54</f>
        <v>301276.599516891</v>
      </c>
      <c r="Q37" s="5">
        <f>'[3]Comparison 2017-2018'!$C$54</f>
        <v>314838.27600001462</v>
      </c>
      <c r="R37" s="5">
        <f>'[3]Comparison 2017-2018'!$D$54</f>
        <v>40496.840099999994</v>
      </c>
      <c r="S37" s="5">
        <f>'[3]Comparison 2017-2018'!$E$54</f>
        <v>14645.328399999986</v>
      </c>
      <c r="T37" s="5">
        <f>'[3]Comparison 2017-2018'!$F$54</f>
        <v>10671.25</v>
      </c>
      <c r="U37" s="59">
        <f t="shared" ref="U37:U43" si="2">SUM(P37:T37)</f>
        <v>681928.29401690571</v>
      </c>
    </row>
    <row r="38" spans="1:24" x14ac:dyDescent="0.25">
      <c r="A38" s="54" t="s">
        <v>224</v>
      </c>
      <c r="B38" s="5">
        <v>2264.54</v>
      </c>
      <c r="C38" s="5">
        <v>222.6</v>
      </c>
      <c r="D38" s="5">
        <v>0</v>
      </c>
      <c r="E38" s="5">
        <v>0</v>
      </c>
      <c r="F38" s="5">
        <v>0</v>
      </c>
      <c r="G38" s="59">
        <v>2487.14</v>
      </c>
      <c r="P38" s="5">
        <v>2264.54</v>
      </c>
      <c r="Q38" s="5">
        <v>222.6</v>
      </c>
      <c r="R38" s="5">
        <v>0</v>
      </c>
      <c r="S38" s="5">
        <v>0</v>
      </c>
      <c r="T38" s="5">
        <v>0</v>
      </c>
      <c r="U38" s="59">
        <f t="shared" si="2"/>
        <v>2487.14</v>
      </c>
    </row>
    <row r="39" spans="1:24" x14ac:dyDescent="0.25">
      <c r="A39" s="54" t="s">
        <v>225</v>
      </c>
      <c r="B39" s="5">
        <v>23083.65</v>
      </c>
      <c r="C39" s="5">
        <v>3212.99</v>
      </c>
      <c r="D39" s="5">
        <v>9893.18</v>
      </c>
      <c r="E39" s="5">
        <v>0</v>
      </c>
      <c r="F39" s="5">
        <v>0</v>
      </c>
      <c r="G39" s="59">
        <v>36189.82</v>
      </c>
      <c r="P39" s="5">
        <f>[4]Feb!$B$10</f>
        <v>23083.65</v>
      </c>
      <c r="Q39" s="5">
        <f>[4]Feb!$B$20</f>
        <v>3212.99</v>
      </c>
      <c r="R39" s="5">
        <f>[4]Feb!$B$26</f>
        <v>9893.18</v>
      </c>
      <c r="S39" s="5">
        <v>0</v>
      </c>
      <c r="T39" s="5">
        <v>0</v>
      </c>
      <c r="U39" s="59">
        <f t="shared" si="2"/>
        <v>36189.82</v>
      </c>
    </row>
    <row r="40" spans="1:24" x14ac:dyDescent="0.25">
      <c r="A40" s="54" t="s">
        <v>226</v>
      </c>
      <c r="B40" s="5">
        <v>-4530.13</v>
      </c>
      <c r="C40" s="5">
        <v>-104404.39</v>
      </c>
      <c r="D40" s="5">
        <v>0</v>
      </c>
      <c r="E40" s="5">
        <v>0</v>
      </c>
      <c r="F40" s="5">
        <v>0</v>
      </c>
      <c r="G40" s="59">
        <v>-108934.52</v>
      </c>
      <c r="P40" s="5">
        <v>-4530.13</v>
      </c>
      <c r="Q40" s="5">
        <v>-104404.39</v>
      </c>
      <c r="R40" s="5">
        <v>0</v>
      </c>
      <c r="S40" s="5">
        <v>0</v>
      </c>
      <c r="T40" s="5">
        <v>0</v>
      </c>
      <c r="U40" s="59">
        <f t="shared" si="2"/>
        <v>-108934.52</v>
      </c>
    </row>
    <row r="41" spans="1:24" x14ac:dyDescent="0.25">
      <c r="A41" s="54" t="s">
        <v>227</v>
      </c>
      <c r="B41" s="5">
        <v>8840</v>
      </c>
      <c r="C41" s="5">
        <v>42577</v>
      </c>
      <c r="D41" s="5"/>
      <c r="E41" s="5"/>
      <c r="F41" s="5"/>
      <c r="G41" s="59">
        <v>51417</v>
      </c>
      <c r="P41" s="5">
        <v>8840</v>
      </c>
      <c r="Q41" s="5">
        <v>42577</v>
      </c>
      <c r="R41" s="5"/>
      <c r="S41" s="5"/>
      <c r="T41" s="5"/>
      <c r="U41" s="59">
        <f t="shared" si="2"/>
        <v>51417</v>
      </c>
    </row>
    <row r="42" spans="1:24" x14ac:dyDescent="0.25">
      <c r="A42" s="54" t="s">
        <v>228</v>
      </c>
      <c r="B42" s="5">
        <v>0</v>
      </c>
      <c r="C42" s="5">
        <v>0</v>
      </c>
      <c r="D42" s="5"/>
      <c r="E42" s="5"/>
      <c r="F42" s="5"/>
      <c r="G42" s="59">
        <v>0</v>
      </c>
      <c r="P42" s="5">
        <v>0</v>
      </c>
      <c r="Q42" s="5">
        <v>0</v>
      </c>
      <c r="R42" s="5"/>
      <c r="S42" s="5"/>
      <c r="T42" s="5"/>
      <c r="U42" s="59">
        <f t="shared" si="2"/>
        <v>0</v>
      </c>
    </row>
    <row r="43" spans="1:24" x14ac:dyDescent="0.25">
      <c r="A43" s="54" t="s">
        <v>36</v>
      </c>
      <c r="B43" s="5">
        <v>-18000</v>
      </c>
      <c r="C43" s="5">
        <v>-17000</v>
      </c>
      <c r="D43" s="5"/>
      <c r="E43" s="5"/>
      <c r="F43" s="5"/>
      <c r="G43" s="59">
        <v>-35000</v>
      </c>
      <c r="P43" s="5">
        <v>-18000</v>
      </c>
      <c r="Q43" s="5">
        <v>-17000</v>
      </c>
      <c r="R43" s="5"/>
      <c r="S43" s="5"/>
      <c r="T43" s="5"/>
      <c r="U43" s="59">
        <f t="shared" si="2"/>
        <v>-35000</v>
      </c>
    </row>
    <row r="44" spans="1:24" x14ac:dyDescent="0.25">
      <c r="A44" s="54"/>
      <c r="B44" s="10"/>
      <c r="C44" s="10"/>
      <c r="D44" s="10"/>
      <c r="E44" s="10"/>
      <c r="F44" s="10"/>
      <c r="G44" s="59"/>
      <c r="P44" s="10"/>
      <c r="Q44" s="10"/>
      <c r="R44" s="10"/>
      <c r="S44" s="10"/>
      <c r="T44" s="10"/>
      <c r="U44" s="59"/>
    </row>
    <row r="45" spans="1:24" x14ac:dyDescent="0.25">
      <c r="A45" s="54" t="s">
        <v>221</v>
      </c>
      <c r="B45" s="78">
        <v>79170.063083077315</v>
      </c>
      <c r="C45" s="78">
        <v>97699.547149529681</v>
      </c>
      <c r="D45" s="78">
        <v>-6866.9886999990849</v>
      </c>
      <c r="E45" s="78">
        <v>4082.4906400000455</v>
      </c>
      <c r="F45" s="78">
        <v>3345.25</v>
      </c>
      <c r="G45" s="59">
        <v>179047.74217263376</v>
      </c>
      <c r="P45" s="78">
        <f>P35-SUM(P37:P43)</f>
        <v>79170.063083077315</v>
      </c>
      <c r="Q45" s="78">
        <f t="shared" ref="Q45:T45" si="3">Q35-SUM(Q37:Q43)</f>
        <v>97699.547149529681</v>
      </c>
      <c r="R45" s="78">
        <f t="shared" si="3"/>
        <v>-6866.9886999990849</v>
      </c>
      <c r="S45" s="78">
        <f t="shared" si="3"/>
        <v>4082.4906400000455</v>
      </c>
      <c r="T45" s="78">
        <f t="shared" si="3"/>
        <v>3345.25</v>
      </c>
      <c r="U45" s="59">
        <f>+U35-SUM(U37:U43)</f>
        <v>179047.74217263376</v>
      </c>
      <c r="V45" s="48">
        <f>SUM(P45:T45)-U34</f>
        <v>179047.74217260795</v>
      </c>
      <c r="W45" s="70">
        <f>U45-V45</f>
        <v>2.5815097615122795E-8</v>
      </c>
      <c r="X45" s="48" t="s">
        <v>229</v>
      </c>
    </row>
    <row r="46" spans="1:24" ht="15.75" thickBot="1" x14ac:dyDescent="0.3">
      <c r="A46" s="72" t="s">
        <v>230</v>
      </c>
      <c r="B46" s="79">
        <v>1315.5</v>
      </c>
      <c r="C46" s="79">
        <v>16.324000000000002</v>
      </c>
      <c r="D46" s="79">
        <v>986.6</v>
      </c>
      <c r="E46" s="79">
        <v>1047.2</v>
      </c>
      <c r="F46" s="79">
        <v>1870</v>
      </c>
      <c r="G46" s="80"/>
      <c r="P46" s="79">
        <v>1315.5</v>
      </c>
      <c r="Q46" s="79">
        <v>16.324000000000002</v>
      </c>
      <c r="R46" s="79">
        <v>986.6</v>
      </c>
      <c r="S46" s="79">
        <v>1047.2</v>
      </c>
      <c r="T46" s="79">
        <v>1870</v>
      </c>
      <c r="U46" s="80"/>
      <c r="V46" s="48">
        <f>'[1]P&amp;L Compare to Hedge 2018'!$C$45</f>
        <v>179047.73598288454</v>
      </c>
      <c r="W46" s="47">
        <f>U45-V46-0.01</f>
        <v>-3.8102507730945947E-3</v>
      </c>
      <c r="X46" s="49" t="s">
        <v>231</v>
      </c>
    </row>
    <row r="47" spans="1:24" x14ac:dyDescent="0.25">
      <c r="A47" s="108" t="s">
        <v>209</v>
      </c>
      <c r="D47" s="49"/>
      <c r="E47" s="49"/>
      <c r="F47" s="49"/>
      <c r="G47" s="49"/>
      <c r="P47" s="49"/>
      <c r="Q47" s="49"/>
      <c r="R47" s="49"/>
      <c r="S47" s="49"/>
      <c r="T47" s="49"/>
      <c r="U47" s="49"/>
    </row>
    <row r="48" spans="1:24" x14ac:dyDescent="0.25">
      <c r="A48" s="109" t="s">
        <v>210</v>
      </c>
      <c r="D48" s="49"/>
      <c r="E48" s="49"/>
      <c r="F48" s="49"/>
      <c r="G48" s="49"/>
      <c r="P48" s="49"/>
      <c r="Q48" s="49"/>
      <c r="R48" s="49"/>
      <c r="S48" s="49"/>
      <c r="T48" s="49"/>
      <c r="U48" s="49"/>
    </row>
    <row r="49" spans="1:23" x14ac:dyDescent="0.25">
      <c r="A49" s="110">
        <v>43190</v>
      </c>
      <c r="D49" s="49"/>
      <c r="E49" s="49"/>
      <c r="F49" s="49"/>
      <c r="G49" s="49"/>
      <c r="P49" s="49"/>
      <c r="Q49" s="49"/>
      <c r="R49" s="49"/>
      <c r="S49" s="49"/>
      <c r="T49" s="49"/>
      <c r="U49" s="49"/>
    </row>
    <row r="50" spans="1:23" x14ac:dyDescent="0.25">
      <c r="A50" s="51"/>
      <c r="B50" s="52"/>
      <c r="C50" s="52"/>
      <c r="D50" s="52"/>
      <c r="E50" s="52"/>
      <c r="F50" s="52"/>
      <c r="G50" s="53"/>
      <c r="P50" s="52"/>
      <c r="Q50" s="52"/>
      <c r="R50" s="52"/>
      <c r="S50" s="52"/>
      <c r="T50" s="52"/>
      <c r="U50" s="53"/>
    </row>
    <row r="51" spans="1:23" s="58" customFormat="1" x14ac:dyDescent="0.25">
      <c r="A51" s="54"/>
      <c r="B51" s="55" t="s">
        <v>211</v>
      </c>
      <c r="C51" s="55" t="s">
        <v>212</v>
      </c>
      <c r="D51" s="55" t="s">
        <v>213</v>
      </c>
      <c r="E51" s="55" t="s">
        <v>214</v>
      </c>
      <c r="F51" s="55" t="s">
        <v>215</v>
      </c>
      <c r="G51" s="56" t="s">
        <v>216</v>
      </c>
      <c r="P51" s="55" t="s">
        <v>211</v>
      </c>
      <c r="Q51" s="55" t="s">
        <v>212</v>
      </c>
      <c r="R51" s="55" t="s">
        <v>213</v>
      </c>
      <c r="S51" s="55" t="s">
        <v>214</v>
      </c>
      <c r="T51" s="55" t="s">
        <v>215</v>
      </c>
      <c r="U51" s="56" t="s">
        <v>216</v>
      </c>
      <c r="V51" s="57"/>
    </row>
    <row r="52" spans="1:23" x14ac:dyDescent="0.25">
      <c r="A52" s="54" t="s">
        <v>62</v>
      </c>
      <c r="B52" s="5">
        <v>101069868.19</v>
      </c>
      <c r="C52" s="5">
        <v>305312522.13</v>
      </c>
      <c r="D52" s="5">
        <v>622399.88</v>
      </c>
      <c r="E52" s="5">
        <v>1427673</v>
      </c>
      <c r="F52" s="5">
        <v>108078.75</v>
      </c>
      <c r="G52" s="59">
        <v>408540541.94999999</v>
      </c>
      <c r="P52" s="5">
        <f>'[1]P&amp;L Compare to Hedge 2018'!$D$5</f>
        <v>101069868.19</v>
      </c>
      <c r="Q52" s="5">
        <f>'[1]P&amp;L Compare to Hedge 2018'!$D$6</f>
        <v>305312522.13</v>
      </c>
      <c r="R52" s="5">
        <f>'[1]P&amp;L Compare to Hedge 2018'!$D$7</f>
        <v>622399.88</v>
      </c>
      <c r="S52" s="5">
        <f>'[1]P&amp;L Compare to Hedge 2018'!$D$8</f>
        <v>1427673</v>
      </c>
      <c r="T52" s="5">
        <f>'[1]P&amp;L Compare to Hedge 2018'!$D$9</f>
        <v>108078.75</v>
      </c>
      <c r="U52" s="59">
        <f>SUM(P52:T52)</f>
        <v>408540541.94999999</v>
      </c>
    </row>
    <row r="53" spans="1:23" x14ac:dyDescent="0.25">
      <c r="A53" s="54" t="s">
        <v>217</v>
      </c>
      <c r="B53" s="5">
        <v>100906197.60999998</v>
      </c>
      <c r="C53" s="5">
        <v>305678068.99000001</v>
      </c>
      <c r="D53" s="5">
        <v>618326.57000000007</v>
      </c>
      <c r="E53" s="5">
        <v>1446310.3</v>
      </c>
      <c r="F53" s="5">
        <v>104546.19</v>
      </c>
      <c r="G53" s="59">
        <v>408753449.66000003</v>
      </c>
      <c r="P53" s="5">
        <f>'[1]P&amp;L Compare to Hedge 2018'!$D$14</f>
        <v>100906197.60999998</v>
      </c>
      <c r="Q53" s="5">
        <f>'[1]P&amp;L Compare to Hedge 2018'!$D$15</f>
        <v>305678068.99000001</v>
      </c>
      <c r="R53" s="5">
        <f>'[1]P&amp;L Compare to Hedge 2018'!$D$16</f>
        <v>618326.57000000007</v>
      </c>
      <c r="S53" s="5">
        <f>'[1]P&amp;L Compare to Hedge 2018'!$D$17</f>
        <v>1446310.3</v>
      </c>
      <c r="T53" s="5">
        <f>'[1]P&amp;L Compare to Hedge 2018'!$D$18</f>
        <v>104546.19</v>
      </c>
      <c r="U53" s="59">
        <f>SUM(P53:T53)</f>
        <v>408753449.66000003</v>
      </c>
    </row>
    <row r="54" spans="1:23" x14ac:dyDescent="0.25">
      <c r="A54" s="54" t="s">
        <v>218</v>
      </c>
      <c r="B54" s="5">
        <v>-102046.03999999166</v>
      </c>
      <c r="C54" s="5">
        <v>73914.890000000596</v>
      </c>
      <c r="D54" s="5">
        <v>-28127.939999999944</v>
      </c>
      <c r="E54" s="5">
        <v>-35497.39</v>
      </c>
      <c r="F54" s="5">
        <v>0</v>
      </c>
      <c r="G54" s="59">
        <v>-91756.479999991003</v>
      </c>
      <c r="P54" s="5">
        <f>'[1]P&amp;L Compare to Hedge 2018'!$D$21</f>
        <v>-102046.03999999166</v>
      </c>
      <c r="Q54" s="5">
        <f>'[1]P&amp;L Compare to Hedge 2018'!$D$22</f>
        <v>73914.890000000596</v>
      </c>
      <c r="R54" s="5">
        <f>'[1]P&amp;L Compare to Hedge 2018'!$D$23</f>
        <v>-28127.939999999944</v>
      </c>
      <c r="S54" s="5">
        <f>'[1]P&amp;L Compare to Hedge 2018'!$D$24</f>
        <v>-35497.39</v>
      </c>
      <c r="T54" s="5">
        <v>0</v>
      </c>
      <c r="U54" s="59">
        <f>SUM(P54:T54)</f>
        <v>-91756.479999991003</v>
      </c>
    </row>
    <row r="55" spans="1:23" x14ac:dyDescent="0.25">
      <c r="A55" s="54" t="s">
        <v>219</v>
      </c>
      <c r="B55" s="5">
        <v>-649600</v>
      </c>
      <c r="C55" s="5">
        <v>67555.530000001192</v>
      </c>
      <c r="D55" s="5">
        <v>-3890</v>
      </c>
      <c r="E55" s="5">
        <v>0</v>
      </c>
      <c r="F55" s="10">
        <v>0</v>
      </c>
      <c r="G55" s="59">
        <v>-585934.46999999881</v>
      </c>
      <c r="P55" s="5">
        <f>'[1]P&amp;L Compare to Hedge 2018'!$D$26</f>
        <v>-649600</v>
      </c>
      <c r="Q55" s="5">
        <f>'[1]P&amp;L Compare to Hedge 2018'!$D$27</f>
        <v>67555.530000001192</v>
      </c>
      <c r="R55" s="5">
        <f>'[1]P&amp;L Compare to Hedge 2018'!$D$28</f>
        <v>-3890</v>
      </c>
      <c r="S55" s="5">
        <f>'[1]P&amp;L Compare to Hedge 2018'!$D$29</f>
        <v>0</v>
      </c>
      <c r="T55" s="10">
        <v>0</v>
      </c>
      <c r="U55" s="59">
        <f>SUM(P55:T55)</f>
        <v>-585934.46999999881</v>
      </c>
    </row>
    <row r="56" spans="1:23" ht="15.75" thickBot="1" x14ac:dyDescent="0.3">
      <c r="A56" s="54" t="s">
        <v>220</v>
      </c>
      <c r="B56" s="10">
        <v>567828.19951001555</v>
      </c>
      <c r="C56" s="10">
        <v>-931711.66054889513</v>
      </c>
      <c r="D56" s="10">
        <v>-2899.6698899999028</v>
      </c>
      <c r="E56" s="10">
        <v>-27321.270960000053</v>
      </c>
      <c r="F56" s="10">
        <v>-19993.190000000017</v>
      </c>
      <c r="G56" s="73">
        <v>-414097.59188887954</v>
      </c>
      <c r="P56" s="10">
        <f>'[6]Mrkg to Mkt Gold'!$E$28</f>
        <v>567828.19951001555</v>
      </c>
      <c r="Q56" s="10">
        <f>'[6]Mkg to Mkt Silver'!$E$28</f>
        <v>-931711.66054889513</v>
      </c>
      <c r="R56" s="10">
        <f>'[6]Mkg to Mkt Platinum  '!$E$28</f>
        <v>-2899.6698899999028</v>
      </c>
      <c r="S56" s="10">
        <f>'[6]Mkg to Mkt Palladium'!$E$28</f>
        <v>-27321.270960000053</v>
      </c>
      <c r="T56" s="10">
        <f>'[6]Mkg to Mkt Rhodium'!$E$28</f>
        <v>-19993.190000000017</v>
      </c>
      <c r="U56" s="73">
        <f>SUM(P56:T56)</f>
        <v>-414097.59188887954</v>
      </c>
    </row>
    <row r="57" spans="1:23" ht="15.75" thickBot="1" x14ac:dyDescent="0.3">
      <c r="A57" s="54" t="s">
        <v>222</v>
      </c>
      <c r="B57" s="74"/>
      <c r="C57" s="74"/>
      <c r="D57" s="74"/>
      <c r="E57" s="74"/>
      <c r="F57" s="74"/>
      <c r="G57" s="75">
        <v>5756.07</v>
      </c>
      <c r="P57" s="74"/>
      <c r="Q57" s="74"/>
      <c r="R57" s="74"/>
      <c r="S57" s="74"/>
      <c r="T57" s="74"/>
      <c r="U57" s="75">
        <f>'[1]P&amp;L Compare to Hedge 2018'!$D$32</f>
        <v>5756.07</v>
      </c>
    </row>
    <row r="58" spans="1:23" ht="15.75" thickBot="1" x14ac:dyDescent="0.3">
      <c r="A58" s="54"/>
      <c r="B58" s="76">
        <v>347488.42048998922</v>
      </c>
      <c r="C58" s="76">
        <v>424694.38054887904</v>
      </c>
      <c r="D58" s="76">
        <v>38990.919889999786</v>
      </c>
      <c r="E58" s="76">
        <v>44181.360960000005</v>
      </c>
      <c r="F58" s="76">
        <v>23525.750000000015</v>
      </c>
      <c r="G58" s="66">
        <v>873124.76188883127</v>
      </c>
      <c r="P58" s="76">
        <f>+P52-P53-P54-P55-P56</f>
        <v>347488.42048998922</v>
      </c>
      <c r="Q58" s="76">
        <f>+Q52-Q53-Q54-Q55-Q56</f>
        <v>424694.38054887904</v>
      </c>
      <c r="R58" s="76">
        <f>+R52-R53-R54-R55-R56</f>
        <v>38990.919889999786</v>
      </c>
      <c r="S58" s="76">
        <f>+S52-S53-S54-S55-S56</f>
        <v>44181.360960000005</v>
      </c>
      <c r="T58" s="76">
        <f>+T52-T53-T54-T55-T56</f>
        <v>23525.750000000015</v>
      </c>
      <c r="U58" s="66">
        <f>+U52-U53-U54-U55-U56-U57</f>
        <v>873124.76188883127</v>
      </c>
      <c r="W58" s="70"/>
    </row>
    <row r="59" spans="1:23" ht="15.75" thickTop="1" x14ac:dyDescent="0.25">
      <c r="A59" s="54"/>
      <c r="B59" s="77"/>
      <c r="C59" s="77"/>
      <c r="D59" s="77"/>
      <c r="E59" s="77"/>
      <c r="F59" s="77"/>
      <c r="G59" s="59"/>
      <c r="P59" s="77"/>
      <c r="Q59" s="77"/>
      <c r="R59" s="77"/>
      <c r="S59" s="77"/>
      <c r="T59" s="77"/>
      <c r="U59" s="59"/>
    </row>
    <row r="60" spans="1:23" x14ac:dyDescent="0.25">
      <c r="A60" s="54" t="s">
        <v>223</v>
      </c>
      <c r="B60" s="81">
        <v>332184.39528701216</v>
      </c>
      <c r="C60" s="81">
        <v>311757.88299998752</v>
      </c>
      <c r="D60" s="81">
        <v>8782.1078999999936</v>
      </c>
      <c r="E60" s="81">
        <v>14892.187999999987</v>
      </c>
      <c r="F60" s="81">
        <v>6747.14</v>
      </c>
      <c r="G60" s="59">
        <v>674363.7141869996</v>
      </c>
      <c r="P60" s="81">
        <f>'[3]Comparison 2017-2018'!$B$80</f>
        <v>332184.39528701216</v>
      </c>
      <c r="Q60" s="81">
        <f>'[3]Comparison 2017-2018'!$C$80</f>
        <v>311757.88299998752</v>
      </c>
      <c r="R60" s="81">
        <f>'[3]Comparison 2017-2018'!$D$80</f>
        <v>8782.1078999999936</v>
      </c>
      <c r="S60" s="81">
        <f>'[3]Comparison 2017-2018'!$E$80</f>
        <v>14892.187999999987</v>
      </c>
      <c r="T60" s="81">
        <f>'[3]Comparison 2017-2018'!$F$80</f>
        <v>6747.14</v>
      </c>
      <c r="U60" s="59">
        <f t="shared" ref="U60:U66" si="4">SUM(P60:T60)</f>
        <v>674363.7141869996</v>
      </c>
    </row>
    <row r="61" spans="1:23" x14ac:dyDescent="0.25">
      <c r="A61" s="54" t="s">
        <v>224</v>
      </c>
      <c r="B61" s="10">
        <v>3529.42</v>
      </c>
      <c r="C61" s="10">
        <v>2652.3</v>
      </c>
      <c r="D61" s="10">
        <v>0</v>
      </c>
      <c r="E61" s="10">
        <v>0</v>
      </c>
      <c r="F61" s="10">
        <v>0</v>
      </c>
      <c r="G61" s="59">
        <v>6181.72</v>
      </c>
      <c r="P61" s="10">
        <v>3529.42</v>
      </c>
      <c r="Q61" s="10">
        <v>2652.3</v>
      </c>
      <c r="R61" s="10">
        <v>0</v>
      </c>
      <c r="S61" s="10">
        <v>0</v>
      </c>
      <c r="T61" s="10">
        <v>0</v>
      </c>
      <c r="U61" s="59">
        <f t="shared" si="4"/>
        <v>6181.72</v>
      </c>
    </row>
    <row r="62" spans="1:23" x14ac:dyDescent="0.25">
      <c r="A62" s="54" t="s">
        <v>225</v>
      </c>
      <c r="B62" s="10">
        <v>22978.059999999998</v>
      </c>
      <c r="C62" s="10">
        <v>8036.34</v>
      </c>
      <c r="D62" s="10">
        <v>59317.869999999995</v>
      </c>
      <c r="E62" s="10">
        <v>0</v>
      </c>
      <c r="F62" s="10">
        <v>0</v>
      </c>
      <c r="G62" s="59">
        <v>90332.26999999999</v>
      </c>
      <c r="P62" s="10">
        <f>[4]Mar!$B$10</f>
        <v>22978.059999999998</v>
      </c>
      <c r="Q62" s="10">
        <f>[4]Mar!$B$20</f>
        <v>8036.34</v>
      </c>
      <c r="R62" s="10">
        <f>[4]Mar!$B$26+[4]Mar!$B$31</f>
        <v>59317.869999999995</v>
      </c>
      <c r="S62" s="10">
        <v>0</v>
      </c>
      <c r="T62" s="10">
        <v>0</v>
      </c>
      <c r="U62" s="59">
        <f t="shared" si="4"/>
        <v>90332.26999999999</v>
      </c>
    </row>
    <row r="63" spans="1:23" x14ac:dyDescent="0.25">
      <c r="A63" s="54" t="s">
        <v>226</v>
      </c>
      <c r="B63" s="10">
        <v>-7369.6</v>
      </c>
      <c r="C63" s="10">
        <v>-19853.800000000003</v>
      </c>
      <c r="D63" s="10">
        <v>0</v>
      </c>
      <c r="E63" s="10">
        <v>0</v>
      </c>
      <c r="F63" s="10">
        <v>0</v>
      </c>
      <c r="G63" s="59">
        <v>-27223.4</v>
      </c>
      <c r="P63" s="10">
        <v>-7369.6</v>
      </c>
      <c r="Q63" s="10">
        <f>-27223.4+7369.6</f>
        <v>-19853.800000000003</v>
      </c>
      <c r="R63" s="10">
        <v>0</v>
      </c>
      <c r="S63" s="10">
        <v>0</v>
      </c>
      <c r="T63" s="10">
        <v>0</v>
      </c>
      <c r="U63" s="59">
        <f t="shared" si="4"/>
        <v>-27223.4</v>
      </c>
    </row>
    <row r="64" spans="1:23" x14ac:dyDescent="0.25">
      <c r="A64" s="54" t="s">
        <v>227</v>
      </c>
      <c r="B64" s="10">
        <v>-5460</v>
      </c>
      <c r="C64" s="10">
        <v>61057</v>
      </c>
      <c r="D64" s="6">
        <v>-530</v>
      </c>
      <c r="E64" s="6"/>
      <c r="F64" s="6"/>
      <c r="G64" s="59">
        <v>55067</v>
      </c>
      <c r="P64" s="10">
        <v>-5460</v>
      </c>
      <c r="Q64" s="10">
        <v>61057</v>
      </c>
      <c r="R64" s="6">
        <v>-530</v>
      </c>
      <c r="S64" s="6"/>
      <c r="T64" s="6"/>
      <c r="U64" s="59">
        <f t="shared" si="4"/>
        <v>55067</v>
      </c>
    </row>
    <row r="65" spans="1:24" x14ac:dyDescent="0.25">
      <c r="A65" s="54" t="s">
        <v>36</v>
      </c>
      <c r="B65" s="10">
        <v>-18000</v>
      </c>
      <c r="C65" s="10">
        <v>-17000</v>
      </c>
      <c r="D65" s="10"/>
      <c r="E65" s="10"/>
      <c r="F65" s="10"/>
      <c r="G65" s="59">
        <v>-35000</v>
      </c>
      <c r="P65" s="10">
        <v>-18000</v>
      </c>
      <c r="Q65" s="10">
        <v>-17000</v>
      </c>
      <c r="R65" s="10"/>
      <c r="S65" s="10"/>
      <c r="T65" s="10"/>
      <c r="U65" s="59">
        <f t="shared" si="4"/>
        <v>-35000</v>
      </c>
    </row>
    <row r="66" spans="1:24" x14ac:dyDescent="0.25">
      <c r="A66" s="54" t="s">
        <v>228</v>
      </c>
      <c r="B66" s="10">
        <v>0</v>
      </c>
      <c r="C66" s="10">
        <v>0</v>
      </c>
      <c r="D66" s="10"/>
      <c r="E66" s="10"/>
      <c r="F66" s="10"/>
      <c r="G66" s="59">
        <v>0</v>
      </c>
      <c r="P66" s="10">
        <v>0</v>
      </c>
      <c r="Q66" s="10">
        <v>0</v>
      </c>
      <c r="R66" s="10"/>
      <c r="S66" s="10"/>
      <c r="T66" s="10"/>
      <c r="U66" s="59">
        <f t="shared" si="4"/>
        <v>0</v>
      </c>
    </row>
    <row r="67" spans="1:24" x14ac:dyDescent="0.25">
      <c r="A67" s="54"/>
      <c r="B67" s="10"/>
      <c r="C67" s="10"/>
      <c r="D67" s="10"/>
      <c r="E67" s="10"/>
      <c r="F67" s="10"/>
      <c r="G67" s="59"/>
      <c r="P67" s="10"/>
      <c r="Q67" s="10"/>
      <c r="R67" s="10"/>
      <c r="S67" s="10"/>
      <c r="T67" s="10"/>
      <c r="U67" s="59"/>
      <c r="V67" s="48">
        <f>SUM(P68:T68)-U57</f>
        <v>109403.45770186838</v>
      </c>
      <c r="W67" s="70">
        <f>U68-V67</f>
        <v>-3.6670826375484467E-8</v>
      </c>
      <c r="X67" s="48" t="s">
        <v>229</v>
      </c>
    </row>
    <row r="68" spans="1:24" x14ac:dyDescent="0.25">
      <c r="A68" s="54" t="s">
        <v>221</v>
      </c>
      <c r="B68" s="78">
        <v>19626.145202977059</v>
      </c>
      <c r="C68" s="78">
        <v>78044.657548891497</v>
      </c>
      <c r="D68" s="78">
        <v>-28579.058010000197</v>
      </c>
      <c r="E68" s="78">
        <v>29289.172960000018</v>
      </c>
      <c r="F68" s="78">
        <v>16778.610000000015</v>
      </c>
      <c r="G68" s="59">
        <v>109403.45770183171</v>
      </c>
      <c r="P68" s="78">
        <f>+P58-SUM(P60:P66)</f>
        <v>19626.145202977059</v>
      </c>
      <c r="Q68" s="78">
        <f t="shared" ref="Q68:T68" si="5">+Q58-SUM(Q60:Q66)</f>
        <v>78044.657548891497</v>
      </c>
      <c r="R68" s="78">
        <f t="shared" si="5"/>
        <v>-28579.058010000197</v>
      </c>
      <c r="S68" s="78">
        <f t="shared" si="5"/>
        <v>29289.172960000018</v>
      </c>
      <c r="T68" s="78">
        <f t="shared" si="5"/>
        <v>16778.610000000015</v>
      </c>
      <c r="U68" s="59">
        <f>+U58-SUM(U60:U66)</f>
        <v>109403.45770183171</v>
      </c>
      <c r="V68" s="48">
        <f>'[1]P&amp;L Compare to Hedge 2018'!$D$45</f>
        <v>109403.45581293106</v>
      </c>
      <c r="W68" s="47">
        <f>U68-V68</f>
        <v>1.8889006460085511E-3</v>
      </c>
      <c r="X68" s="49" t="s">
        <v>231</v>
      </c>
    </row>
    <row r="69" spans="1:24" ht="15.75" thickBot="1" x14ac:dyDescent="0.3">
      <c r="A69" s="72" t="s">
        <v>230</v>
      </c>
      <c r="B69" s="79">
        <v>1322.8</v>
      </c>
      <c r="C69" s="79">
        <v>16.222999999999999</v>
      </c>
      <c r="D69" s="79">
        <v>927.3</v>
      </c>
      <c r="E69" s="79">
        <v>944.8</v>
      </c>
      <c r="F69" s="79">
        <v>2040</v>
      </c>
      <c r="G69" s="80"/>
      <c r="P69" s="79">
        <v>1322.8</v>
      </c>
      <c r="Q69" s="79">
        <v>16.222999999999999</v>
      </c>
      <c r="R69" s="79">
        <v>927.3</v>
      </c>
      <c r="S69" s="79">
        <v>944.8</v>
      </c>
      <c r="T69" s="79">
        <v>2040</v>
      </c>
      <c r="U69" s="80"/>
    </row>
    <row r="70" spans="1:24" x14ac:dyDescent="0.25">
      <c r="A70" s="108" t="s">
        <v>209</v>
      </c>
      <c r="D70" s="49"/>
      <c r="E70" s="49"/>
      <c r="F70" s="49"/>
      <c r="G70" s="49"/>
      <c r="P70" s="49"/>
      <c r="Q70" s="49"/>
      <c r="R70" s="49"/>
      <c r="S70" s="49"/>
      <c r="T70" s="49"/>
      <c r="U70" s="49"/>
    </row>
    <row r="71" spans="1:24" x14ac:dyDescent="0.25">
      <c r="A71" s="109" t="s">
        <v>210</v>
      </c>
      <c r="D71" s="49"/>
      <c r="E71" s="49"/>
      <c r="F71" s="49"/>
      <c r="G71" s="49"/>
      <c r="P71" s="49"/>
      <c r="Q71" s="49"/>
      <c r="R71" s="49"/>
      <c r="S71" s="49"/>
      <c r="T71" s="49"/>
      <c r="U71" s="49"/>
    </row>
    <row r="72" spans="1:24" x14ac:dyDescent="0.25">
      <c r="A72" s="110">
        <v>43220</v>
      </c>
      <c r="D72" s="49"/>
      <c r="E72" s="49"/>
      <c r="F72" s="49"/>
      <c r="G72" s="49"/>
      <c r="P72" s="49"/>
      <c r="Q72" s="49"/>
      <c r="R72" s="49"/>
      <c r="S72" s="49"/>
      <c r="T72" s="49"/>
      <c r="U72" s="49"/>
    </row>
    <row r="73" spans="1:24" s="58" customFormat="1" x14ac:dyDescent="0.25">
      <c r="A73" s="51"/>
      <c r="B73" s="52"/>
      <c r="C73" s="52"/>
      <c r="D73" s="52"/>
      <c r="E73" s="52"/>
      <c r="F73" s="52"/>
      <c r="G73" s="53"/>
      <c r="P73" s="52"/>
      <c r="Q73" s="52"/>
      <c r="R73" s="52"/>
      <c r="S73" s="52"/>
      <c r="T73" s="52"/>
      <c r="U73" s="53"/>
      <c r="V73" s="57"/>
    </row>
    <row r="74" spans="1:24" x14ac:dyDescent="0.25">
      <c r="A74" s="54"/>
      <c r="B74" s="55" t="s">
        <v>211</v>
      </c>
      <c r="C74" s="55" t="s">
        <v>212</v>
      </c>
      <c r="D74" s="55" t="s">
        <v>213</v>
      </c>
      <c r="E74" s="55" t="s">
        <v>214</v>
      </c>
      <c r="F74" s="55" t="s">
        <v>215</v>
      </c>
      <c r="G74" s="56" t="s">
        <v>216</v>
      </c>
      <c r="P74" s="55" t="s">
        <v>211</v>
      </c>
      <c r="Q74" s="55" t="s">
        <v>212</v>
      </c>
      <c r="R74" s="55" t="s">
        <v>213</v>
      </c>
      <c r="S74" s="55" t="s">
        <v>214</v>
      </c>
      <c r="T74" s="55" t="s">
        <v>215</v>
      </c>
      <c r="U74" s="56" t="s">
        <v>216</v>
      </c>
    </row>
    <row r="75" spans="1:24" x14ac:dyDescent="0.25">
      <c r="A75" s="54" t="s">
        <v>62</v>
      </c>
      <c r="B75" s="5">
        <v>92671539.059999987</v>
      </c>
      <c r="C75" s="5">
        <v>46941731.32</v>
      </c>
      <c r="D75" s="5">
        <v>1945746.84</v>
      </c>
      <c r="E75" s="5">
        <v>2167697.4500000002</v>
      </c>
      <c r="F75" s="5">
        <v>903549.14</v>
      </c>
      <c r="G75" s="59">
        <v>144630263.80999997</v>
      </c>
      <c r="P75" s="5">
        <f>'[1]P&amp;L Compare to Hedge 2018'!$E$5</f>
        <v>92671539.059999987</v>
      </c>
      <c r="Q75" s="5">
        <f>'[1]P&amp;L Compare to Hedge 2018'!$E$6</f>
        <v>46941731.32</v>
      </c>
      <c r="R75" s="5">
        <f>'[1]P&amp;L Compare to Hedge 2018'!$E$7</f>
        <v>1945746.84</v>
      </c>
      <c r="S75" s="5">
        <f>'[1]P&amp;L Compare to Hedge 2018'!$E$8</f>
        <v>2167697.4500000002</v>
      </c>
      <c r="T75" s="5">
        <f>'[1]P&amp;L Compare to Hedge 2018'!$E$9</f>
        <v>903549.14</v>
      </c>
      <c r="U75" s="59">
        <f t="shared" ref="U75:U80" si="6">SUM(P75:T75)</f>
        <v>144630263.80999997</v>
      </c>
    </row>
    <row r="76" spans="1:24" x14ac:dyDescent="0.25">
      <c r="A76" s="54" t="s">
        <v>217</v>
      </c>
      <c r="B76" s="5">
        <v>92373678.780000001</v>
      </c>
      <c r="C76" s="5">
        <v>48482029.219999999</v>
      </c>
      <c r="D76" s="5">
        <v>1945380.79</v>
      </c>
      <c r="E76" s="5">
        <v>2111524.9700000002</v>
      </c>
      <c r="F76" s="5">
        <v>891459.31</v>
      </c>
      <c r="G76" s="59">
        <v>145804073.06999999</v>
      </c>
      <c r="P76" s="5">
        <f>'[1]P&amp;L Compare to Hedge 2018'!$E$14</f>
        <v>92373678.780000001</v>
      </c>
      <c r="Q76" s="5">
        <f>'[1]P&amp;L Compare to Hedge 2018'!$E$15</f>
        <v>48482029.219999999</v>
      </c>
      <c r="R76" s="5">
        <f>'[1]P&amp;L Compare to Hedge 2018'!$E$16</f>
        <v>1945380.79</v>
      </c>
      <c r="S76" s="5">
        <f>'[1]P&amp;L Compare to Hedge 2018'!$E$17</f>
        <v>2111524.9700000002</v>
      </c>
      <c r="T76" s="5">
        <f>'[1]P&amp;L Compare to Hedge 2018'!$E$18</f>
        <v>891459.31</v>
      </c>
      <c r="U76" s="59">
        <f t="shared" si="6"/>
        <v>145804073.06999999</v>
      </c>
    </row>
    <row r="77" spans="1:24" x14ac:dyDescent="0.25">
      <c r="A77" s="54" t="s">
        <v>218</v>
      </c>
      <c r="B77" s="5">
        <v>14781.879999995232</v>
      </c>
      <c r="C77" s="5">
        <v>442679.44999998808</v>
      </c>
      <c r="D77" s="5">
        <v>1048.5499999999884</v>
      </c>
      <c r="E77" s="5">
        <v>2061.8000000000466</v>
      </c>
      <c r="F77" s="5">
        <v>0</v>
      </c>
      <c r="G77" s="59">
        <v>460571.67999998335</v>
      </c>
      <c r="P77" s="5">
        <f>'[1]P&amp;L Compare to Hedge 2018'!$E$21</f>
        <v>14781.879999995232</v>
      </c>
      <c r="Q77" s="5">
        <f>'[1]P&amp;L Compare to Hedge 2018'!$E$22</f>
        <v>442679.44999998808</v>
      </c>
      <c r="R77" s="5">
        <f>'[1]P&amp;L Compare to Hedge 2018'!$E$23</f>
        <v>1048.5499999999884</v>
      </c>
      <c r="S77" s="5">
        <f>'[1]P&amp;L Compare to Hedge 2018'!$E$24</f>
        <v>2061.8000000000466</v>
      </c>
      <c r="T77" s="5">
        <v>0</v>
      </c>
      <c r="U77" s="59">
        <f t="shared" si="6"/>
        <v>460571.67999998335</v>
      </c>
    </row>
    <row r="78" spans="1:24" x14ac:dyDescent="0.25">
      <c r="A78" s="54" t="s">
        <v>219</v>
      </c>
      <c r="B78" s="5">
        <v>339010</v>
      </c>
      <c r="C78" s="5">
        <v>-3414426</v>
      </c>
      <c r="D78" s="5">
        <v>-555</v>
      </c>
      <c r="E78" s="5">
        <v>0</v>
      </c>
      <c r="F78" s="10">
        <v>0</v>
      </c>
      <c r="G78" s="59">
        <v>-3075971</v>
      </c>
      <c r="P78" s="5">
        <f>'[1]P&amp;L Compare to Hedge 2018'!$E$26</f>
        <v>339010</v>
      </c>
      <c r="Q78" s="5">
        <f>'[1]P&amp;L Compare to Hedge 2018'!$E$27</f>
        <v>-3414426</v>
      </c>
      <c r="R78" s="5">
        <f>'[1]P&amp;L Compare to Hedge 2018'!$E$28</f>
        <v>-555</v>
      </c>
      <c r="S78" s="5">
        <f>'[1]P&amp;L Compare to Hedge 2018'!$E$29</f>
        <v>0</v>
      </c>
      <c r="T78" s="10">
        <v>0</v>
      </c>
      <c r="U78" s="59">
        <f t="shared" si="6"/>
        <v>-3075971</v>
      </c>
    </row>
    <row r="79" spans="1:24" x14ac:dyDescent="0.25">
      <c r="A79" s="54" t="s">
        <v>220</v>
      </c>
      <c r="B79" s="10">
        <v>-212199.27639002353</v>
      </c>
      <c r="C79" s="10">
        <v>1133883.7106935014</v>
      </c>
      <c r="D79" s="67">
        <v>-17872.84760000027</v>
      </c>
      <c r="E79" s="67">
        <v>35879.561575000058</v>
      </c>
      <c r="F79" s="67">
        <v>24746.690000000002</v>
      </c>
      <c r="G79" s="59">
        <v>964437.83827847778</v>
      </c>
      <c r="P79" s="10">
        <f>'[7]Mrkg to Mkt Gold'!$E$28</f>
        <v>-212199.27639002353</v>
      </c>
      <c r="Q79" s="10">
        <f>'[7]Mkg to Mkt Silver'!$E$28</f>
        <v>1133883.7106935014</v>
      </c>
      <c r="R79" s="67">
        <f>'[7]Mkg to Mkt Platinum  '!$E$28</f>
        <v>-17872.84760000027</v>
      </c>
      <c r="S79" s="67">
        <f>'[7]Mkg to Mkt Palladium'!$E$28</f>
        <v>35879.561575000058</v>
      </c>
      <c r="T79" s="67">
        <f>'[7]Mkg to Mkt Rhodium'!$E$28</f>
        <v>24746.690000000002</v>
      </c>
      <c r="U79" s="59">
        <f t="shared" si="6"/>
        <v>964437.83827847778</v>
      </c>
    </row>
    <row r="80" spans="1:24" ht="15.75" thickBot="1" x14ac:dyDescent="0.3">
      <c r="A80" s="54" t="s">
        <v>232</v>
      </c>
      <c r="B80" s="5">
        <v>111322.78999999998</v>
      </c>
      <c r="C80" s="10"/>
      <c r="D80" s="67"/>
      <c r="E80" s="67"/>
      <c r="F80" s="67"/>
      <c r="G80" s="59">
        <v>111322.78999999998</v>
      </c>
      <c r="P80" s="5">
        <f>'[1]P&amp;L Compare to Hedge 2018'!$E$10-'[1]P&amp;L Compare to Hedge 2018'!$E$19</f>
        <v>111322.78999999998</v>
      </c>
      <c r="Q80" s="10"/>
      <c r="R80" s="67"/>
      <c r="S80" s="67"/>
      <c r="T80" s="67"/>
      <c r="U80" s="59">
        <f t="shared" si="6"/>
        <v>111322.78999999998</v>
      </c>
    </row>
    <row r="81" spans="1:24" ht="15.75" thickBot="1" x14ac:dyDescent="0.3">
      <c r="A81" s="54" t="s">
        <v>222</v>
      </c>
      <c r="B81" s="74"/>
      <c r="C81" s="74"/>
      <c r="D81" s="74"/>
      <c r="E81" s="74"/>
      <c r="F81" s="74"/>
      <c r="G81" s="75">
        <v>9048.32</v>
      </c>
      <c r="P81" s="74"/>
      <c r="Q81" s="74"/>
      <c r="R81" s="74"/>
      <c r="S81" s="74"/>
      <c r="T81" s="74"/>
      <c r="U81" s="75">
        <f>'[1]P&amp;L Compare to Hedge 2018'!$E$32</f>
        <v>9048.32</v>
      </c>
    </row>
    <row r="82" spans="1:24" ht="15.75" thickBot="1" x14ac:dyDescent="0.3">
      <c r="A82" s="54"/>
      <c r="B82" s="76">
        <v>267590.46639001457</v>
      </c>
      <c r="C82" s="76">
        <v>297564.93930651201</v>
      </c>
      <c r="D82" s="76">
        <v>17745.347600000328</v>
      </c>
      <c r="E82" s="76">
        <v>18231.118424999877</v>
      </c>
      <c r="F82" s="76">
        <v>-12656.860000000044</v>
      </c>
      <c r="G82" s="66">
        <v>579426.69172151852</v>
      </c>
      <c r="P82" s="76">
        <f>+P75-P76-P77-P78-P79+P80</f>
        <v>267590.46639001457</v>
      </c>
      <c r="Q82" s="76">
        <f t="shared" ref="Q82:T82" si="7">+Q75-Q76-Q77-Q78-Q79+Q80</f>
        <v>297564.93930651201</v>
      </c>
      <c r="R82" s="76">
        <f t="shared" si="7"/>
        <v>17745.347600000328</v>
      </c>
      <c r="S82" s="76">
        <f t="shared" si="7"/>
        <v>18231.118424999877</v>
      </c>
      <c r="T82" s="76">
        <f t="shared" si="7"/>
        <v>-12656.860000000044</v>
      </c>
      <c r="U82" s="66">
        <f>+U75-U76-U77-U78-U79-U81+U80</f>
        <v>579426.69172151852</v>
      </c>
    </row>
    <row r="83" spans="1:24" ht="15.75" thickTop="1" x14ac:dyDescent="0.25">
      <c r="A83" s="54"/>
      <c r="B83" s="77"/>
      <c r="C83" s="77"/>
      <c r="D83" s="77"/>
      <c r="E83" s="77"/>
      <c r="F83" s="77"/>
      <c r="G83" s="59"/>
      <c r="P83" s="77"/>
      <c r="Q83" s="77"/>
      <c r="R83" s="77"/>
      <c r="S83" s="77"/>
      <c r="T83" s="77"/>
      <c r="U83" s="59"/>
    </row>
    <row r="84" spans="1:24" x14ac:dyDescent="0.25">
      <c r="A84" s="54" t="s">
        <v>223</v>
      </c>
      <c r="B84" s="77">
        <v>281330.66382510529</v>
      </c>
      <c r="C84" s="77">
        <v>364001.01299999474</v>
      </c>
      <c r="D84" s="77">
        <v>17527.93</v>
      </c>
      <c r="E84" s="77">
        <v>16414.477200000103</v>
      </c>
      <c r="F84" s="77">
        <v>6239</v>
      </c>
      <c r="G84" s="59">
        <v>685513.08402510022</v>
      </c>
      <c r="P84" s="77">
        <f>'[3]April 2018'!$B$31</f>
        <v>281330.66382510529</v>
      </c>
      <c r="Q84" s="77">
        <f>'[3]April 2018'!$C$31</f>
        <v>334099.27399999852</v>
      </c>
      <c r="R84" s="77">
        <f>'[3]April 2018'!$D$31</f>
        <v>17527.93</v>
      </c>
      <c r="S84" s="77">
        <f>'[3]April 2018'!$E$31</f>
        <v>16414.477200000103</v>
      </c>
      <c r="T84" s="77">
        <f>'[3]April 2018'!$F$31</f>
        <v>6239</v>
      </c>
      <c r="U84" s="59">
        <f t="shared" ref="U84:U91" si="8">SUM(P84:T84)</f>
        <v>655611.34502510389</v>
      </c>
    </row>
    <row r="85" spans="1:24" x14ac:dyDescent="0.25">
      <c r="A85" s="54" t="s">
        <v>224</v>
      </c>
      <c r="B85" s="6">
        <v>1105.6999999999971</v>
      </c>
      <c r="C85" s="6">
        <v>1899.663196997717</v>
      </c>
      <c r="D85" s="6"/>
      <c r="E85" s="6"/>
      <c r="F85" s="6"/>
      <c r="G85" s="59">
        <v>3005.3631969977141</v>
      </c>
      <c r="P85" s="6">
        <v>1105.6999999999971</v>
      </c>
      <c r="Q85" s="6">
        <v>1899.663196997717</v>
      </c>
      <c r="R85" s="6"/>
      <c r="S85" s="6"/>
      <c r="T85" s="6"/>
      <c r="U85" s="59">
        <f t="shared" si="8"/>
        <v>3005.3631969977141</v>
      </c>
    </row>
    <row r="86" spans="1:24" x14ac:dyDescent="0.25">
      <c r="A86" s="54" t="s">
        <v>225</v>
      </c>
      <c r="B86" s="18">
        <v>42087.81</v>
      </c>
      <c r="C86" s="6">
        <v>0</v>
      </c>
      <c r="D86" s="6"/>
      <c r="E86" s="6"/>
      <c r="F86" s="6"/>
      <c r="G86" s="59">
        <v>42087.81</v>
      </c>
      <c r="P86" s="18">
        <f>[4]Apr!$B$10</f>
        <v>42087.81</v>
      </c>
      <c r="Q86" s="6">
        <v>0</v>
      </c>
      <c r="R86" s="6"/>
      <c r="S86" s="6"/>
      <c r="T86" s="6"/>
      <c r="U86" s="59">
        <f t="shared" si="8"/>
        <v>42087.81</v>
      </c>
    </row>
    <row r="87" spans="1:24" x14ac:dyDescent="0.25">
      <c r="A87" s="54" t="s">
        <v>226</v>
      </c>
      <c r="B87" s="6">
        <v>-590.9</v>
      </c>
      <c r="C87" s="6">
        <v>-45185.93</v>
      </c>
      <c r="D87" s="6"/>
      <c r="E87" s="6"/>
      <c r="F87" s="6"/>
      <c r="G87" s="59">
        <v>-45776.83</v>
      </c>
      <c r="P87" s="6">
        <v>-590.9</v>
      </c>
      <c r="Q87" s="6">
        <v>-45185.93</v>
      </c>
      <c r="R87" s="6"/>
      <c r="S87" s="6"/>
      <c r="T87" s="6"/>
      <c r="U87" s="59">
        <f t="shared" si="8"/>
        <v>-45776.83</v>
      </c>
    </row>
    <row r="88" spans="1:24" x14ac:dyDescent="0.25">
      <c r="A88" s="54" t="s">
        <v>227</v>
      </c>
      <c r="B88" s="6">
        <v>9250</v>
      </c>
      <c r="C88" s="6">
        <v>15494</v>
      </c>
      <c r="D88" s="6">
        <v>530</v>
      </c>
      <c r="E88" s="6"/>
      <c r="F88" s="6"/>
      <c r="G88" s="59">
        <v>25274</v>
      </c>
      <c r="P88" s="6">
        <v>9250</v>
      </c>
      <c r="Q88" s="6">
        <v>15494</v>
      </c>
      <c r="R88" s="6">
        <v>530</v>
      </c>
      <c r="S88" s="6"/>
      <c r="T88" s="6"/>
      <c r="U88" s="59">
        <f t="shared" si="8"/>
        <v>25274</v>
      </c>
    </row>
    <row r="89" spans="1:24" x14ac:dyDescent="0.25">
      <c r="A89" s="54" t="s">
        <v>36</v>
      </c>
      <c r="B89" s="10">
        <v>-18000</v>
      </c>
      <c r="C89" s="10">
        <v>-17000</v>
      </c>
      <c r="D89" s="6"/>
      <c r="E89" s="6"/>
      <c r="F89" s="6"/>
      <c r="G89" s="59">
        <v>-35000</v>
      </c>
      <c r="P89" s="10">
        <v>-18000</v>
      </c>
      <c r="Q89" s="10">
        <v>-17000</v>
      </c>
      <c r="R89" s="6"/>
      <c r="S89" s="6"/>
      <c r="T89" s="6"/>
      <c r="U89" s="59">
        <f t="shared" si="8"/>
        <v>-35000</v>
      </c>
    </row>
    <row r="90" spans="1:24" x14ac:dyDescent="0.25">
      <c r="A90" s="54" t="s">
        <v>228</v>
      </c>
      <c r="B90" s="6"/>
      <c r="C90" s="6"/>
      <c r="D90" s="6"/>
      <c r="E90" s="6"/>
      <c r="F90" s="6"/>
      <c r="G90" s="59">
        <v>0</v>
      </c>
      <c r="P90" s="6"/>
      <c r="Q90" s="6"/>
      <c r="R90" s="6"/>
      <c r="S90" s="6"/>
      <c r="T90" s="6"/>
      <c r="U90" s="59">
        <f t="shared" si="8"/>
        <v>0</v>
      </c>
    </row>
    <row r="91" spans="1:24" x14ac:dyDescent="0.25">
      <c r="A91" s="54" t="s">
        <v>233</v>
      </c>
      <c r="B91" s="77">
        <v>-4500</v>
      </c>
      <c r="C91" s="77"/>
      <c r="D91" s="77"/>
      <c r="E91" s="77"/>
      <c r="F91" s="77"/>
      <c r="G91" s="59">
        <v>-4500</v>
      </c>
      <c r="P91" s="77">
        <v>-4500</v>
      </c>
      <c r="Q91" s="77"/>
      <c r="R91" s="77"/>
      <c r="S91" s="77"/>
      <c r="T91" s="77"/>
      <c r="U91" s="59">
        <f t="shared" si="8"/>
        <v>-4500</v>
      </c>
      <c r="V91" s="48">
        <f>SUM(P92:T92)-U81</f>
        <v>-61274.996500574889</v>
      </c>
      <c r="W91" s="70">
        <f>U92-V91</f>
        <v>-8.1272446550428867E-9</v>
      </c>
      <c r="X91" s="48" t="s">
        <v>229</v>
      </c>
    </row>
    <row r="92" spans="1:24" x14ac:dyDescent="0.25">
      <c r="A92" s="54" t="s">
        <v>221</v>
      </c>
      <c r="B92" s="6">
        <v>-43092.807435090712</v>
      </c>
      <c r="C92" s="6">
        <v>-21643.806890480453</v>
      </c>
      <c r="D92" s="6">
        <v>-312.58239999967191</v>
      </c>
      <c r="E92" s="6">
        <v>1816.6412249997738</v>
      </c>
      <c r="F92" s="6">
        <v>-18895.860000000044</v>
      </c>
      <c r="G92" s="59">
        <v>-91176.735500579351</v>
      </c>
      <c r="P92" s="6">
        <f>+P82-SUM(P84:P91)</f>
        <v>-43092.807435090712</v>
      </c>
      <c r="Q92" s="6">
        <f t="shared" ref="Q92:T92" si="9">+Q82-SUM(Q84:Q91)</f>
        <v>8257.9321095157648</v>
      </c>
      <c r="R92" s="6">
        <f t="shared" si="9"/>
        <v>-312.58239999967191</v>
      </c>
      <c r="S92" s="6">
        <f t="shared" si="9"/>
        <v>1816.6412249997738</v>
      </c>
      <c r="T92" s="6">
        <f t="shared" si="9"/>
        <v>-18895.860000000044</v>
      </c>
      <c r="U92" s="59">
        <f>+U82-SUM(U84:U91)</f>
        <v>-61274.996500583016</v>
      </c>
      <c r="V92" s="48">
        <f>'[1]P&amp;L Compare to Hedge 2018'!$E$45</f>
        <v>-91176.724025141797</v>
      </c>
      <c r="W92" s="70">
        <f>U92-V92</f>
        <v>29901.727524558781</v>
      </c>
      <c r="X92" s="49" t="s">
        <v>231</v>
      </c>
    </row>
    <row r="93" spans="1:24" ht="15.75" thickBot="1" x14ac:dyDescent="0.3">
      <c r="A93" s="72" t="s">
        <v>230</v>
      </c>
      <c r="B93" s="79"/>
      <c r="C93" s="79"/>
      <c r="D93" s="79"/>
      <c r="E93" s="79"/>
      <c r="F93" s="79"/>
      <c r="G93" s="80"/>
      <c r="P93" s="79"/>
      <c r="Q93" s="79"/>
      <c r="R93" s="79"/>
      <c r="S93" s="79"/>
      <c r="T93" s="79"/>
      <c r="U93" s="80"/>
    </row>
    <row r="94" spans="1:24" ht="14.45" hidden="1" customHeight="1" x14ac:dyDescent="0.25">
      <c r="A94" s="108" t="s">
        <v>209</v>
      </c>
      <c r="D94" s="49"/>
      <c r="E94" s="49"/>
      <c r="F94" s="49"/>
      <c r="G94" s="49"/>
      <c r="P94" s="49"/>
      <c r="Q94" s="49"/>
      <c r="R94" s="49"/>
      <c r="S94" s="49"/>
      <c r="T94" s="49"/>
      <c r="U94" s="49"/>
    </row>
    <row r="95" spans="1:24" ht="14.45" hidden="1" customHeight="1" x14ac:dyDescent="0.25">
      <c r="A95" s="109" t="s">
        <v>210</v>
      </c>
      <c r="D95" s="49"/>
      <c r="E95" s="49"/>
      <c r="F95" s="49"/>
      <c r="G95" s="49"/>
      <c r="P95" s="49"/>
      <c r="Q95" s="49"/>
      <c r="R95" s="49"/>
      <c r="S95" s="49"/>
      <c r="T95" s="49"/>
      <c r="U95" s="49"/>
    </row>
    <row r="96" spans="1:24" ht="14.45" hidden="1" customHeight="1" x14ac:dyDescent="0.25">
      <c r="A96" s="110">
        <v>43251</v>
      </c>
      <c r="D96" s="49"/>
      <c r="E96" s="49"/>
      <c r="F96" s="49"/>
      <c r="G96" s="49"/>
      <c r="P96" s="49"/>
      <c r="Q96" s="49"/>
      <c r="R96" s="49"/>
      <c r="S96" s="49"/>
      <c r="T96" s="49"/>
      <c r="U96" s="49"/>
    </row>
    <row r="97" spans="1:22" s="58" customFormat="1" hidden="1" x14ac:dyDescent="0.25">
      <c r="A97" s="51"/>
      <c r="B97" s="52"/>
      <c r="C97" s="52"/>
      <c r="D97" s="52"/>
      <c r="E97" s="52"/>
      <c r="F97" s="52"/>
      <c r="G97" s="53"/>
      <c r="P97" s="52"/>
      <c r="Q97" s="52"/>
      <c r="R97" s="52"/>
      <c r="S97" s="52"/>
      <c r="T97" s="52"/>
      <c r="U97" s="53"/>
      <c r="V97" s="57"/>
    </row>
    <row r="98" spans="1:22" hidden="1" x14ac:dyDescent="0.25">
      <c r="A98" s="54"/>
      <c r="B98" s="55" t="s">
        <v>211</v>
      </c>
      <c r="C98" s="55" t="s">
        <v>212</v>
      </c>
      <c r="D98" s="55" t="s">
        <v>213</v>
      </c>
      <c r="E98" s="55" t="s">
        <v>214</v>
      </c>
      <c r="F98" s="55" t="s">
        <v>215</v>
      </c>
      <c r="G98" s="56" t="s">
        <v>216</v>
      </c>
      <c r="P98" s="55" t="s">
        <v>211</v>
      </c>
      <c r="Q98" s="55" t="s">
        <v>212</v>
      </c>
      <c r="R98" s="55" t="s">
        <v>213</v>
      </c>
      <c r="S98" s="55" t="s">
        <v>214</v>
      </c>
      <c r="T98" s="55" t="s">
        <v>215</v>
      </c>
      <c r="U98" s="56" t="s">
        <v>216</v>
      </c>
    </row>
    <row r="99" spans="1:22" hidden="1" x14ac:dyDescent="0.25">
      <c r="A99" s="54" t="s">
        <v>62</v>
      </c>
      <c r="B99" s="1"/>
      <c r="C99" s="1"/>
      <c r="D99" s="1"/>
      <c r="E99" s="1"/>
      <c r="F99" s="1"/>
      <c r="G99" s="59">
        <v>0</v>
      </c>
      <c r="P99" s="1"/>
      <c r="Q99" s="1"/>
      <c r="R99" s="1"/>
      <c r="S99" s="1"/>
      <c r="T99" s="1"/>
      <c r="U99" s="59">
        <f>SUM(P99:T99)</f>
        <v>0</v>
      </c>
    </row>
    <row r="100" spans="1:22" hidden="1" x14ac:dyDescent="0.25">
      <c r="A100" s="54" t="s">
        <v>217</v>
      </c>
      <c r="B100" s="1"/>
      <c r="C100" s="1"/>
      <c r="D100" s="1"/>
      <c r="E100" s="1"/>
      <c r="F100" s="1"/>
      <c r="G100" s="59">
        <v>0</v>
      </c>
      <c r="P100" s="1"/>
      <c r="Q100" s="1"/>
      <c r="R100" s="1"/>
      <c r="S100" s="1"/>
      <c r="T100" s="1"/>
      <c r="U100" s="59">
        <f>SUM(P100:T100)</f>
        <v>0</v>
      </c>
    </row>
    <row r="101" spans="1:22" hidden="1" x14ac:dyDescent="0.25">
      <c r="A101" s="54" t="s">
        <v>218</v>
      </c>
      <c r="B101" s="1"/>
      <c r="C101" s="1"/>
      <c r="D101" s="1"/>
      <c r="E101" s="1"/>
      <c r="F101" s="1"/>
      <c r="G101" s="59">
        <v>0</v>
      </c>
      <c r="P101" s="1"/>
      <c r="Q101" s="1"/>
      <c r="R101" s="1"/>
      <c r="S101" s="1"/>
      <c r="T101" s="1"/>
      <c r="U101" s="59">
        <f>SUM(P101:T101)</f>
        <v>0</v>
      </c>
    </row>
    <row r="102" spans="1:22" hidden="1" x14ac:dyDescent="0.25">
      <c r="A102" s="54" t="s">
        <v>219</v>
      </c>
      <c r="B102" s="1"/>
      <c r="C102" s="1"/>
      <c r="D102" s="1"/>
      <c r="E102" s="1"/>
      <c r="F102" s="1"/>
      <c r="G102" s="59">
        <v>0</v>
      </c>
      <c r="P102" s="1"/>
      <c r="Q102" s="1"/>
      <c r="R102" s="1"/>
      <c r="S102" s="1"/>
      <c r="T102" s="1"/>
      <c r="U102" s="59">
        <f>SUM(P102:T102)</f>
        <v>0</v>
      </c>
    </row>
    <row r="103" spans="1:22" hidden="1" x14ac:dyDescent="0.25">
      <c r="A103" s="54" t="s">
        <v>220</v>
      </c>
      <c r="B103" s="10"/>
      <c r="C103" s="10"/>
      <c r="D103" s="67"/>
      <c r="E103" s="67"/>
      <c r="F103" s="67"/>
      <c r="G103" s="59">
        <v>0</v>
      </c>
      <c r="P103" s="10"/>
      <c r="Q103" s="10"/>
      <c r="R103" s="67"/>
      <c r="S103" s="67"/>
      <c r="T103" s="67"/>
      <c r="U103" s="59">
        <f>SUM(P103:T103)</f>
        <v>0</v>
      </c>
    </row>
    <row r="104" spans="1:22" ht="15.75" hidden="1" thickBot="1" x14ac:dyDescent="0.3">
      <c r="A104" s="54" t="s">
        <v>222</v>
      </c>
      <c r="B104" s="74"/>
      <c r="C104" s="74"/>
      <c r="D104" s="74"/>
      <c r="E104" s="74"/>
      <c r="F104" s="74"/>
      <c r="G104" s="75"/>
      <c r="P104" s="74"/>
      <c r="Q104" s="74"/>
      <c r="R104" s="74"/>
      <c r="S104" s="74"/>
      <c r="T104" s="74"/>
      <c r="U104" s="75"/>
    </row>
    <row r="105" spans="1:22" ht="15.75" hidden="1" thickBot="1" x14ac:dyDescent="0.3">
      <c r="A105" s="54"/>
      <c r="B105" s="76">
        <v>0</v>
      </c>
      <c r="C105" s="76">
        <v>0</v>
      </c>
      <c r="D105" s="76">
        <v>0</v>
      </c>
      <c r="E105" s="76">
        <v>0</v>
      </c>
      <c r="F105" s="76">
        <v>0</v>
      </c>
      <c r="G105" s="66">
        <v>0</v>
      </c>
      <c r="P105" s="76">
        <f>+P99-P100-P101-P102-P103</f>
        <v>0</v>
      </c>
      <c r="Q105" s="76">
        <f>+Q99-Q100-Q101-Q102-Q103</f>
        <v>0</v>
      </c>
      <c r="R105" s="76">
        <f>+R99-R100-R101-R102-R103</f>
        <v>0</v>
      </c>
      <c r="S105" s="76">
        <f>+S99-S100-S101-S102-S103</f>
        <v>0</v>
      </c>
      <c r="T105" s="76">
        <f>+T99-T100-T101-T102-T103</f>
        <v>0</v>
      </c>
      <c r="U105" s="66">
        <f>+U99-U100-U101-U102-U103-U104</f>
        <v>0</v>
      </c>
    </row>
    <row r="106" spans="1:22" hidden="1" x14ac:dyDescent="0.25">
      <c r="A106" s="54"/>
      <c r="B106" s="77"/>
      <c r="C106" s="77"/>
      <c r="D106" s="77"/>
      <c r="E106" s="77"/>
      <c r="F106" s="77"/>
      <c r="G106" s="59"/>
      <c r="P106" s="77"/>
      <c r="Q106" s="77"/>
      <c r="R106" s="77"/>
      <c r="S106" s="77"/>
      <c r="T106" s="77"/>
      <c r="U106" s="59"/>
    </row>
    <row r="107" spans="1:22" hidden="1" x14ac:dyDescent="0.25">
      <c r="A107" s="54" t="s">
        <v>223</v>
      </c>
      <c r="B107" s="77"/>
      <c r="C107" s="77"/>
      <c r="D107" s="77"/>
      <c r="E107" s="77"/>
      <c r="F107" s="77"/>
      <c r="G107" s="59">
        <v>0</v>
      </c>
      <c r="P107" s="77"/>
      <c r="Q107" s="77"/>
      <c r="R107" s="77"/>
      <c r="S107" s="77"/>
      <c r="T107" s="77"/>
      <c r="U107" s="59">
        <f t="shared" ref="U107:U113" si="10">SUM(P107:T107)</f>
        <v>0</v>
      </c>
    </row>
    <row r="108" spans="1:22" hidden="1" x14ac:dyDescent="0.25">
      <c r="A108" s="54" t="s">
        <v>224</v>
      </c>
      <c r="B108" s="6"/>
      <c r="C108" s="6"/>
      <c r="D108" s="6"/>
      <c r="E108" s="6"/>
      <c r="F108" s="6"/>
      <c r="G108" s="59">
        <v>0</v>
      </c>
      <c r="P108" s="6"/>
      <c r="Q108" s="6"/>
      <c r="R108" s="6"/>
      <c r="S108" s="6"/>
      <c r="T108" s="6"/>
      <c r="U108" s="59">
        <f t="shared" si="10"/>
        <v>0</v>
      </c>
    </row>
    <row r="109" spans="1:22" hidden="1" x14ac:dyDescent="0.25">
      <c r="A109" s="54" t="s">
        <v>225</v>
      </c>
      <c r="B109" s="6"/>
      <c r="C109" s="6"/>
      <c r="D109" s="6"/>
      <c r="E109" s="6"/>
      <c r="F109" s="6"/>
      <c r="G109" s="59">
        <v>0</v>
      </c>
      <c r="P109" s="6"/>
      <c r="Q109" s="6"/>
      <c r="R109" s="6"/>
      <c r="S109" s="6"/>
      <c r="T109" s="6"/>
      <c r="U109" s="59">
        <f t="shared" si="10"/>
        <v>0</v>
      </c>
    </row>
    <row r="110" spans="1:22" hidden="1" x14ac:dyDescent="0.25">
      <c r="A110" s="54" t="s">
        <v>226</v>
      </c>
      <c r="B110" s="6"/>
      <c r="C110" s="6"/>
      <c r="D110" s="6"/>
      <c r="E110" s="6"/>
      <c r="F110" s="6"/>
      <c r="G110" s="59">
        <v>0</v>
      </c>
      <c r="P110" s="6"/>
      <c r="Q110" s="6"/>
      <c r="R110" s="6"/>
      <c r="S110" s="6"/>
      <c r="T110" s="6"/>
      <c r="U110" s="59">
        <f t="shared" si="10"/>
        <v>0</v>
      </c>
    </row>
    <row r="111" spans="1:22" hidden="1" x14ac:dyDescent="0.25">
      <c r="A111" s="54" t="s">
        <v>227</v>
      </c>
      <c r="B111" s="6"/>
      <c r="C111" s="6"/>
      <c r="D111" s="6"/>
      <c r="E111" s="6"/>
      <c r="F111" s="6"/>
      <c r="G111" s="59">
        <v>0</v>
      </c>
      <c r="P111" s="6"/>
      <c r="Q111" s="6"/>
      <c r="R111" s="6"/>
      <c r="S111" s="6"/>
      <c r="T111" s="6"/>
      <c r="U111" s="59">
        <f t="shared" si="10"/>
        <v>0</v>
      </c>
    </row>
    <row r="112" spans="1:22" hidden="1" x14ac:dyDescent="0.25">
      <c r="A112" s="54" t="s">
        <v>36</v>
      </c>
      <c r="B112" s="6"/>
      <c r="C112" s="6"/>
      <c r="D112" s="6"/>
      <c r="E112" s="6"/>
      <c r="F112" s="6"/>
      <c r="G112" s="59">
        <v>0</v>
      </c>
      <c r="P112" s="6"/>
      <c r="Q112" s="6"/>
      <c r="R112" s="6"/>
      <c r="S112" s="6"/>
      <c r="T112" s="6"/>
      <c r="U112" s="59">
        <f t="shared" si="10"/>
        <v>0</v>
      </c>
    </row>
    <row r="113" spans="1:24" hidden="1" x14ac:dyDescent="0.25">
      <c r="A113" s="54" t="s">
        <v>228</v>
      </c>
      <c r="B113" s="6"/>
      <c r="C113" s="6"/>
      <c r="D113" s="6"/>
      <c r="E113" s="6"/>
      <c r="F113" s="6"/>
      <c r="G113" s="59">
        <v>0</v>
      </c>
      <c r="P113" s="6"/>
      <c r="Q113" s="6"/>
      <c r="R113" s="6"/>
      <c r="S113" s="6"/>
      <c r="T113" s="6"/>
      <c r="U113" s="59">
        <f t="shared" si="10"/>
        <v>0</v>
      </c>
    </row>
    <row r="114" spans="1:24" hidden="1" x14ac:dyDescent="0.25">
      <c r="A114" s="54"/>
      <c r="B114" s="77"/>
      <c r="C114" s="77"/>
      <c r="D114" s="77"/>
      <c r="E114" s="77"/>
      <c r="F114" s="77"/>
      <c r="G114" s="59"/>
      <c r="P114" s="77"/>
      <c r="Q114" s="77"/>
      <c r="R114" s="77"/>
      <c r="S114" s="77"/>
      <c r="T114" s="77"/>
      <c r="U114" s="59"/>
      <c r="V114" s="48">
        <f>SUM(P115:T115)-U104</f>
        <v>0</v>
      </c>
      <c r="W114" s="70">
        <f>U115-V114</f>
        <v>0</v>
      </c>
      <c r="X114" s="48" t="s">
        <v>229</v>
      </c>
    </row>
    <row r="115" spans="1:24" hidden="1" x14ac:dyDescent="0.25">
      <c r="A115" s="54" t="s">
        <v>221</v>
      </c>
      <c r="B115" s="78"/>
      <c r="C115" s="78"/>
      <c r="D115" s="78"/>
      <c r="E115" s="78"/>
      <c r="F115" s="78"/>
      <c r="G115" s="82">
        <v>0</v>
      </c>
      <c r="P115" s="78"/>
      <c r="Q115" s="78"/>
      <c r="R115" s="78"/>
      <c r="S115" s="78"/>
      <c r="T115" s="78"/>
      <c r="U115" s="82">
        <f>+U105-U107-U108-U109-U110-U113-U111-U112</f>
        <v>0</v>
      </c>
      <c r="W115" s="70">
        <f>U115-V115</f>
        <v>0</v>
      </c>
      <c r="X115" s="49" t="s">
        <v>231</v>
      </c>
    </row>
    <row r="116" spans="1:24" ht="15.75" hidden="1" thickBot="1" x14ac:dyDescent="0.3">
      <c r="A116" s="72" t="s">
        <v>230</v>
      </c>
      <c r="B116" s="79"/>
      <c r="C116" s="79"/>
      <c r="D116" s="79"/>
      <c r="E116" s="79"/>
      <c r="F116" s="79"/>
      <c r="G116" s="80"/>
      <c r="P116" s="79"/>
      <c r="Q116" s="79"/>
      <c r="R116" s="79"/>
      <c r="S116" s="79"/>
      <c r="T116" s="79"/>
      <c r="U116" s="80"/>
    </row>
    <row r="117" spans="1:24" ht="14.45" hidden="1" customHeight="1" x14ac:dyDescent="0.25">
      <c r="A117" s="108" t="s">
        <v>209</v>
      </c>
      <c r="D117" s="49"/>
      <c r="E117" s="49"/>
      <c r="F117" s="49"/>
      <c r="G117" s="49"/>
      <c r="P117" s="49"/>
      <c r="Q117" s="49"/>
      <c r="R117" s="49"/>
      <c r="S117" s="49"/>
      <c r="T117" s="49"/>
      <c r="U117" s="49"/>
    </row>
    <row r="118" spans="1:24" ht="14.45" hidden="1" customHeight="1" x14ac:dyDescent="0.25">
      <c r="A118" s="109" t="s">
        <v>210</v>
      </c>
      <c r="D118" s="49"/>
      <c r="E118" s="49"/>
      <c r="F118" s="49"/>
      <c r="G118" s="49"/>
      <c r="P118" s="49"/>
      <c r="Q118" s="49"/>
      <c r="R118" s="49"/>
      <c r="S118" s="49"/>
      <c r="T118" s="49"/>
      <c r="U118" s="49"/>
    </row>
    <row r="119" spans="1:24" ht="14.45" hidden="1" customHeight="1" x14ac:dyDescent="0.25">
      <c r="A119" s="110">
        <v>43281</v>
      </c>
      <c r="D119" s="49"/>
      <c r="E119" s="49"/>
      <c r="F119" s="49"/>
      <c r="G119" s="49"/>
      <c r="P119" s="49"/>
      <c r="Q119" s="49"/>
      <c r="R119" s="49"/>
      <c r="S119" s="49"/>
      <c r="T119" s="49"/>
      <c r="U119" s="49"/>
    </row>
    <row r="120" spans="1:24" s="58" customFormat="1" hidden="1" x14ac:dyDescent="0.25">
      <c r="A120" s="51"/>
      <c r="B120" s="52"/>
      <c r="C120" s="52"/>
      <c r="D120" s="52"/>
      <c r="E120" s="52"/>
      <c r="F120" s="52"/>
      <c r="G120" s="53"/>
      <c r="P120" s="52"/>
      <c r="Q120" s="52"/>
      <c r="R120" s="52"/>
      <c r="S120" s="52"/>
      <c r="T120" s="52"/>
      <c r="U120" s="53"/>
      <c r="V120" s="57"/>
    </row>
    <row r="121" spans="1:24" hidden="1" x14ac:dyDescent="0.25">
      <c r="A121" s="54"/>
      <c r="B121" s="55" t="s">
        <v>211</v>
      </c>
      <c r="C121" s="55" t="s">
        <v>212</v>
      </c>
      <c r="D121" s="55" t="s">
        <v>213</v>
      </c>
      <c r="E121" s="55" t="s">
        <v>214</v>
      </c>
      <c r="F121" s="55" t="s">
        <v>215</v>
      </c>
      <c r="G121" s="56" t="s">
        <v>216</v>
      </c>
      <c r="P121" s="55" t="s">
        <v>211</v>
      </c>
      <c r="Q121" s="55" t="s">
        <v>212</v>
      </c>
      <c r="R121" s="55" t="s">
        <v>213</v>
      </c>
      <c r="S121" s="55" t="s">
        <v>214</v>
      </c>
      <c r="T121" s="55" t="s">
        <v>215</v>
      </c>
      <c r="U121" s="56" t="s">
        <v>216</v>
      </c>
    </row>
    <row r="122" spans="1:24" hidden="1" x14ac:dyDescent="0.25">
      <c r="A122" s="54" t="s">
        <v>62</v>
      </c>
      <c r="B122" s="1"/>
      <c r="C122" s="1"/>
      <c r="D122" s="1"/>
      <c r="E122" s="1"/>
      <c r="F122" s="1"/>
      <c r="G122" s="59">
        <v>0</v>
      </c>
      <c r="P122" s="1"/>
      <c r="Q122" s="1"/>
      <c r="R122" s="1"/>
      <c r="S122" s="1"/>
      <c r="T122" s="1"/>
      <c r="U122" s="59">
        <f>SUM(P122:T122)</f>
        <v>0</v>
      </c>
    </row>
    <row r="123" spans="1:24" hidden="1" x14ac:dyDescent="0.25">
      <c r="A123" s="54" t="s">
        <v>217</v>
      </c>
      <c r="B123" s="1"/>
      <c r="C123" s="1"/>
      <c r="D123" s="1"/>
      <c r="E123" s="1"/>
      <c r="F123" s="1"/>
      <c r="G123" s="59">
        <v>0</v>
      </c>
      <c r="P123" s="1"/>
      <c r="Q123" s="1"/>
      <c r="R123" s="1"/>
      <c r="S123" s="1"/>
      <c r="T123" s="1"/>
      <c r="U123" s="59">
        <f>SUM(P123:T123)</f>
        <v>0</v>
      </c>
    </row>
    <row r="124" spans="1:24" hidden="1" x14ac:dyDescent="0.25">
      <c r="A124" s="54" t="s">
        <v>218</v>
      </c>
      <c r="B124" s="1"/>
      <c r="C124" s="1"/>
      <c r="D124" s="1"/>
      <c r="E124" s="1"/>
      <c r="F124" s="1"/>
      <c r="G124" s="59">
        <v>0</v>
      </c>
      <c r="P124" s="1"/>
      <c r="Q124" s="1"/>
      <c r="R124" s="1"/>
      <c r="S124" s="1"/>
      <c r="T124" s="1"/>
      <c r="U124" s="59">
        <f>SUM(P124:T124)</f>
        <v>0</v>
      </c>
    </row>
    <row r="125" spans="1:24" hidden="1" x14ac:dyDescent="0.25">
      <c r="A125" s="54" t="s">
        <v>219</v>
      </c>
      <c r="B125" s="1"/>
      <c r="C125" s="1"/>
      <c r="D125" s="1"/>
      <c r="E125" s="1"/>
      <c r="F125" s="1"/>
      <c r="G125" s="59">
        <v>0</v>
      </c>
      <c r="P125" s="1"/>
      <c r="Q125" s="1"/>
      <c r="R125" s="1"/>
      <c r="S125" s="1"/>
      <c r="T125" s="1"/>
      <c r="U125" s="59">
        <f>SUM(P125:T125)</f>
        <v>0</v>
      </c>
    </row>
    <row r="126" spans="1:24" hidden="1" x14ac:dyDescent="0.25">
      <c r="A126" s="54" t="s">
        <v>220</v>
      </c>
      <c r="B126" s="10"/>
      <c r="C126" s="10"/>
      <c r="D126" s="67"/>
      <c r="E126" s="67"/>
      <c r="F126" s="67"/>
      <c r="G126" s="59">
        <v>0</v>
      </c>
      <c r="P126" s="10"/>
      <c r="Q126" s="10"/>
      <c r="R126" s="67"/>
      <c r="S126" s="67"/>
      <c r="T126" s="67"/>
      <c r="U126" s="59">
        <f>SUM(P126:T126)</f>
        <v>0</v>
      </c>
    </row>
    <row r="127" spans="1:24" ht="15.75" hidden="1" thickBot="1" x14ac:dyDescent="0.3">
      <c r="A127" s="54" t="s">
        <v>222</v>
      </c>
      <c r="B127" s="74"/>
      <c r="C127" s="74"/>
      <c r="D127" s="74"/>
      <c r="E127" s="74"/>
      <c r="F127" s="74"/>
      <c r="G127" s="75"/>
      <c r="P127" s="74"/>
      <c r="Q127" s="74"/>
      <c r="R127" s="74"/>
      <c r="S127" s="74"/>
      <c r="T127" s="74"/>
      <c r="U127" s="75"/>
    </row>
    <row r="128" spans="1:24" ht="15.75" hidden="1" thickBot="1" x14ac:dyDescent="0.3">
      <c r="A128" s="54"/>
      <c r="B128" s="76">
        <v>0</v>
      </c>
      <c r="C128" s="76">
        <v>0</v>
      </c>
      <c r="D128" s="76">
        <v>0</v>
      </c>
      <c r="E128" s="76">
        <v>0</v>
      </c>
      <c r="F128" s="76">
        <v>0</v>
      </c>
      <c r="G128" s="66">
        <v>0</v>
      </c>
      <c r="P128" s="76">
        <f>+P122-P123-P124-P125-P126</f>
        <v>0</v>
      </c>
      <c r="Q128" s="76">
        <f>+Q122-Q123-Q124-Q125-Q126</f>
        <v>0</v>
      </c>
      <c r="R128" s="76">
        <f>+R122-R123-R124-R125-R126</f>
        <v>0</v>
      </c>
      <c r="S128" s="76">
        <f>+S122-S123-S124-S125-S126</f>
        <v>0</v>
      </c>
      <c r="T128" s="76">
        <f>+T122-T123-T124-T125-T126</f>
        <v>0</v>
      </c>
      <c r="U128" s="66">
        <f>+U122-U123-U124-U125-U126-U127</f>
        <v>0</v>
      </c>
    </row>
    <row r="129" spans="1:24" hidden="1" x14ac:dyDescent="0.25">
      <c r="A129" s="54"/>
      <c r="B129" s="77"/>
      <c r="C129" s="77"/>
      <c r="D129" s="77"/>
      <c r="E129" s="77"/>
      <c r="F129" s="77"/>
      <c r="G129" s="59"/>
      <c r="P129" s="77"/>
      <c r="Q129" s="77"/>
      <c r="R129" s="77"/>
      <c r="S129" s="77"/>
      <c r="T129" s="77"/>
      <c r="U129" s="59"/>
    </row>
    <row r="130" spans="1:24" hidden="1" x14ac:dyDescent="0.25">
      <c r="A130" s="54" t="s">
        <v>223</v>
      </c>
      <c r="B130" s="77"/>
      <c r="C130" s="77"/>
      <c r="D130" s="77"/>
      <c r="E130" s="77"/>
      <c r="F130" s="77"/>
      <c r="G130" s="59">
        <v>0</v>
      </c>
      <c r="P130" s="77"/>
      <c r="Q130" s="77"/>
      <c r="R130" s="77"/>
      <c r="S130" s="77"/>
      <c r="T130" s="77"/>
      <c r="U130" s="59">
        <f t="shared" ref="U130:U136" si="11">SUM(P130:T130)</f>
        <v>0</v>
      </c>
    </row>
    <row r="131" spans="1:24" hidden="1" x14ac:dyDescent="0.25">
      <c r="A131" s="54" t="s">
        <v>224</v>
      </c>
      <c r="B131" s="6"/>
      <c r="C131" s="6"/>
      <c r="D131" s="6"/>
      <c r="E131" s="6"/>
      <c r="F131" s="6"/>
      <c r="G131" s="59">
        <v>0</v>
      </c>
      <c r="P131" s="6"/>
      <c r="Q131" s="6"/>
      <c r="R131" s="6"/>
      <c r="S131" s="6"/>
      <c r="T131" s="6"/>
      <c r="U131" s="59">
        <f t="shared" si="11"/>
        <v>0</v>
      </c>
    </row>
    <row r="132" spans="1:24" hidden="1" x14ac:dyDescent="0.25">
      <c r="A132" s="54" t="s">
        <v>225</v>
      </c>
      <c r="B132" s="6"/>
      <c r="C132" s="6"/>
      <c r="D132" s="6"/>
      <c r="E132" s="6"/>
      <c r="F132" s="6"/>
      <c r="G132" s="59">
        <v>0</v>
      </c>
      <c r="P132" s="6"/>
      <c r="Q132" s="6"/>
      <c r="R132" s="6"/>
      <c r="S132" s="6"/>
      <c r="T132" s="6"/>
      <c r="U132" s="59">
        <f t="shared" si="11"/>
        <v>0</v>
      </c>
    </row>
    <row r="133" spans="1:24" hidden="1" x14ac:dyDescent="0.25">
      <c r="A133" s="54" t="s">
        <v>226</v>
      </c>
      <c r="B133" s="6"/>
      <c r="C133" s="6"/>
      <c r="D133" s="6"/>
      <c r="E133" s="6"/>
      <c r="F133" s="6"/>
      <c r="G133" s="59">
        <v>0</v>
      </c>
      <c r="P133" s="6"/>
      <c r="Q133" s="6"/>
      <c r="R133" s="6"/>
      <c r="S133" s="6"/>
      <c r="T133" s="6"/>
      <c r="U133" s="59">
        <f t="shared" si="11"/>
        <v>0</v>
      </c>
    </row>
    <row r="134" spans="1:24" hidden="1" x14ac:dyDescent="0.25">
      <c r="A134" s="54" t="s">
        <v>227</v>
      </c>
      <c r="B134" s="6"/>
      <c r="C134" s="6"/>
      <c r="D134" s="6"/>
      <c r="E134" s="6"/>
      <c r="F134" s="6"/>
      <c r="G134" s="59">
        <v>0</v>
      </c>
      <c r="P134" s="6"/>
      <c r="Q134" s="6"/>
      <c r="R134" s="6"/>
      <c r="S134" s="6"/>
      <c r="T134" s="6"/>
      <c r="U134" s="59">
        <f t="shared" si="11"/>
        <v>0</v>
      </c>
    </row>
    <row r="135" spans="1:24" hidden="1" x14ac:dyDescent="0.25">
      <c r="A135" s="54" t="s">
        <v>36</v>
      </c>
      <c r="B135" s="6"/>
      <c r="C135" s="6"/>
      <c r="D135" s="6"/>
      <c r="E135" s="6"/>
      <c r="F135" s="6"/>
      <c r="G135" s="59">
        <v>0</v>
      </c>
      <c r="P135" s="6"/>
      <c r="Q135" s="6"/>
      <c r="R135" s="6"/>
      <c r="S135" s="6"/>
      <c r="T135" s="6"/>
      <c r="U135" s="59">
        <f t="shared" si="11"/>
        <v>0</v>
      </c>
    </row>
    <row r="136" spans="1:24" hidden="1" x14ac:dyDescent="0.25">
      <c r="A136" s="54" t="s">
        <v>228</v>
      </c>
      <c r="B136" s="6"/>
      <c r="C136" s="6"/>
      <c r="D136" s="6"/>
      <c r="E136" s="6"/>
      <c r="F136" s="6"/>
      <c r="G136" s="59">
        <v>0</v>
      </c>
      <c r="P136" s="6"/>
      <c r="Q136" s="6"/>
      <c r="R136" s="6"/>
      <c r="S136" s="6"/>
      <c r="T136" s="6"/>
      <c r="U136" s="59">
        <f t="shared" si="11"/>
        <v>0</v>
      </c>
    </row>
    <row r="137" spans="1:24" hidden="1" x14ac:dyDescent="0.25">
      <c r="A137" s="54"/>
      <c r="B137" s="77"/>
      <c r="C137" s="77"/>
      <c r="D137" s="77"/>
      <c r="E137" s="77"/>
      <c r="F137" s="77"/>
      <c r="G137" s="59"/>
      <c r="P137" s="77"/>
      <c r="Q137" s="77"/>
      <c r="R137" s="77"/>
      <c r="S137" s="77"/>
      <c r="T137" s="77"/>
      <c r="U137" s="59"/>
      <c r="V137" s="48">
        <f>SUM(P138:T138)-U127</f>
        <v>0</v>
      </c>
      <c r="W137" s="70">
        <f>U138-V137</f>
        <v>0</v>
      </c>
      <c r="X137" s="48" t="s">
        <v>229</v>
      </c>
    </row>
    <row r="138" spans="1:24" hidden="1" x14ac:dyDescent="0.25">
      <c r="A138" s="54" t="s">
        <v>221</v>
      </c>
      <c r="B138" s="78"/>
      <c r="C138" s="78"/>
      <c r="D138" s="78"/>
      <c r="E138" s="78"/>
      <c r="F138" s="78"/>
      <c r="G138" s="82">
        <v>0</v>
      </c>
      <c r="P138" s="78"/>
      <c r="Q138" s="78"/>
      <c r="R138" s="78"/>
      <c r="S138" s="78"/>
      <c r="T138" s="78"/>
      <c r="U138" s="82">
        <f>+U128-U130-U131-U132-U133-U136-U134-U135</f>
        <v>0</v>
      </c>
      <c r="W138" s="70">
        <f>U138-V138</f>
        <v>0</v>
      </c>
      <c r="X138" s="49" t="s">
        <v>231</v>
      </c>
    </row>
    <row r="139" spans="1:24" ht="15.75" hidden="1" thickBot="1" x14ac:dyDescent="0.3">
      <c r="A139" s="72" t="s">
        <v>230</v>
      </c>
      <c r="B139" s="79"/>
      <c r="C139" s="79"/>
      <c r="D139" s="79"/>
      <c r="E139" s="79"/>
      <c r="F139" s="79"/>
      <c r="G139" s="80"/>
      <c r="P139" s="79"/>
      <c r="Q139" s="79"/>
      <c r="R139" s="79"/>
      <c r="S139" s="79"/>
      <c r="T139" s="79"/>
      <c r="U139" s="80"/>
    </row>
    <row r="140" spans="1:24" ht="14.45" hidden="1" customHeight="1" x14ac:dyDescent="0.25">
      <c r="A140" s="108" t="s">
        <v>209</v>
      </c>
      <c r="D140" s="49"/>
      <c r="E140" s="49"/>
      <c r="F140" s="49"/>
      <c r="G140" s="49"/>
      <c r="P140" s="49"/>
      <c r="Q140" s="49"/>
      <c r="R140" s="49"/>
      <c r="S140" s="49"/>
      <c r="T140" s="49"/>
      <c r="U140" s="49"/>
    </row>
    <row r="141" spans="1:24" ht="14.45" hidden="1" customHeight="1" x14ac:dyDescent="0.25">
      <c r="A141" s="109" t="s">
        <v>210</v>
      </c>
      <c r="D141" s="49"/>
      <c r="E141" s="49"/>
      <c r="F141" s="49"/>
      <c r="G141" s="49"/>
      <c r="P141" s="49"/>
      <c r="Q141" s="49"/>
      <c r="R141" s="49"/>
      <c r="S141" s="49"/>
      <c r="T141" s="49"/>
      <c r="U141" s="49"/>
    </row>
    <row r="142" spans="1:24" ht="14.45" hidden="1" customHeight="1" x14ac:dyDescent="0.25">
      <c r="A142" s="110">
        <v>43312</v>
      </c>
      <c r="D142" s="49"/>
      <c r="E142" s="49"/>
      <c r="F142" s="49"/>
      <c r="G142" s="49"/>
      <c r="P142" s="49"/>
      <c r="Q142" s="49"/>
      <c r="R142" s="49"/>
      <c r="S142" s="49"/>
      <c r="T142" s="49"/>
      <c r="U142" s="49"/>
    </row>
    <row r="143" spans="1:24" s="58" customFormat="1" hidden="1" x14ac:dyDescent="0.25">
      <c r="A143" s="51"/>
      <c r="B143" s="52"/>
      <c r="C143" s="52"/>
      <c r="D143" s="52"/>
      <c r="E143" s="52"/>
      <c r="F143" s="52"/>
      <c r="G143" s="53"/>
      <c r="P143" s="52"/>
      <c r="Q143" s="52"/>
      <c r="R143" s="52"/>
      <c r="S143" s="52"/>
      <c r="T143" s="52"/>
      <c r="U143" s="53"/>
      <c r="V143" s="57"/>
    </row>
    <row r="144" spans="1:24" hidden="1" x14ac:dyDescent="0.25">
      <c r="A144" s="54"/>
      <c r="B144" s="55" t="s">
        <v>211</v>
      </c>
      <c r="C144" s="55" t="s">
        <v>212</v>
      </c>
      <c r="D144" s="55" t="s">
        <v>213</v>
      </c>
      <c r="E144" s="55" t="s">
        <v>214</v>
      </c>
      <c r="F144" s="55" t="s">
        <v>215</v>
      </c>
      <c r="G144" s="56" t="s">
        <v>216</v>
      </c>
      <c r="P144" s="55" t="s">
        <v>211</v>
      </c>
      <c r="Q144" s="55" t="s">
        <v>212</v>
      </c>
      <c r="R144" s="55" t="s">
        <v>213</v>
      </c>
      <c r="S144" s="55" t="s">
        <v>214</v>
      </c>
      <c r="T144" s="55" t="s">
        <v>215</v>
      </c>
      <c r="U144" s="56" t="s">
        <v>216</v>
      </c>
    </row>
    <row r="145" spans="1:24" hidden="1" x14ac:dyDescent="0.25">
      <c r="A145" s="54" t="s">
        <v>62</v>
      </c>
      <c r="B145" s="1"/>
      <c r="C145" s="1"/>
      <c r="D145" s="1"/>
      <c r="E145" s="1"/>
      <c r="F145" s="1"/>
      <c r="G145" s="59">
        <v>0</v>
      </c>
      <c r="P145" s="1"/>
      <c r="Q145" s="1"/>
      <c r="R145" s="1"/>
      <c r="S145" s="1"/>
      <c r="T145" s="1"/>
      <c r="U145" s="59">
        <f>SUM(P145:T145)</f>
        <v>0</v>
      </c>
    </row>
    <row r="146" spans="1:24" hidden="1" x14ac:dyDescent="0.25">
      <c r="A146" s="54" t="s">
        <v>217</v>
      </c>
      <c r="B146" s="1"/>
      <c r="C146" s="1"/>
      <c r="D146" s="1"/>
      <c r="E146" s="1"/>
      <c r="F146" s="1"/>
      <c r="G146" s="59">
        <v>0</v>
      </c>
      <c r="P146" s="1"/>
      <c r="Q146" s="1"/>
      <c r="R146" s="1"/>
      <c r="S146" s="1"/>
      <c r="T146" s="1"/>
      <c r="U146" s="59">
        <f>SUM(P146:T146)</f>
        <v>0</v>
      </c>
    </row>
    <row r="147" spans="1:24" hidden="1" x14ac:dyDescent="0.25">
      <c r="A147" s="54" t="s">
        <v>218</v>
      </c>
      <c r="B147" s="1"/>
      <c r="C147" s="1"/>
      <c r="D147" s="1"/>
      <c r="E147" s="1"/>
      <c r="F147" s="1"/>
      <c r="G147" s="59">
        <v>0</v>
      </c>
      <c r="P147" s="1"/>
      <c r="Q147" s="1"/>
      <c r="R147" s="1"/>
      <c r="S147" s="1"/>
      <c r="T147" s="1"/>
      <c r="U147" s="59">
        <f>SUM(P147:T147)</f>
        <v>0</v>
      </c>
    </row>
    <row r="148" spans="1:24" hidden="1" x14ac:dyDescent="0.25">
      <c r="A148" s="54" t="s">
        <v>219</v>
      </c>
      <c r="B148" s="1"/>
      <c r="C148" s="1"/>
      <c r="D148" s="1"/>
      <c r="E148" s="1"/>
      <c r="F148" s="1"/>
      <c r="G148" s="59">
        <v>0</v>
      </c>
      <c r="P148" s="1"/>
      <c r="Q148" s="1"/>
      <c r="R148" s="1"/>
      <c r="S148" s="1"/>
      <c r="T148" s="1"/>
      <c r="U148" s="59">
        <f>SUM(P148:T148)</f>
        <v>0</v>
      </c>
    </row>
    <row r="149" spans="1:24" hidden="1" x14ac:dyDescent="0.25">
      <c r="A149" s="54" t="s">
        <v>220</v>
      </c>
      <c r="B149" s="10"/>
      <c r="C149" s="10"/>
      <c r="D149" s="67"/>
      <c r="E149" s="67"/>
      <c r="F149" s="67"/>
      <c r="G149" s="59">
        <v>0</v>
      </c>
      <c r="P149" s="10"/>
      <c r="Q149" s="10"/>
      <c r="R149" s="67"/>
      <c r="S149" s="67"/>
      <c r="T149" s="67"/>
      <c r="U149" s="59">
        <f>SUM(P149:T149)</f>
        <v>0</v>
      </c>
    </row>
    <row r="150" spans="1:24" ht="15.75" hidden="1" thickBot="1" x14ac:dyDescent="0.3">
      <c r="A150" s="54" t="s">
        <v>222</v>
      </c>
      <c r="B150" s="74"/>
      <c r="C150" s="74"/>
      <c r="D150" s="74"/>
      <c r="E150" s="74"/>
      <c r="F150" s="74"/>
      <c r="G150" s="75"/>
      <c r="P150" s="74"/>
      <c r="Q150" s="74"/>
      <c r="R150" s="74"/>
      <c r="S150" s="74"/>
      <c r="T150" s="74"/>
      <c r="U150" s="75"/>
    </row>
    <row r="151" spans="1:24" ht="15.75" hidden="1" thickBot="1" x14ac:dyDescent="0.3">
      <c r="A151" s="54"/>
      <c r="B151" s="76">
        <v>0</v>
      </c>
      <c r="C151" s="76">
        <v>0</v>
      </c>
      <c r="D151" s="76">
        <v>0</v>
      </c>
      <c r="E151" s="76">
        <v>0</v>
      </c>
      <c r="F151" s="76">
        <v>0</v>
      </c>
      <c r="G151" s="66">
        <v>0</v>
      </c>
      <c r="P151" s="76">
        <f>+P145-P146-P147-P148-P149</f>
        <v>0</v>
      </c>
      <c r="Q151" s="76">
        <f>+Q145-Q146-Q147-Q148-Q149</f>
        <v>0</v>
      </c>
      <c r="R151" s="76">
        <f>+R145-R146-R147-R148-R149</f>
        <v>0</v>
      </c>
      <c r="S151" s="76">
        <f>+S145-S146-S147-S148-S149</f>
        <v>0</v>
      </c>
      <c r="T151" s="76">
        <f>+T145-T146-T147-T148-T149</f>
        <v>0</v>
      </c>
      <c r="U151" s="66">
        <f>+U145-U146-U147-U148-U149-U150</f>
        <v>0</v>
      </c>
    </row>
    <row r="152" spans="1:24" hidden="1" x14ac:dyDescent="0.25">
      <c r="A152" s="54"/>
      <c r="B152" s="77"/>
      <c r="C152" s="77"/>
      <c r="D152" s="77"/>
      <c r="E152" s="77"/>
      <c r="F152" s="77"/>
      <c r="G152" s="59"/>
      <c r="P152" s="77"/>
      <c r="Q152" s="77"/>
      <c r="R152" s="77"/>
      <c r="S152" s="77"/>
      <c r="T152" s="77"/>
      <c r="U152" s="59"/>
    </row>
    <row r="153" spans="1:24" hidden="1" x14ac:dyDescent="0.25">
      <c r="A153" s="54" t="s">
        <v>223</v>
      </c>
      <c r="B153" s="77"/>
      <c r="C153" s="77"/>
      <c r="D153" s="77"/>
      <c r="E153" s="77"/>
      <c r="F153" s="77"/>
      <c r="G153" s="59">
        <v>0</v>
      </c>
      <c r="P153" s="77"/>
      <c r="Q153" s="77"/>
      <c r="R153" s="77"/>
      <c r="S153" s="77"/>
      <c r="T153" s="77"/>
      <c r="U153" s="59">
        <f t="shared" ref="U153:U159" si="12">SUM(P153:T153)</f>
        <v>0</v>
      </c>
    </row>
    <row r="154" spans="1:24" hidden="1" x14ac:dyDescent="0.25">
      <c r="A154" s="54" t="s">
        <v>224</v>
      </c>
      <c r="B154" s="6"/>
      <c r="C154" s="6"/>
      <c r="D154" s="6"/>
      <c r="E154" s="6"/>
      <c r="F154" s="6"/>
      <c r="G154" s="59">
        <v>0</v>
      </c>
      <c r="P154" s="6"/>
      <c r="Q154" s="6"/>
      <c r="R154" s="6"/>
      <c r="S154" s="6"/>
      <c r="T154" s="6"/>
      <c r="U154" s="59">
        <f t="shared" si="12"/>
        <v>0</v>
      </c>
    </row>
    <row r="155" spans="1:24" hidden="1" x14ac:dyDescent="0.25">
      <c r="A155" s="54" t="s">
        <v>225</v>
      </c>
      <c r="B155" s="6"/>
      <c r="C155" s="6"/>
      <c r="D155" s="6"/>
      <c r="E155" s="6"/>
      <c r="F155" s="6"/>
      <c r="G155" s="59">
        <v>0</v>
      </c>
      <c r="P155" s="6"/>
      <c r="Q155" s="6"/>
      <c r="R155" s="6"/>
      <c r="S155" s="6"/>
      <c r="T155" s="6"/>
      <c r="U155" s="59">
        <f t="shared" si="12"/>
        <v>0</v>
      </c>
    </row>
    <row r="156" spans="1:24" hidden="1" x14ac:dyDescent="0.25">
      <c r="A156" s="54" t="s">
        <v>226</v>
      </c>
      <c r="B156" s="6"/>
      <c r="C156" s="6"/>
      <c r="D156" s="6"/>
      <c r="E156" s="6"/>
      <c r="F156" s="6"/>
      <c r="G156" s="59">
        <v>0</v>
      </c>
      <c r="P156" s="6"/>
      <c r="Q156" s="6"/>
      <c r="R156" s="6"/>
      <c r="S156" s="6"/>
      <c r="T156" s="6"/>
      <c r="U156" s="59">
        <f t="shared" si="12"/>
        <v>0</v>
      </c>
    </row>
    <row r="157" spans="1:24" hidden="1" x14ac:dyDescent="0.25">
      <c r="A157" s="54" t="s">
        <v>227</v>
      </c>
      <c r="B157" s="6"/>
      <c r="C157" s="6"/>
      <c r="D157" s="6"/>
      <c r="E157" s="6"/>
      <c r="F157" s="6"/>
      <c r="G157" s="59">
        <v>0</v>
      </c>
      <c r="P157" s="6"/>
      <c r="Q157" s="6"/>
      <c r="R157" s="6"/>
      <c r="S157" s="6"/>
      <c r="T157" s="6"/>
      <c r="U157" s="59">
        <f t="shared" si="12"/>
        <v>0</v>
      </c>
    </row>
    <row r="158" spans="1:24" hidden="1" x14ac:dyDescent="0.25">
      <c r="A158" s="54" t="s">
        <v>36</v>
      </c>
      <c r="B158" s="6"/>
      <c r="C158" s="6"/>
      <c r="D158" s="6"/>
      <c r="E158" s="6"/>
      <c r="F158" s="6"/>
      <c r="G158" s="59">
        <v>0</v>
      </c>
      <c r="P158" s="6"/>
      <c r="Q158" s="6"/>
      <c r="R158" s="6"/>
      <c r="S158" s="6"/>
      <c r="T158" s="6"/>
      <c r="U158" s="59">
        <f t="shared" si="12"/>
        <v>0</v>
      </c>
    </row>
    <row r="159" spans="1:24" hidden="1" x14ac:dyDescent="0.25">
      <c r="A159" s="54" t="s">
        <v>228</v>
      </c>
      <c r="B159" s="6"/>
      <c r="C159" s="6"/>
      <c r="D159" s="6"/>
      <c r="E159" s="6"/>
      <c r="F159" s="6"/>
      <c r="G159" s="59">
        <v>0</v>
      </c>
      <c r="P159" s="6"/>
      <c r="Q159" s="6"/>
      <c r="R159" s="6"/>
      <c r="S159" s="6"/>
      <c r="T159" s="6"/>
      <c r="U159" s="59">
        <f t="shared" si="12"/>
        <v>0</v>
      </c>
    </row>
    <row r="160" spans="1:24" hidden="1" x14ac:dyDescent="0.25">
      <c r="A160" s="54"/>
      <c r="B160" s="77"/>
      <c r="C160" s="77"/>
      <c r="D160" s="77"/>
      <c r="E160" s="77"/>
      <c r="F160" s="77"/>
      <c r="G160" s="59"/>
      <c r="P160" s="77"/>
      <c r="Q160" s="77"/>
      <c r="R160" s="77"/>
      <c r="S160" s="77"/>
      <c r="T160" s="77"/>
      <c r="U160" s="59"/>
      <c r="V160" s="48">
        <f>SUM(P161:T161)-U150</f>
        <v>0</v>
      </c>
      <c r="W160" s="70">
        <f>U161-V160</f>
        <v>0</v>
      </c>
      <c r="X160" s="48" t="s">
        <v>229</v>
      </c>
    </row>
    <row r="161" spans="1:24" hidden="1" x14ac:dyDescent="0.25">
      <c r="A161" s="54" t="s">
        <v>221</v>
      </c>
      <c r="B161" s="78"/>
      <c r="C161" s="78"/>
      <c r="D161" s="78"/>
      <c r="E161" s="78"/>
      <c r="F161" s="78"/>
      <c r="G161" s="82">
        <v>0</v>
      </c>
      <c r="P161" s="78"/>
      <c r="Q161" s="78"/>
      <c r="R161" s="78"/>
      <c r="S161" s="78"/>
      <c r="T161" s="78"/>
      <c r="U161" s="82">
        <f>+U151-U153-U154-U155-U156-U159-U157-U158</f>
        <v>0</v>
      </c>
      <c r="W161" s="70">
        <f>U161-V161</f>
        <v>0</v>
      </c>
      <c r="X161" s="49" t="s">
        <v>231</v>
      </c>
    </row>
    <row r="162" spans="1:24" ht="15.75" hidden="1" thickBot="1" x14ac:dyDescent="0.3">
      <c r="A162" s="72" t="s">
        <v>230</v>
      </c>
      <c r="B162" s="79"/>
      <c r="C162" s="79"/>
      <c r="D162" s="79"/>
      <c r="E162" s="79"/>
      <c r="F162" s="79"/>
      <c r="G162" s="80"/>
      <c r="P162" s="79"/>
      <c r="Q162" s="79"/>
      <c r="R162" s="79"/>
      <c r="S162" s="79"/>
      <c r="T162" s="79"/>
      <c r="U162" s="80"/>
    </row>
    <row r="163" spans="1:24" ht="14.45" hidden="1" customHeight="1" x14ac:dyDescent="0.25">
      <c r="A163" s="108" t="s">
        <v>209</v>
      </c>
      <c r="D163" s="49"/>
      <c r="E163" s="49"/>
      <c r="F163" s="49"/>
      <c r="G163" s="49"/>
      <c r="P163" s="49"/>
      <c r="Q163" s="49"/>
      <c r="R163" s="49"/>
      <c r="S163" s="49"/>
      <c r="T163" s="49"/>
      <c r="U163" s="49"/>
    </row>
    <row r="164" spans="1:24" ht="14.45" hidden="1" customHeight="1" x14ac:dyDescent="0.25">
      <c r="A164" s="109" t="s">
        <v>210</v>
      </c>
      <c r="D164" s="49"/>
      <c r="E164" s="49"/>
      <c r="F164" s="49"/>
      <c r="G164" s="49"/>
      <c r="P164" s="49"/>
      <c r="Q164" s="49"/>
      <c r="R164" s="49"/>
      <c r="S164" s="49"/>
      <c r="T164" s="49"/>
      <c r="U164" s="49"/>
    </row>
    <row r="165" spans="1:24" ht="14.45" hidden="1" customHeight="1" x14ac:dyDescent="0.25">
      <c r="A165" s="110">
        <v>43343</v>
      </c>
      <c r="D165" s="49"/>
      <c r="E165" s="49"/>
      <c r="F165" s="49"/>
      <c r="G165" s="49"/>
      <c r="P165" s="49"/>
      <c r="Q165" s="49"/>
      <c r="R165" s="49"/>
      <c r="S165" s="49"/>
      <c r="T165" s="49"/>
      <c r="U165" s="49"/>
    </row>
    <row r="166" spans="1:24" s="58" customFormat="1" hidden="1" x14ac:dyDescent="0.25">
      <c r="A166" s="51"/>
      <c r="B166" s="52"/>
      <c r="C166" s="52"/>
      <c r="D166" s="52"/>
      <c r="E166" s="52"/>
      <c r="F166" s="52"/>
      <c r="G166" s="53"/>
      <c r="P166" s="52"/>
      <c r="Q166" s="52"/>
      <c r="R166" s="52"/>
      <c r="S166" s="52"/>
      <c r="T166" s="52"/>
      <c r="U166" s="53"/>
      <c r="V166" s="57"/>
    </row>
    <row r="167" spans="1:24" hidden="1" x14ac:dyDescent="0.25">
      <c r="A167" s="54"/>
      <c r="B167" s="55" t="s">
        <v>211</v>
      </c>
      <c r="C167" s="55" t="s">
        <v>212</v>
      </c>
      <c r="D167" s="55" t="s">
        <v>213</v>
      </c>
      <c r="E167" s="55" t="s">
        <v>214</v>
      </c>
      <c r="F167" s="55" t="s">
        <v>215</v>
      </c>
      <c r="G167" s="56" t="s">
        <v>216</v>
      </c>
      <c r="P167" s="55" t="s">
        <v>211</v>
      </c>
      <c r="Q167" s="55" t="s">
        <v>212</v>
      </c>
      <c r="R167" s="55" t="s">
        <v>213</v>
      </c>
      <c r="S167" s="55" t="s">
        <v>214</v>
      </c>
      <c r="T167" s="55" t="s">
        <v>215</v>
      </c>
      <c r="U167" s="56" t="s">
        <v>216</v>
      </c>
    </row>
    <row r="168" spans="1:24" hidden="1" x14ac:dyDescent="0.25">
      <c r="A168" s="54" t="s">
        <v>62</v>
      </c>
      <c r="B168" s="1"/>
      <c r="C168" s="1"/>
      <c r="D168" s="1"/>
      <c r="E168" s="1"/>
      <c r="F168" s="1"/>
      <c r="G168" s="59">
        <v>0</v>
      </c>
      <c r="P168" s="1"/>
      <c r="Q168" s="1"/>
      <c r="R168" s="1"/>
      <c r="S168" s="1"/>
      <c r="T168" s="1"/>
      <c r="U168" s="59">
        <f>SUM(P168:T168)</f>
        <v>0</v>
      </c>
    </row>
    <row r="169" spans="1:24" hidden="1" x14ac:dyDescent="0.25">
      <c r="A169" s="54" t="s">
        <v>217</v>
      </c>
      <c r="B169" s="1"/>
      <c r="C169" s="1"/>
      <c r="D169" s="1"/>
      <c r="E169" s="1"/>
      <c r="F169" s="1"/>
      <c r="G169" s="59">
        <v>0</v>
      </c>
      <c r="P169" s="1"/>
      <c r="Q169" s="1"/>
      <c r="R169" s="1"/>
      <c r="S169" s="1"/>
      <c r="T169" s="1"/>
      <c r="U169" s="59">
        <f>SUM(P169:T169)</f>
        <v>0</v>
      </c>
    </row>
    <row r="170" spans="1:24" hidden="1" x14ac:dyDescent="0.25">
      <c r="A170" s="54" t="s">
        <v>218</v>
      </c>
      <c r="B170" s="1"/>
      <c r="C170" s="1"/>
      <c r="D170" s="1"/>
      <c r="E170" s="1"/>
      <c r="F170" s="1"/>
      <c r="G170" s="59">
        <v>0</v>
      </c>
      <c r="P170" s="1"/>
      <c r="Q170" s="1"/>
      <c r="R170" s="1"/>
      <c r="S170" s="1"/>
      <c r="T170" s="1"/>
      <c r="U170" s="59">
        <f>SUM(P170:T170)</f>
        <v>0</v>
      </c>
    </row>
    <row r="171" spans="1:24" hidden="1" x14ac:dyDescent="0.25">
      <c r="A171" s="54" t="s">
        <v>219</v>
      </c>
      <c r="B171" s="1"/>
      <c r="C171" s="1"/>
      <c r="D171" s="1"/>
      <c r="E171" s="1"/>
      <c r="F171" s="1"/>
      <c r="G171" s="59">
        <v>0</v>
      </c>
      <c r="P171" s="1"/>
      <c r="Q171" s="1"/>
      <c r="R171" s="1"/>
      <c r="S171" s="1"/>
      <c r="T171" s="1"/>
      <c r="U171" s="59">
        <f>SUM(P171:T171)</f>
        <v>0</v>
      </c>
    </row>
    <row r="172" spans="1:24" hidden="1" x14ac:dyDescent="0.25">
      <c r="A172" s="54" t="s">
        <v>220</v>
      </c>
      <c r="B172" s="10"/>
      <c r="C172" s="10"/>
      <c r="D172" s="67"/>
      <c r="E172" s="67"/>
      <c r="F172" s="67"/>
      <c r="G172" s="59">
        <v>0</v>
      </c>
      <c r="P172" s="10"/>
      <c r="Q172" s="10"/>
      <c r="R172" s="67"/>
      <c r="S172" s="67"/>
      <c r="T172" s="67"/>
      <c r="U172" s="59">
        <f>SUM(P172:T172)</f>
        <v>0</v>
      </c>
    </row>
    <row r="173" spans="1:24" ht="15.75" hidden="1" thickBot="1" x14ac:dyDescent="0.3">
      <c r="A173" s="54" t="s">
        <v>222</v>
      </c>
      <c r="B173" s="74"/>
      <c r="C173" s="74"/>
      <c r="D173" s="74"/>
      <c r="E173" s="74"/>
      <c r="F173" s="74"/>
      <c r="G173" s="75"/>
      <c r="P173" s="74"/>
      <c r="Q173" s="74"/>
      <c r="R173" s="74"/>
      <c r="S173" s="74"/>
      <c r="T173" s="74"/>
      <c r="U173" s="75"/>
    </row>
    <row r="174" spans="1:24" ht="15.75" hidden="1" thickBot="1" x14ac:dyDescent="0.3">
      <c r="A174" s="54"/>
      <c r="B174" s="76">
        <v>0</v>
      </c>
      <c r="C174" s="76">
        <v>0</v>
      </c>
      <c r="D174" s="76">
        <v>0</v>
      </c>
      <c r="E174" s="76">
        <v>0</v>
      </c>
      <c r="F174" s="76">
        <v>0</v>
      </c>
      <c r="G174" s="66">
        <v>0</v>
      </c>
      <c r="P174" s="76">
        <f>+P168-P169-P170-P171-P172</f>
        <v>0</v>
      </c>
      <c r="Q174" s="76">
        <f>+Q168-Q169-Q170-Q171-Q172</f>
        <v>0</v>
      </c>
      <c r="R174" s="76">
        <f>+R168-R169-R170-R171-R172</f>
        <v>0</v>
      </c>
      <c r="S174" s="76">
        <f>+S168-S169-S170-S171-S172</f>
        <v>0</v>
      </c>
      <c r="T174" s="76">
        <f>+T168-T169-T170-T171-T172</f>
        <v>0</v>
      </c>
      <c r="U174" s="66">
        <f>+U168-U169-U170-U171-U172-U173</f>
        <v>0</v>
      </c>
    </row>
    <row r="175" spans="1:24" hidden="1" x14ac:dyDescent="0.25">
      <c r="A175" s="54"/>
      <c r="B175" s="77"/>
      <c r="C175" s="77"/>
      <c r="D175" s="77"/>
      <c r="E175" s="77"/>
      <c r="F175" s="77"/>
      <c r="G175" s="59"/>
      <c r="P175" s="77"/>
      <c r="Q175" s="77"/>
      <c r="R175" s="77"/>
      <c r="S175" s="77"/>
      <c r="T175" s="77"/>
      <c r="U175" s="59"/>
    </row>
    <row r="176" spans="1:24" hidden="1" x14ac:dyDescent="0.25">
      <c r="A176" s="54" t="s">
        <v>223</v>
      </c>
      <c r="B176" s="77"/>
      <c r="C176" s="77"/>
      <c r="D176" s="77"/>
      <c r="E176" s="77"/>
      <c r="F176" s="77"/>
      <c r="G176" s="59">
        <v>0</v>
      </c>
      <c r="P176" s="77"/>
      <c r="Q176" s="77"/>
      <c r="R176" s="77"/>
      <c r="S176" s="77"/>
      <c r="T176" s="77"/>
      <c r="U176" s="59">
        <f t="shared" ref="U176:U182" si="13">SUM(P176:T176)</f>
        <v>0</v>
      </c>
    </row>
    <row r="177" spans="1:24" hidden="1" x14ac:dyDescent="0.25">
      <c r="A177" s="54" t="s">
        <v>224</v>
      </c>
      <c r="B177" s="6"/>
      <c r="C177" s="6"/>
      <c r="D177" s="6"/>
      <c r="E177" s="6"/>
      <c r="F177" s="6"/>
      <c r="G177" s="59">
        <v>0</v>
      </c>
      <c r="P177" s="6"/>
      <c r="Q177" s="6"/>
      <c r="R177" s="6"/>
      <c r="S177" s="6"/>
      <c r="T177" s="6"/>
      <c r="U177" s="59">
        <f t="shared" si="13"/>
        <v>0</v>
      </c>
    </row>
    <row r="178" spans="1:24" hidden="1" x14ac:dyDescent="0.25">
      <c r="A178" s="54" t="s">
        <v>225</v>
      </c>
      <c r="B178" s="18"/>
      <c r="C178" s="18"/>
      <c r="D178" s="6"/>
      <c r="E178" s="6"/>
      <c r="F178" s="6"/>
      <c r="G178" s="59">
        <v>0</v>
      </c>
      <c r="P178" s="18"/>
      <c r="Q178" s="18"/>
      <c r="R178" s="6"/>
      <c r="S178" s="6"/>
      <c r="T178" s="6"/>
      <c r="U178" s="59">
        <f t="shared" si="13"/>
        <v>0</v>
      </c>
    </row>
    <row r="179" spans="1:24" hidden="1" x14ac:dyDescent="0.25">
      <c r="A179" s="54" t="s">
        <v>226</v>
      </c>
      <c r="B179" s="6"/>
      <c r="C179" s="6"/>
      <c r="D179" s="6"/>
      <c r="E179" s="6"/>
      <c r="F179" s="6"/>
      <c r="G179" s="59">
        <v>0</v>
      </c>
      <c r="P179" s="6"/>
      <c r="Q179" s="6"/>
      <c r="R179" s="6"/>
      <c r="S179" s="6"/>
      <c r="T179" s="6"/>
      <c r="U179" s="59">
        <f t="shared" si="13"/>
        <v>0</v>
      </c>
    </row>
    <row r="180" spans="1:24" hidden="1" x14ac:dyDescent="0.25">
      <c r="A180" s="54" t="s">
        <v>227</v>
      </c>
      <c r="B180" s="6"/>
      <c r="C180" s="6"/>
      <c r="D180" s="6"/>
      <c r="E180" s="6"/>
      <c r="F180" s="6"/>
      <c r="G180" s="59">
        <v>0</v>
      </c>
      <c r="P180" s="6"/>
      <c r="Q180" s="6"/>
      <c r="R180" s="6"/>
      <c r="S180" s="6"/>
      <c r="T180" s="6"/>
      <c r="U180" s="59">
        <f t="shared" si="13"/>
        <v>0</v>
      </c>
    </row>
    <row r="181" spans="1:24" hidden="1" x14ac:dyDescent="0.25">
      <c r="A181" s="54" t="s">
        <v>36</v>
      </c>
      <c r="B181" s="6"/>
      <c r="C181" s="6"/>
      <c r="D181" s="6"/>
      <c r="E181" s="6"/>
      <c r="F181" s="6"/>
      <c r="G181" s="59">
        <v>0</v>
      </c>
      <c r="P181" s="6"/>
      <c r="Q181" s="6"/>
      <c r="R181" s="6"/>
      <c r="S181" s="6"/>
      <c r="T181" s="6"/>
      <c r="U181" s="59">
        <f t="shared" si="13"/>
        <v>0</v>
      </c>
    </row>
    <row r="182" spans="1:24" hidden="1" x14ac:dyDescent="0.25">
      <c r="A182" s="54" t="s">
        <v>228</v>
      </c>
      <c r="B182" s="6"/>
      <c r="C182" s="6"/>
      <c r="D182" s="6"/>
      <c r="E182" s="6"/>
      <c r="F182" s="6"/>
      <c r="G182" s="59">
        <v>0</v>
      </c>
      <c r="P182" s="6"/>
      <c r="Q182" s="6"/>
      <c r="R182" s="6"/>
      <c r="S182" s="6"/>
      <c r="T182" s="6"/>
      <c r="U182" s="59">
        <f t="shared" si="13"/>
        <v>0</v>
      </c>
    </row>
    <row r="183" spans="1:24" hidden="1" x14ac:dyDescent="0.25">
      <c r="A183" s="54"/>
      <c r="B183" s="77"/>
      <c r="C183" s="77"/>
      <c r="D183" s="77"/>
      <c r="E183" s="77"/>
      <c r="F183" s="77"/>
      <c r="G183" s="59"/>
      <c r="P183" s="77"/>
      <c r="Q183" s="77"/>
      <c r="R183" s="77"/>
      <c r="S183" s="77"/>
      <c r="T183" s="77"/>
      <c r="U183" s="59"/>
      <c r="V183" s="48">
        <f>SUM(P184:T184)-U173</f>
        <v>0</v>
      </c>
      <c r="W183" s="70">
        <f>U184-V183</f>
        <v>0</v>
      </c>
      <c r="X183" s="48" t="s">
        <v>229</v>
      </c>
    </row>
    <row r="184" spans="1:24" hidden="1" x14ac:dyDescent="0.25">
      <c r="A184" s="54" t="s">
        <v>221</v>
      </c>
      <c r="B184" s="78">
        <v>0</v>
      </c>
      <c r="C184" s="78">
        <v>0</v>
      </c>
      <c r="D184" s="78">
        <v>0</v>
      </c>
      <c r="E184" s="78">
        <v>0</v>
      </c>
      <c r="F184" s="78">
        <v>0</v>
      </c>
      <c r="G184" s="82">
        <v>0</v>
      </c>
      <c r="P184" s="78">
        <f>+P174-SUM(P176:P182)</f>
        <v>0</v>
      </c>
      <c r="Q184" s="78">
        <f>+Q174-SUM(Q176:Q182)</f>
        <v>0</v>
      </c>
      <c r="R184" s="78">
        <f>+R174-SUM(R176:R182)</f>
        <v>0</v>
      </c>
      <c r="S184" s="78">
        <f>+S174-SUM(S176:S182)</f>
        <v>0</v>
      </c>
      <c r="T184" s="78">
        <f>+T174-SUM(T176:T182)</f>
        <v>0</v>
      </c>
      <c r="U184" s="82">
        <f>+U174-U176-U177-U178-U179-U182-U180-U181</f>
        <v>0</v>
      </c>
      <c r="W184" s="70">
        <f>U184-V184</f>
        <v>0</v>
      </c>
      <c r="X184" s="49" t="s">
        <v>231</v>
      </c>
    </row>
    <row r="185" spans="1:24" ht="15.75" hidden="1" thickBot="1" x14ac:dyDescent="0.3">
      <c r="A185" s="72" t="s">
        <v>230</v>
      </c>
      <c r="B185" s="79"/>
      <c r="C185" s="79"/>
      <c r="D185" s="79"/>
      <c r="E185" s="79"/>
      <c r="F185" s="79"/>
      <c r="G185" s="80"/>
      <c r="P185" s="79"/>
      <c r="Q185" s="79"/>
      <c r="R185" s="79"/>
      <c r="S185" s="79"/>
      <c r="T185" s="79"/>
      <c r="U185" s="80"/>
    </row>
    <row r="186" spans="1:24" ht="14.45" hidden="1" customHeight="1" x14ac:dyDescent="0.25">
      <c r="A186" s="108" t="s">
        <v>209</v>
      </c>
      <c r="D186" s="49"/>
      <c r="E186" s="49"/>
      <c r="F186" s="49"/>
      <c r="G186" s="49"/>
      <c r="P186" s="49"/>
      <c r="Q186" s="49"/>
      <c r="R186" s="49"/>
      <c r="S186" s="49"/>
      <c r="T186" s="49"/>
      <c r="U186" s="49"/>
    </row>
    <row r="187" spans="1:24" ht="14.45" hidden="1" customHeight="1" x14ac:dyDescent="0.25">
      <c r="A187" s="109" t="s">
        <v>210</v>
      </c>
      <c r="D187" s="49"/>
      <c r="E187" s="49"/>
      <c r="F187" s="49"/>
      <c r="G187" s="49"/>
      <c r="P187" s="49"/>
      <c r="Q187" s="49"/>
      <c r="R187" s="49"/>
      <c r="S187" s="49"/>
      <c r="T187" s="49"/>
      <c r="U187" s="49"/>
    </row>
    <row r="188" spans="1:24" ht="14.45" hidden="1" customHeight="1" x14ac:dyDescent="0.25">
      <c r="A188" s="110">
        <v>43373</v>
      </c>
      <c r="D188" s="49"/>
      <c r="E188" s="49"/>
      <c r="F188" s="49"/>
      <c r="G188" s="49"/>
      <c r="P188" s="49"/>
      <c r="Q188" s="49"/>
      <c r="R188" s="49"/>
      <c r="S188" s="49"/>
      <c r="T188" s="49"/>
      <c r="U188" s="49"/>
    </row>
    <row r="189" spans="1:24" s="58" customFormat="1" hidden="1" x14ac:dyDescent="0.25">
      <c r="A189" s="51"/>
      <c r="B189" s="52"/>
      <c r="C189" s="52"/>
      <c r="D189" s="52"/>
      <c r="E189" s="52"/>
      <c r="F189" s="52"/>
      <c r="G189" s="53"/>
      <c r="P189" s="52"/>
      <c r="Q189" s="52"/>
      <c r="R189" s="52"/>
      <c r="S189" s="52"/>
      <c r="T189" s="52"/>
      <c r="U189" s="53"/>
      <c r="V189" s="57"/>
    </row>
    <row r="190" spans="1:24" hidden="1" x14ac:dyDescent="0.25">
      <c r="A190" s="54"/>
      <c r="B190" s="55" t="s">
        <v>211</v>
      </c>
      <c r="C190" s="55" t="s">
        <v>212</v>
      </c>
      <c r="D190" s="55" t="s">
        <v>213</v>
      </c>
      <c r="E190" s="55" t="s">
        <v>214</v>
      </c>
      <c r="F190" s="55" t="s">
        <v>215</v>
      </c>
      <c r="G190" s="56" t="s">
        <v>216</v>
      </c>
      <c r="P190" s="55" t="s">
        <v>211</v>
      </c>
      <c r="Q190" s="55" t="s">
        <v>212</v>
      </c>
      <c r="R190" s="55" t="s">
        <v>213</v>
      </c>
      <c r="S190" s="55" t="s">
        <v>214</v>
      </c>
      <c r="T190" s="55" t="s">
        <v>215</v>
      </c>
      <c r="U190" s="56" t="s">
        <v>216</v>
      </c>
    </row>
    <row r="191" spans="1:24" hidden="1" x14ac:dyDescent="0.25">
      <c r="A191" s="54" t="s">
        <v>62</v>
      </c>
      <c r="B191" s="1"/>
      <c r="C191" s="1"/>
      <c r="D191" s="1"/>
      <c r="E191" s="1"/>
      <c r="F191" s="1"/>
      <c r="G191" s="59">
        <v>0</v>
      </c>
      <c r="P191" s="1"/>
      <c r="Q191" s="1"/>
      <c r="R191" s="1"/>
      <c r="S191" s="1"/>
      <c r="T191" s="1"/>
      <c r="U191" s="59">
        <f>SUM(P191:T191)</f>
        <v>0</v>
      </c>
    </row>
    <row r="192" spans="1:24" hidden="1" x14ac:dyDescent="0.25">
      <c r="A192" s="54" t="s">
        <v>217</v>
      </c>
      <c r="B192" s="1"/>
      <c r="C192" s="1"/>
      <c r="D192" s="1"/>
      <c r="E192" s="1"/>
      <c r="F192" s="1"/>
      <c r="G192" s="59">
        <v>0</v>
      </c>
      <c r="P192" s="1"/>
      <c r="Q192" s="1"/>
      <c r="R192" s="1"/>
      <c r="S192" s="1"/>
      <c r="T192" s="1"/>
      <c r="U192" s="59">
        <f>SUM(P192:T192)</f>
        <v>0</v>
      </c>
    </row>
    <row r="193" spans="1:24" hidden="1" x14ac:dyDescent="0.25">
      <c r="A193" s="54" t="s">
        <v>218</v>
      </c>
      <c r="B193" s="1"/>
      <c r="C193" s="1"/>
      <c r="D193" s="1"/>
      <c r="E193" s="1"/>
      <c r="F193" s="1"/>
      <c r="G193" s="59">
        <v>0</v>
      </c>
      <c r="P193" s="1"/>
      <c r="Q193" s="1"/>
      <c r="R193" s="1"/>
      <c r="S193" s="1"/>
      <c r="T193" s="1"/>
      <c r="U193" s="59">
        <f>SUM(P193:T193)</f>
        <v>0</v>
      </c>
    </row>
    <row r="194" spans="1:24" hidden="1" x14ac:dyDescent="0.25">
      <c r="A194" s="54" t="s">
        <v>219</v>
      </c>
      <c r="B194" s="1"/>
      <c r="C194" s="1"/>
      <c r="D194" s="1"/>
      <c r="E194" s="1"/>
      <c r="F194" s="1"/>
      <c r="G194" s="59">
        <v>0</v>
      </c>
      <c r="P194" s="1"/>
      <c r="Q194" s="1"/>
      <c r="R194" s="1"/>
      <c r="S194" s="1"/>
      <c r="T194" s="1"/>
      <c r="U194" s="59">
        <f>SUM(P194:T194)</f>
        <v>0</v>
      </c>
    </row>
    <row r="195" spans="1:24" hidden="1" x14ac:dyDescent="0.25">
      <c r="A195" s="54" t="s">
        <v>220</v>
      </c>
      <c r="B195" s="10"/>
      <c r="C195" s="10"/>
      <c r="D195" s="67"/>
      <c r="E195" s="67"/>
      <c r="F195" s="67"/>
      <c r="G195" s="59">
        <v>0</v>
      </c>
      <c r="P195" s="10"/>
      <c r="Q195" s="10"/>
      <c r="R195" s="67"/>
      <c r="S195" s="67"/>
      <c r="T195" s="67"/>
      <c r="U195" s="59">
        <f>SUM(P195:T195)</f>
        <v>0</v>
      </c>
    </row>
    <row r="196" spans="1:24" ht="15.75" hidden="1" thickBot="1" x14ac:dyDescent="0.3">
      <c r="A196" s="54" t="s">
        <v>222</v>
      </c>
      <c r="B196" s="74"/>
      <c r="C196" s="74"/>
      <c r="D196" s="74"/>
      <c r="E196" s="74"/>
      <c r="F196" s="74"/>
      <c r="G196" s="75"/>
      <c r="P196" s="74"/>
      <c r="Q196" s="74"/>
      <c r="R196" s="74"/>
      <c r="S196" s="74"/>
      <c r="T196" s="74"/>
      <c r="U196" s="75"/>
    </row>
    <row r="197" spans="1:24" ht="15.75" hidden="1" thickBot="1" x14ac:dyDescent="0.3">
      <c r="A197" s="54"/>
      <c r="B197" s="76">
        <v>0</v>
      </c>
      <c r="C197" s="76">
        <v>0</v>
      </c>
      <c r="D197" s="76">
        <v>0</v>
      </c>
      <c r="E197" s="76">
        <v>0</v>
      </c>
      <c r="F197" s="76">
        <v>0</v>
      </c>
      <c r="G197" s="66">
        <v>0</v>
      </c>
      <c r="P197" s="76">
        <f>+P191-P192-P193-P194-P195</f>
        <v>0</v>
      </c>
      <c r="Q197" s="76">
        <f>+Q191-Q192-Q193-Q194-Q195</f>
        <v>0</v>
      </c>
      <c r="R197" s="76">
        <f>+R191-R192-R193-R194-R195</f>
        <v>0</v>
      </c>
      <c r="S197" s="76">
        <f>+S191-S192-S193-S194-S195</f>
        <v>0</v>
      </c>
      <c r="T197" s="76">
        <f>+T191-T192-T193-T194-T195</f>
        <v>0</v>
      </c>
      <c r="U197" s="66">
        <f>+U191-U192-U193-U194-U195-U196</f>
        <v>0</v>
      </c>
    </row>
    <row r="198" spans="1:24" hidden="1" x14ac:dyDescent="0.25">
      <c r="A198" s="54"/>
      <c r="B198" s="77"/>
      <c r="C198" s="77"/>
      <c r="D198" s="77"/>
      <c r="E198" s="77"/>
      <c r="F198" s="77"/>
      <c r="G198" s="59"/>
      <c r="P198" s="77"/>
      <c r="Q198" s="77"/>
      <c r="R198" s="77"/>
      <c r="S198" s="77"/>
      <c r="T198" s="77"/>
      <c r="U198" s="59"/>
    </row>
    <row r="199" spans="1:24" hidden="1" x14ac:dyDescent="0.25">
      <c r="A199" s="54" t="s">
        <v>223</v>
      </c>
      <c r="B199" s="77"/>
      <c r="C199" s="77"/>
      <c r="D199" s="77"/>
      <c r="E199" s="77"/>
      <c r="F199" s="77"/>
      <c r="G199" s="59">
        <v>0</v>
      </c>
      <c r="P199" s="77"/>
      <c r="Q199" s="77"/>
      <c r="R199" s="77"/>
      <c r="S199" s="77"/>
      <c r="T199" s="77"/>
      <c r="U199" s="59">
        <f t="shared" ref="U199:U205" si="14">SUM(P199:T199)</f>
        <v>0</v>
      </c>
    </row>
    <row r="200" spans="1:24" hidden="1" x14ac:dyDescent="0.25">
      <c r="A200" s="54" t="s">
        <v>224</v>
      </c>
      <c r="B200" s="6"/>
      <c r="C200" s="6"/>
      <c r="D200" s="6"/>
      <c r="E200" s="6"/>
      <c r="F200" s="6"/>
      <c r="G200" s="59">
        <v>0</v>
      </c>
      <c r="P200" s="6"/>
      <c r="Q200" s="6"/>
      <c r="R200" s="6"/>
      <c r="S200" s="6"/>
      <c r="T200" s="6"/>
      <c r="U200" s="59">
        <f t="shared" si="14"/>
        <v>0</v>
      </c>
    </row>
    <row r="201" spans="1:24" hidden="1" x14ac:dyDescent="0.25">
      <c r="A201" s="54" t="s">
        <v>225</v>
      </c>
      <c r="B201" s="18"/>
      <c r="C201" s="6"/>
      <c r="D201" s="6"/>
      <c r="E201" s="6"/>
      <c r="F201" s="6"/>
      <c r="G201" s="59">
        <v>0</v>
      </c>
      <c r="P201" s="18"/>
      <c r="Q201" s="6"/>
      <c r="R201" s="6"/>
      <c r="S201" s="6"/>
      <c r="T201" s="6"/>
      <c r="U201" s="59">
        <f t="shared" si="14"/>
        <v>0</v>
      </c>
    </row>
    <row r="202" spans="1:24" hidden="1" x14ac:dyDescent="0.25">
      <c r="A202" s="54" t="s">
        <v>227</v>
      </c>
      <c r="B202" s="6"/>
      <c r="C202" s="6"/>
      <c r="D202" s="6"/>
      <c r="E202" s="6"/>
      <c r="F202" s="6"/>
      <c r="G202" s="59">
        <v>0</v>
      </c>
      <c r="P202" s="6"/>
      <c r="Q202" s="6"/>
      <c r="R202" s="6"/>
      <c r="S202" s="6"/>
      <c r="T202" s="6"/>
      <c r="U202" s="59">
        <f t="shared" si="14"/>
        <v>0</v>
      </c>
    </row>
    <row r="203" spans="1:24" hidden="1" x14ac:dyDescent="0.25">
      <c r="A203" s="54" t="s">
        <v>226</v>
      </c>
      <c r="B203" s="6"/>
      <c r="C203" s="6"/>
      <c r="D203" s="6"/>
      <c r="E203" s="6"/>
      <c r="F203" s="6"/>
      <c r="G203" s="59">
        <v>0</v>
      </c>
      <c r="P203" s="6"/>
      <c r="Q203" s="6"/>
      <c r="R203" s="6"/>
      <c r="S203" s="6"/>
      <c r="T203" s="6"/>
      <c r="U203" s="59">
        <f t="shared" si="14"/>
        <v>0</v>
      </c>
    </row>
    <row r="204" spans="1:24" hidden="1" x14ac:dyDescent="0.25">
      <c r="A204" s="54" t="s">
        <v>36</v>
      </c>
      <c r="B204" s="6"/>
      <c r="C204" s="6"/>
      <c r="D204" s="6"/>
      <c r="E204" s="6"/>
      <c r="F204" s="6"/>
      <c r="G204" s="59">
        <v>0</v>
      </c>
      <c r="P204" s="6"/>
      <c r="Q204" s="6"/>
      <c r="R204" s="6"/>
      <c r="S204" s="6"/>
      <c r="T204" s="6"/>
      <c r="U204" s="59">
        <f t="shared" si="14"/>
        <v>0</v>
      </c>
    </row>
    <row r="205" spans="1:24" hidden="1" x14ac:dyDescent="0.25">
      <c r="A205" s="54" t="s">
        <v>228</v>
      </c>
      <c r="B205" s="6"/>
      <c r="C205" s="6"/>
      <c r="D205" s="6"/>
      <c r="E205" s="6"/>
      <c r="F205" s="6"/>
      <c r="G205" s="59">
        <v>0</v>
      </c>
      <c r="P205" s="6"/>
      <c r="Q205" s="6"/>
      <c r="R205" s="6"/>
      <c r="S205" s="6"/>
      <c r="T205" s="6"/>
      <c r="U205" s="59">
        <f t="shared" si="14"/>
        <v>0</v>
      </c>
    </row>
    <row r="206" spans="1:24" hidden="1" x14ac:dyDescent="0.25">
      <c r="A206" s="54"/>
      <c r="B206" s="77"/>
      <c r="C206" s="77"/>
      <c r="D206" s="77"/>
      <c r="E206" s="77"/>
      <c r="F206" s="77"/>
      <c r="G206" s="59"/>
      <c r="P206" s="77"/>
      <c r="Q206" s="77"/>
      <c r="R206" s="77"/>
      <c r="S206" s="77"/>
      <c r="T206" s="77"/>
      <c r="U206" s="59"/>
      <c r="V206" s="48">
        <f>SUM(P207:T207)-U196</f>
        <v>0</v>
      </c>
      <c r="W206" s="70">
        <f>U207-V206</f>
        <v>0</v>
      </c>
      <c r="X206" s="48" t="s">
        <v>229</v>
      </c>
    </row>
    <row r="207" spans="1:24" hidden="1" x14ac:dyDescent="0.25">
      <c r="A207" s="54" t="s">
        <v>221</v>
      </c>
      <c r="B207" s="78"/>
      <c r="C207" s="78"/>
      <c r="D207" s="78"/>
      <c r="E207" s="78"/>
      <c r="F207" s="78"/>
      <c r="G207" s="82">
        <v>0</v>
      </c>
      <c r="P207" s="78"/>
      <c r="Q207" s="78"/>
      <c r="R207" s="78"/>
      <c r="S207" s="78"/>
      <c r="T207" s="78"/>
      <c r="U207" s="82">
        <f>+U197-U199-U200-U201-U202-U205-U203-U204</f>
        <v>0</v>
      </c>
      <c r="W207" s="70">
        <f>U207-V207</f>
        <v>0</v>
      </c>
      <c r="X207" s="49" t="s">
        <v>231</v>
      </c>
    </row>
    <row r="208" spans="1:24" ht="15.75" hidden="1" thickBot="1" x14ac:dyDescent="0.3">
      <c r="A208" s="72" t="s">
        <v>230</v>
      </c>
      <c r="B208" s="79"/>
      <c r="C208" s="79"/>
      <c r="D208" s="79"/>
      <c r="E208" s="79"/>
      <c r="F208" s="79"/>
      <c r="G208" s="80"/>
      <c r="P208" s="79"/>
      <c r="Q208" s="79"/>
      <c r="R208" s="79"/>
      <c r="S208" s="79"/>
      <c r="T208" s="79"/>
      <c r="U208" s="80"/>
    </row>
    <row r="209" spans="1:24" ht="14.45" hidden="1" customHeight="1" x14ac:dyDescent="0.25">
      <c r="A209" s="111" t="s">
        <v>209</v>
      </c>
      <c r="D209" s="49"/>
      <c r="E209" s="49"/>
      <c r="F209" s="49"/>
      <c r="G209" s="49"/>
      <c r="P209" s="49"/>
      <c r="Q209" s="49"/>
      <c r="R209" s="49"/>
      <c r="S209" s="49"/>
      <c r="T209" s="49"/>
      <c r="U209" s="49"/>
    </row>
    <row r="210" spans="1:24" ht="14.45" hidden="1" customHeight="1" x14ac:dyDescent="0.25">
      <c r="A210" s="112" t="s">
        <v>210</v>
      </c>
      <c r="D210" s="49"/>
      <c r="E210" s="49"/>
      <c r="F210" s="49"/>
      <c r="G210" s="49"/>
      <c r="P210" s="49"/>
      <c r="Q210" s="49"/>
      <c r="R210" s="49"/>
      <c r="S210" s="49"/>
      <c r="T210" s="49"/>
      <c r="U210" s="49"/>
    </row>
    <row r="211" spans="1:24" ht="14.45" hidden="1" customHeight="1" x14ac:dyDescent="0.25">
      <c r="A211" s="113">
        <v>43404</v>
      </c>
      <c r="D211" s="49"/>
      <c r="E211" s="49"/>
      <c r="F211" s="49"/>
      <c r="G211" s="49"/>
      <c r="P211" s="49"/>
      <c r="Q211" s="49"/>
      <c r="R211" s="49"/>
      <c r="S211" s="49"/>
      <c r="T211" s="49"/>
      <c r="U211" s="49"/>
    </row>
    <row r="212" spans="1:24" s="58" customFormat="1" hidden="1" x14ac:dyDescent="0.25">
      <c r="A212" s="84"/>
      <c r="B212" s="85"/>
      <c r="C212" s="85"/>
      <c r="D212" s="85"/>
      <c r="E212" s="85"/>
      <c r="F212" s="85"/>
      <c r="G212" s="86"/>
      <c r="P212" s="85"/>
      <c r="Q212" s="85"/>
      <c r="R212" s="85"/>
      <c r="S212" s="85"/>
      <c r="T212" s="85"/>
      <c r="U212" s="86"/>
      <c r="V212" s="57"/>
    </row>
    <row r="213" spans="1:24" hidden="1" x14ac:dyDescent="0.25">
      <c r="A213" s="87"/>
      <c r="B213" s="88" t="s">
        <v>211</v>
      </c>
      <c r="C213" s="88" t="s">
        <v>212</v>
      </c>
      <c r="D213" s="88" t="s">
        <v>213</v>
      </c>
      <c r="E213" s="88" t="s">
        <v>214</v>
      </c>
      <c r="F213" s="88" t="s">
        <v>215</v>
      </c>
      <c r="G213" s="89" t="s">
        <v>216</v>
      </c>
      <c r="P213" s="88" t="s">
        <v>211</v>
      </c>
      <c r="Q213" s="88" t="s">
        <v>212</v>
      </c>
      <c r="R213" s="88" t="s">
        <v>213</v>
      </c>
      <c r="S213" s="88" t="s">
        <v>214</v>
      </c>
      <c r="T213" s="88" t="s">
        <v>215</v>
      </c>
      <c r="U213" s="89" t="s">
        <v>216</v>
      </c>
    </row>
    <row r="214" spans="1:24" hidden="1" x14ac:dyDescent="0.25">
      <c r="A214" s="87" t="s">
        <v>62</v>
      </c>
      <c r="B214" s="1"/>
      <c r="C214" s="1"/>
      <c r="D214" s="1"/>
      <c r="E214" s="1"/>
      <c r="F214" s="1"/>
      <c r="G214" s="73">
        <v>0</v>
      </c>
      <c r="P214" s="1"/>
      <c r="Q214" s="1"/>
      <c r="R214" s="1"/>
      <c r="S214" s="1"/>
      <c r="T214" s="1"/>
      <c r="U214" s="73">
        <f t="shared" ref="U214:U217" si="15">SUM(P214:T214)</f>
        <v>0</v>
      </c>
    </row>
    <row r="215" spans="1:24" hidden="1" x14ac:dyDescent="0.25">
      <c r="A215" s="87" t="s">
        <v>217</v>
      </c>
      <c r="B215" s="1"/>
      <c r="C215" s="1"/>
      <c r="D215" s="1"/>
      <c r="E215" s="1"/>
      <c r="F215" s="1"/>
      <c r="G215" s="73">
        <v>0</v>
      </c>
      <c r="P215" s="1"/>
      <c r="Q215" s="1"/>
      <c r="R215" s="1"/>
      <c r="S215" s="1"/>
      <c r="T215" s="1"/>
      <c r="U215" s="73">
        <f t="shared" si="15"/>
        <v>0</v>
      </c>
    </row>
    <row r="216" spans="1:24" hidden="1" x14ac:dyDescent="0.25">
      <c r="A216" s="87" t="s">
        <v>218</v>
      </c>
      <c r="B216" s="1"/>
      <c r="C216" s="1"/>
      <c r="D216" s="1"/>
      <c r="E216" s="1"/>
      <c r="F216" s="1"/>
      <c r="G216" s="73">
        <v>0</v>
      </c>
      <c r="P216" s="1"/>
      <c r="Q216" s="1"/>
      <c r="R216" s="1"/>
      <c r="S216" s="1"/>
      <c r="T216" s="1"/>
      <c r="U216" s="73">
        <f t="shared" si="15"/>
        <v>0</v>
      </c>
    </row>
    <row r="217" spans="1:24" hidden="1" x14ac:dyDescent="0.25">
      <c r="A217" s="87" t="s">
        <v>219</v>
      </c>
      <c r="B217" s="1"/>
      <c r="C217" s="1"/>
      <c r="D217" s="1"/>
      <c r="E217" s="1"/>
      <c r="F217" s="1"/>
      <c r="G217" s="73">
        <v>0</v>
      </c>
      <c r="P217" s="1"/>
      <c r="Q217" s="1"/>
      <c r="R217" s="1"/>
      <c r="S217" s="1"/>
      <c r="T217" s="1"/>
      <c r="U217" s="73">
        <f t="shared" si="15"/>
        <v>0</v>
      </c>
    </row>
    <row r="218" spans="1:24" hidden="1" x14ac:dyDescent="0.25">
      <c r="A218" s="87" t="s">
        <v>220</v>
      </c>
      <c r="B218" s="10"/>
      <c r="C218" s="10"/>
      <c r="D218" s="18"/>
      <c r="E218" s="18"/>
      <c r="F218" s="18"/>
      <c r="G218" s="90">
        <v>0</v>
      </c>
      <c r="P218" s="10"/>
      <c r="Q218" s="10"/>
      <c r="R218" s="18"/>
      <c r="S218" s="18"/>
      <c r="T218" s="18"/>
      <c r="U218" s="90">
        <f>SUM(P218:T218)</f>
        <v>0</v>
      </c>
    </row>
    <row r="219" spans="1:24" hidden="1" x14ac:dyDescent="0.25">
      <c r="A219" s="87" t="s">
        <v>220</v>
      </c>
      <c r="B219" s="10"/>
      <c r="C219" s="10"/>
      <c r="D219" s="18"/>
      <c r="E219" s="18"/>
      <c r="F219" s="18"/>
      <c r="G219" s="73">
        <v>0</v>
      </c>
      <c r="P219" s="10"/>
      <c r="Q219" s="10"/>
      <c r="R219" s="18"/>
      <c r="S219" s="18"/>
      <c r="T219" s="18"/>
      <c r="U219" s="73">
        <f t="shared" ref="U219" si="16">SUM(P219:T219)</f>
        <v>0</v>
      </c>
      <c r="X219" s="61"/>
    </row>
    <row r="220" spans="1:24" ht="15.75" hidden="1" thickBot="1" x14ac:dyDescent="0.3">
      <c r="A220" s="87" t="s">
        <v>222</v>
      </c>
      <c r="B220" s="6"/>
      <c r="C220" s="6"/>
      <c r="D220" s="6"/>
      <c r="E220" s="6"/>
      <c r="F220" s="6"/>
      <c r="G220" s="91"/>
      <c r="P220" s="6"/>
      <c r="Q220" s="6"/>
      <c r="R220" s="6"/>
      <c r="S220" s="6"/>
      <c r="T220" s="6"/>
      <c r="U220" s="91"/>
      <c r="X220" s="61"/>
    </row>
    <row r="221" spans="1:24" ht="15.75" hidden="1" thickBot="1" x14ac:dyDescent="0.3">
      <c r="A221" s="87"/>
      <c r="B221" s="33">
        <v>0</v>
      </c>
      <c r="C221" s="33">
        <v>0</v>
      </c>
      <c r="D221" s="33">
        <v>0</v>
      </c>
      <c r="E221" s="33">
        <v>0</v>
      </c>
      <c r="F221" s="33">
        <v>0</v>
      </c>
      <c r="G221" s="34">
        <v>0</v>
      </c>
      <c r="P221" s="33">
        <f>+P214-P215-P216-P217-P218</f>
        <v>0</v>
      </c>
      <c r="Q221" s="33">
        <f>+Q214-Q215-Q216-Q217-Q218</f>
        <v>0</v>
      </c>
      <c r="R221" s="33">
        <f>+R214-R215-R216-R217-R218</f>
        <v>0</v>
      </c>
      <c r="S221" s="33">
        <f>+S214-S215-S216-S217-S218</f>
        <v>0</v>
      </c>
      <c r="T221" s="33">
        <f>+T214-T215-T216-T217-T218</f>
        <v>0</v>
      </c>
      <c r="U221" s="34">
        <f>+U214-U215-U216-U217-U218-U220</f>
        <v>0</v>
      </c>
      <c r="X221" s="61"/>
    </row>
    <row r="222" spans="1:24" hidden="1" x14ac:dyDescent="0.25">
      <c r="A222" s="87"/>
      <c r="B222" s="6"/>
      <c r="C222" s="6"/>
      <c r="D222" s="6"/>
      <c r="E222" s="6"/>
      <c r="F222" s="6"/>
      <c r="G222" s="73"/>
      <c r="P222" s="6"/>
      <c r="Q222" s="6"/>
      <c r="R222" s="6"/>
      <c r="S222" s="6"/>
      <c r="T222" s="6"/>
      <c r="U222" s="73"/>
    </row>
    <row r="223" spans="1:24" hidden="1" x14ac:dyDescent="0.25">
      <c r="A223" s="87" t="s">
        <v>223</v>
      </c>
      <c r="B223" s="6"/>
      <c r="C223" s="6"/>
      <c r="D223" s="6"/>
      <c r="E223" s="6"/>
      <c r="F223" s="6"/>
      <c r="G223" s="73">
        <v>0</v>
      </c>
      <c r="P223" s="6"/>
      <c r="Q223" s="6"/>
      <c r="R223" s="6"/>
      <c r="S223" s="6"/>
      <c r="T223" s="6"/>
      <c r="U223" s="73">
        <f t="shared" ref="U223:U230" si="17">SUM(P223:T223)</f>
        <v>0</v>
      </c>
    </row>
    <row r="224" spans="1:24" hidden="1" x14ac:dyDescent="0.25">
      <c r="A224" s="87" t="s">
        <v>224</v>
      </c>
      <c r="B224" s="92"/>
      <c r="C224" s="6"/>
      <c r="D224" s="6"/>
      <c r="E224" s="6"/>
      <c r="F224" s="6"/>
      <c r="G224" s="73">
        <v>0</v>
      </c>
      <c r="P224" s="92"/>
      <c r="Q224" s="6"/>
      <c r="R224" s="6"/>
      <c r="S224" s="6"/>
      <c r="T224" s="6"/>
      <c r="U224" s="73">
        <f t="shared" si="17"/>
        <v>0</v>
      </c>
    </row>
    <row r="225" spans="1:24" hidden="1" x14ac:dyDescent="0.25">
      <c r="A225" s="87" t="s">
        <v>225</v>
      </c>
      <c r="B225" s="6"/>
      <c r="C225" s="6"/>
      <c r="D225" s="6"/>
      <c r="E225" s="6"/>
      <c r="F225" s="6"/>
      <c r="G225" s="73">
        <v>0</v>
      </c>
      <c r="P225" s="6"/>
      <c r="Q225" s="6"/>
      <c r="R225" s="6"/>
      <c r="S225" s="6"/>
      <c r="T225" s="6"/>
      <c r="U225" s="73">
        <f t="shared" si="17"/>
        <v>0</v>
      </c>
    </row>
    <row r="226" spans="1:24" hidden="1" x14ac:dyDescent="0.25">
      <c r="A226" s="87" t="s">
        <v>226</v>
      </c>
      <c r="B226" s="6"/>
      <c r="C226" s="6"/>
      <c r="D226" s="6"/>
      <c r="E226" s="6"/>
      <c r="F226" s="6"/>
      <c r="G226" s="73">
        <v>0</v>
      </c>
      <c r="P226" s="6"/>
      <c r="Q226" s="6"/>
      <c r="R226" s="6"/>
      <c r="S226" s="6"/>
      <c r="T226" s="6"/>
      <c r="U226" s="73">
        <f t="shared" si="17"/>
        <v>0</v>
      </c>
    </row>
    <row r="227" spans="1:24" hidden="1" x14ac:dyDescent="0.25">
      <c r="A227" s="87" t="s">
        <v>227</v>
      </c>
      <c r="B227" s="6"/>
      <c r="C227" s="6"/>
      <c r="D227" s="6"/>
      <c r="E227" s="6"/>
      <c r="F227" s="6"/>
      <c r="G227" s="73">
        <v>0</v>
      </c>
      <c r="P227" s="6"/>
      <c r="Q227" s="6"/>
      <c r="R227" s="6"/>
      <c r="S227" s="6"/>
      <c r="T227" s="6"/>
      <c r="U227" s="73">
        <f t="shared" si="17"/>
        <v>0</v>
      </c>
    </row>
    <row r="228" spans="1:24" hidden="1" x14ac:dyDescent="0.25">
      <c r="A228" s="87" t="s">
        <v>36</v>
      </c>
      <c r="B228" s="6"/>
      <c r="C228" s="6"/>
      <c r="D228" s="6"/>
      <c r="E228" s="6"/>
      <c r="F228" s="6"/>
      <c r="G228" s="73">
        <v>0</v>
      </c>
      <c r="P228" s="6"/>
      <c r="Q228" s="6"/>
      <c r="R228" s="6"/>
      <c r="S228" s="6"/>
      <c r="T228" s="6"/>
      <c r="U228" s="73">
        <f t="shared" si="17"/>
        <v>0</v>
      </c>
    </row>
    <row r="229" spans="1:24" hidden="1" x14ac:dyDescent="0.25">
      <c r="A229" s="87" t="s">
        <v>234</v>
      </c>
      <c r="B229" s="6"/>
      <c r="C229" s="6"/>
      <c r="D229" s="6"/>
      <c r="E229" s="6"/>
      <c r="F229" s="6"/>
      <c r="G229" s="73">
        <v>0</v>
      </c>
      <c r="P229" s="6"/>
      <c r="Q229" s="6"/>
      <c r="R229" s="6"/>
      <c r="S229" s="6"/>
      <c r="T229" s="6"/>
      <c r="U229" s="73">
        <f t="shared" si="17"/>
        <v>0</v>
      </c>
    </row>
    <row r="230" spans="1:24" hidden="1" x14ac:dyDescent="0.25">
      <c r="A230" s="87" t="s">
        <v>235</v>
      </c>
      <c r="B230" s="6"/>
      <c r="C230" s="6"/>
      <c r="D230" s="6"/>
      <c r="E230" s="6"/>
      <c r="F230" s="6"/>
      <c r="G230" s="73">
        <v>0</v>
      </c>
      <c r="P230" s="6"/>
      <c r="Q230" s="6"/>
      <c r="R230" s="6"/>
      <c r="S230" s="6"/>
      <c r="T230" s="6"/>
      <c r="U230" s="73">
        <f t="shared" si="17"/>
        <v>0</v>
      </c>
      <c r="W230" s="70"/>
      <c r="X230" s="48"/>
    </row>
    <row r="231" spans="1:24" hidden="1" x14ac:dyDescent="0.25">
      <c r="A231" s="87" t="s">
        <v>236</v>
      </c>
      <c r="B231" s="6"/>
      <c r="C231" s="6"/>
      <c r="D231" s="6"/>
      <c r="E231" s="6"/>
      <c r="F231" s="6"/>
      <c r="G231" s="73">
        <v>0</v>
      </c>
      <c r="P231" s="6"/>
      <c r="Q231" s="6"/>
      <c r="R231" s="6"/>
      <c r="S231" s="6"/>
      <c r="T231" s="6"/>
      <c r="U231" s="73">
        <f>SUM(P231:T231)</f>
        <v>0</v>
      </c>
      <c r="V231" s="48">
        <f>SUM(P232:T232)-U220</f>
        <v>0</v>
      </c>
      <c r="W231" s="70">
        <f>U232-V231</f>
        <v>0</v>
      </c>
      <c r="X231" s="48" t="s">
        <v>229</v>
      </c>
    </row>
    <row r="232" spans="1:24" hidden="1" x14ac:dyDescent="0.25">
      <c r="A232" s="87" t="s">
        <v>221</v>
      </c>
      <c r="B232" s="93"/>
      <c r="C232" s="93"/>
      <c r="D232" s="93"/>
      <c r="E232" s="93"/>
      <c r="F232" s="93"/>
      <c r="G232" s="94">
        <v>0</v>
      </c>
      <c r="P232" s="93"/>
      <c r="Q232" s="93"/>
      <c r="R232" s="93"/>
      <c r="S232" s="93"/>
      <c r="T232" s="93"/>
      <c r="U232" s="94">
        <f>+U221-U223-U224-U225-U226-U229-U227-U228-U230-U231</f>
        <v>0</v>
      </c>
      <c r="W232" s="70">
        <f>U232-V232</f>
        <v>0</v>
      </c>
      <c r="X232" s="49" t="s">
        <v>231</v>
      </c>
    </row>
    <row r="233" spans="1:24" ht="15.75" hidden="1" thickBot="1" x14ac:dyDescent="0.3">
      <c r="A233" s="35" t="s">
        <v>230</v>
      </c>
      <c r="B233" s="36"/>
      <c r="C233" s="36"/>
      <c r="D233" s="36"/>
      <c r="E233" s="36"/>
      <c r="F233" s="36"/>
      <c r="G233" s="34"/>
      <c r="P233" s="36"/>
      <c r="Q233" s="36"/>
      <c r="R233" s="36"/>
      <c r="S233" s="36"/>
      <c r="T233" s="36"/>
      <c r="U233" s="34"/>
    </row>
    <row r="234" spans="1:24" ht="14.45" hidden="1" customHeight="1" x14ac:dyDescent="0.25">
      <c r="A234" s="108" t="s">
        <v>209</v>
      </c>
      <c r="D234" s="49"/>
      <c r="E234" s="49"/>
      <c r="F234" s="49"/>
      <c r="G234" s="49"/>
      <c r="P234" s="49"/>
      <c r="Q234" s="49"/>
      <c r="R234" s="49"/>
      <c r="S234" s="49"/>
      <c r="T234" s="49"/>
      <c r="U234" s="49"/>
    </row>
    <row r="235" spans="1:24" ht="14.45" hidden="1" customHeight="1" x14ac:dyDescent="0.25">
      <c r="A235" s="109" t="s">
        <v>210</v>
      </c>
      <c r="D235" s="49"/>
      <c r="E235" s="49"/>
      <c r="F235" s="49"/>
      <c r="G235" s="49"/>
      <c r="P235" s="49"/>
      <c r="Q235" s="49"/>
      <c r="R235" s="49"/>
      <c r="S235" s="49"/>
      <c r="T235" s="49"/>
      <c r="U235" s="49"/>
    </row>
    <row r="236" spans="1:24" ht="14.45" hidden="1" customHeight="1" x14ac:dyDescent="0.25">
      <c r="A236" s="110">
        <v>43434</v>
      </c>
      <c r="D236" s="49"/>
      <c r="E236" s="49"/>
      <c r="F236" s="49"/>
      <c r="G236" s="49"/>
      <c r="P236" s="49"/>
      <c r="Q236" s="49"/>
      <c r="R236" s="49"/>
      <c r="S236" s="49"/>
      <c r="T236" s="49"/>
      <c r="U236" s="49"/>
    </row>
    <row r="237" spans="1:24" s="58" customFormat="1" hidden="1" x14ac:dyDescent="0.25">
      <c r="A237" s="51"/>
      <c r="B237" s="52"/>
      <c r="C237" s="52"/>
      <c r="D237" s="52"/>
      <c r="E237" s="52"/>
      <c r="F237" s="52"/>
      <c r="G237" s="53"/>
      <c r="P237" s="52"/>
      <c r="Q237" s="52"/>
      <c r="R237" s="52"/>
      <c r="S237" s="52"/>
      <c r="T237" s="52"/>
      <c r="U237" s="53"/>
      <c r="V237" s="57"/>
    </row>
    <row r="238" spans="1:24" hidden="1" x14ac:dyDescent="0.25">
      <c r="A238" s="54"/>
      <c r="B238" s="55" t="s">
        <v>211</v>
      </c>
      <c r="C238" s="55" t="s">
        <v>212</v>
      </c>
      <c r="D238" s="55" t="s">
        <v>213</v>
      </c>
      <c r="E238" s="55" t="s">
        <v>214</v>
      </c>
      <c r="F238" s="55" t="s">
        <v>215</v>
      </c>
      <c r="G238" s="56" t="s">
        <v>216</v>
      </c>
      <c r="P238" s="55" t="s">
        <v>211</v>
      </c>
      <c r="Q238" s="55" t="s">
        <v>212</v>
      </c>
      <c r="R238" s="55" t="s">
        <v>213</v>
      </c>
      <c r="S238" s="55" t="s">
        <v>214</v>
      </c>
      <c r="T238" s="55" t="s">
        <v>215</v>
      </c>
      <c r="U238" s="56" t="s">
        <v>216</v>
      </c>
    </row>
    <row r="239" spans="1:24" hidden="1" x14ac:dyDescent="0.25">
      <c r="A239" s="54" t="s">
        <v>62</v>
      </c>
      <c r="B239" s="1"/>
      <c r="C239" s="1"/>
      <c r="D239" s="1"/>
      <c r="E239" s="1"/>
      <c r="F239" s="1"/>
      <c r="G239" s="59">
        <v>0</v>
      </c>
      <c r="P239" s="1"/>
      <c r="Q239" s="1"/>
      <c r="R239" s="1"/>
      <c r="S239" s="1"/>
      <c r="T239" s="1"/>
      <c r="U239" s="59">
        <f>SUM(P239:T239)</f>
        <v>0</v>
      </c>
      <c r="V239" s="95"/>
    </row>
    <row r="240" spans="1:24" hidden="1" x14ac:dyDescent="0.25">
      <c r="A240" s="54" t="s">
        <v>217</v>
      </c>
      <c r="B240" s="1"/>
      <c r="C240" s="1"/>
      <c r="D240" s="1"/>
      <c r="E240" s="1"/>
      <c r="F240" s="1"/>
      <c r="G240" s="59">
        <v>0</v>
      </c>
      <c r="P240" s="1"/>
      <c r="Q240" s="1"/>
      <c r="R240" s="1"/>
      <c r="S240" s="1"/>
      <c r="T240" s="1"/>
      <c r="U240" s="59">
        <f>SUM(P240:T240)</f>
        <v>0</v>
      </c>
      <c r="V240" s="95"/>
    </row>
    <row r="241" spans="1:24" hidden="1" x14ac:dyDescent="0.25">
      <c r="A241" s="54" t="s">
        <v>218</v>
      </c>
      <c r="B241" s="1"/>
      <c r="C241" s="1"/>
      <c r="D241" s="1"/>
      <c r="E241" s="1"/>
      <c r="F241" s="1"/>
      <c r="G241" s="59">
        <v>0</v>
      </c>
      <c r="P241" s="1"/>
      <c r="Q241" s="1"/>
      <c r="R241" s="1"/>
      <c r="S241" s="1"/>
      <c r="T241" s="1"/>
      <c r="U241" s="59">
        <f>SUM(P241:T241)</f>
        <v>0</v>
      </c>
      <c r="V241" s="95"/>
    </row>
    <row r="242" spans="1:24" hidden="1" x14ac:dyDescent="0.25">
      <c r="A242" s="54" t="s">
        <v>219</v>
      </c>
      <c r="B242" s="1"/>
      <c r="C242" s="1"/>
      <c r="D242" s="1"/>
      <c r="E242" s="1"/>
      <c r="F242" s="1"/>
      <c r="G242" s="59">
        <v>0</v>
      </c>
      <c r="P242" s="1"/>
      <c r="Q242" s="1"/>
      <c r="R242" s="1"/>
      <c r="S242" s="1"/>
      <c r="T242" s="1"/>
      <c r="U242" s="59">
        <f>SUM(P242:T242)</f>
        <v>0</v>
      </c>
      <c r="V242" s="95"/>
    </row>
    <row r="243" spans="1:24" hidden="1" x14ac:dyDescent="0.25">
      <c r="A243" s="54" t="s">
        <v>220</v>
      </c>
      <c r="B243" s="10"/>
      <c r="C243" s="1"/>
      <c r="D243" s="67"/>
      <c r="E243" s="67"/>
      <c r="F243" s="67"/>
      <c r="G243" s="68">
        <v>0</v>
      </c>
      <c r="P243" s="10"/>
      <c r="Q243" s="1"/>
      <c r="R243" s="67"/>
      <c r="S243" s="67"/>
      <c r="T243" s="67"/>
      <c r="U243" s="68">
        <f>SUM(P243:T243)</f>
        <v>0</v>
      </c>
      <c r="V243" s="95"/>
      <c r="W243" s="96"/>
      <c r="X243" s="70"/>
    </row>
    <row r="244" spans="1:24" ht="15.75" hidden="1" thickBot="1" x14ac:dyDescent="0.3">
      <c r="A244" s="54" t="s">
        <v>222</v>
      </c>
      <c r="B244" s="74"/>
      <c r="C244" s="74"/>
      <c r="D244" s="74"/>
      <c r="E244" s="74"/>
      <c r="F244" s="74"/>
      <c r="G244" s="97"/>
      <c r="P244" s="74"/>
      <c r="Q244" s="74"/>
      <c r="R244" s="74"/>
      <c r="S244" s="74"/>
      <c r="T244" s="74"/>
      <c r="U244" s="97"/>
      <c r="V244" s="95"/>
      <c r="W244" s="96"/>
    </row>
    <row r="245" spans="1:24" ht="15.75" hidden="1" thickBot="1" x14ac:dyDescent="0.3">
      <c r="A245" s="54"/>
      <c r="B245" s="76">
        <v>0</v>
      </c>
      <c r="C245" s="76">
        <v>0</v>
      </c>
      <c r="D245" s="76">
        <v>0</v>
      </c>
      <c r="E245" s="76">
        <v>0</v>
      </c>
      <c r="F245" s="76">
        <v>0</v>
      </c>
      <c r="G245" s="66">
        <v>0</v>
      </c>
      <c r="P245" s="76">
        <f>+P239-P240-P241-P242-P243</f>
        <v>0</v>
      </c>
      <c r="Q245" s="76">
        <f>+Q239-Q240-Q241-Q242-Q243</f>
        <v>0</v>
      </c>
      <c r="R245" s="76">
        <f>+R239-R240-R241-R242-R243</f>
        <v>0</v>
      </c>
      <c r="S245" s="76">
        <f>+S239-S240-S241-S242-S243</f>
        <v>0</v>
      </c>
      <c r="T245" s="76">
        <f>+T239-T240-T241-T242-T243</f>
        <v>0</v>
      </c>
      <c r="U245" s="66">
        <f>+U239-U240-U241-U242-U243-U244</f>
        <v>0</v>
      </c>
      <c r="W245" s="61"/>
    </row>
    <row r="246" spans="1:24" hidden="1" x14ac:dyDescent="0.25">
      <c r="A246" s="54"/>
      <c r="B246" s="77"/>
      <c r="C246" s="77"/>
      <c r="D246" s="77"/>
      <c r="E246" s="77"/>
      <c r="F246" s="77"/>
      <c r="G246" s="59"/>
      <c r="P246" s="77"/>
      <c r="Q246" s="77"/>
      <c r="R246" s="77"/>
      <c r="S246" s="77"/>
      <c r="T246" s="77"/>
      <c r="U246" s="59"/>
      <c r="X246" s="70"/>
    </row>
    <row r="247" spans="1:24" hidden="1" x14ac:dyDescent="0.25">
      <c r="A247" s="54" t="s">
        <v>223</v>
      </c>
      <c r="B247" s="1"/>
      <c r="C247" s="1"/>
      <c r="D247" s="1"/>
      <c r="E247" s="1"/>
      <c r="F247" s="1"/>
      <c r="G247" s="59">
        <v>0</v>
      </c>
      <c r="P247" s="1"/>
      <c r="Q247" s="1"/>
      <c r="R247" s="1"/>
      <c r="S247" s="1"/>
      <c r="T247" s="1"/>
      <c r="U247" s="59">
        <f t="shared" ref="U247:U254" si="18">SUM(P247:T247)</f>
        <v>0</v>
      </c>
      <c r="V247" s="95"/>
    </row>
    <row r="248" spans="1:24" hidden="1" x14ac:dyDescent="0.25">
      <c r="A248" s="54" t="s">
        <v>224</v>
      </c>
      <c r="B248" s="6"/>
      <c r="C248" s="6"/>
      <c r="D248" s="6"/>
      <c r="E248" s="6"/>
      <c r="F248" s="6"/>
      <c r="G248" s="59">
        <v>0</v>
      </c>
      <c r="P248" s="6"/>
      <c r="Q248" s="6"/>
      <c r="R248" s="6"/>
      <c r="S248" s="6"/>
      <c r="T248" s="6"/>
      <c r="U248" s="59">
        <f t="shared" si="18"/>
        <v>0</v>
      </c>
      <c r="V248" s="95"/>
    </row>
    <row r="249" spans="1:24" hidden="1" x14ac:dyDescent="0.25">
      <c r="A249" s="54" t="s">
        <v>225</v>
      </c>
      <c r="B249" s="6"/>
      <c r="C249" s="6"/>
      <c r="D249" s="6"/>
      <c r="E249" s="6"/>
      <c r="F249" s="6"/>
      <c r="G249" s="59">
        <v>0</v>
      </c>
      <c r="P249" s="6"/>
      <c r="Q249" s="6"/>
      <c r="R249" s="6"/>
      <c r="S249" s="6"/>
      <c r="T249" s="6"/>
      <c r="U249" s="59">
        <f t="shared" si="18"/>
        <v>0</v>
      </c>
      <c r="V249" s="95"/>
    </row>
    <row r="250" spans="1:24" hidden="1" x14ac:dyDescent="0.25">
      <c r="A250" s="54" t="s">
        <v>226</v>
      </c>
      <c r="B250" s="6"/>
      <c r="C250" s="6"/>
      <c r="D250" s="6"/>
      <c r="E250" s="6"/>
      <c r="F250" s="6"/>
      <c r="G250" s="59">
        <v>0</v>
      </c>
      <c r="P250" s="6"/>
      <c r="Q250" s="6"/>
      <c r="R250" s="6"/>
      <c r="S250" s="6"/>
      <c r="T250" s="6"/>
      <c r="U250" s="59">
        <f t="shared" si="18"/>
        <v>0</v>
      </c>
    </row>
    <row r="251" spans="1:24" hidden="1" x14ac:dyDescent="0.25">
      <c r="A251" s="54" t="s">
        <v>227</v>
      </c>
      <c r="B251" s="6"/>
      <c r="C251" s="6"/>
      <c r="D251" s="6"/>
      <c r="E251" s="6"/>
      <c r="F251" s="6"/>
      <c r="G251" s="59">
        <v>0</v>
      </c>
      <c r="P251" s="6"/>
      <c r="Q251" s="6"/>
      <c r="R251" s="6"/>
      <c r="S251" s="6"/>
      <c r="T251" s="6"/>
      <c r="U251" s="59">
        <f t="shared" si="18"/>
        <v>0</v>
      </c>
    </row>
    <row r="252" spans="1:24" hidden="1" x14ac:dyDescent="0.25">
      <c r="A252" s="54" t="s">
        <v>36</v>
      </c>
      <c r="B252" s="6"/>
      <c r="C252" s="6"/>
      <c r="D252" s="6"/>
      <c r="E252" s="6"/>
      <c r="F252" s="6"/>
      <c r="G252" s="59">
        <v>0</v>
      </c>
      <c r="P252" s="6"/>
      <c r="Q252" s="6"/>
      <c r="R252" s="6"/>
      <c r="S252" s="6"/>
      <c r="T252" s="6"/>
      <c r="U252" s="59">
        <f t="shared" si="18"/>
        <v>0</v>
      </c>
    </row>
    <row r="253" spans="1:24" hidden="1" x14ac:dyDescent="0.25">
      <c r="A253" s="54" t="s">
        <v>228</v>
      </c>
      <c r="B253" s="6"/>
      <c r="C253" s="6"/>
      <c r="D253" s="6"/>
      <c r="E253" s="6"/>
      <c r="F253" s="6"/>
      <c r="G253" s="59">
        <v>0</v>
      </c>
      <c r="P253" s="6"/>
      <c r="Q253" s="6"/>
      <c r="R253" s="6"/>
      <c r="S253" s="6"/>
      <c r="T253" s="6"/>
      <c r="U253" s="59">
        <f t="shared" si="18"/>
        <v>0</v>
      </c>
    </row>
    <row r="254" spans="1:24" hidden="1" x14ac:dyDescent="0.25">
      <c r="A254" s="87" t="s">
        <v>236</v>
      </c>
      <c r="B254" s="77"/>
      <c r="C254" s="77"/>
      <c r="D254" s="77"/>
      <c r="E254" s="77"/>
      <c r="F254" s="77"/>
      <c r="G254" s="59">
        <v>0</v>
      </c>
      <c r="P254" s="77"/>
      <c r="Q254" s="77"/>
      <c r="R254" s="77"/>
      <c r="S254" s="77"/>
      <c r="T254" s="77"/>
      <c r="U254" s="59">
        <f t="shared" si="18"/>
        <v>0</v>
      </c>
      <c r="V254" s="48">
        <f>SUM(P255:T255)-U244</f>
        <v>0</v>
      </c>
      <c r="W254" s="70">
        <f>U255-V254</f>
        <v>0</v>
      </c>
      <c r="X254" s="48" t="s">
        <v>229</v>
      </c>
    </row>
    <row r="255" spans="1:24" hidden="1" x14ac:dyDescent="0.25">
      <c r="A255" s="54" t="s">
        <v>221</v>
      </c>
      <c r="B255" s="77"/>
      <c r="C255" s="77"/>
      <c r="D255" s="77"/>
      <c r="E255" s="77"/>
      <c r="F255" s="77"/>
      <c r="G255" s="94">
        <v>0</v>
      </c>
      <c r="P255" s="77"/>
      <c r="Q255" s="77"/>
      <c r="R255" s="77"/>
      <c r="S255" s="77"/>
      <c r="T255" s="77"/>
      <c r="U255" s="94">
        <f>U245-U247-U248-U249-U250-U251-U252</f>
        <v>0</v>
      </c>
      <c r="W255" s="70">
        <f>U255-V255</f>
        <v>0</v>
      </c>
      <c r="X255" s="49" t="s">
        <v>231</v>
      </c>
    </row>
    <row r="256" spans="1:24" ht="15.75" hidden="1" thickBot="1" x14ac:dyDescent="0.3">
      <c r="A256" s="72" t="s">
        <v>230</v>
      </c>
      <c r="B256" s="79"/>
      <c r="C256" s="79"/>
      <c r="D256" s="79"/>
      <c r="E256" s="79"/>
      <c r="F256" s="79"/>
      <c r="G256" s="80"/>
      <c r="P256" s="79"/>
      <c r="Q256" s="79"/>
      <c r="R256" s="79"/>
      <c r="S256" s="79"/>
      <c r="T256" s="79"/>
      <c r="U256" s="80"/>
    </row>
    <row r="257" spans="1:23" ht="14.45" hidden="1" customHeight="1" x14ac:dyDescent="0.25">
      <c r="A257" s="108" t="s">
        <v>209</v>
      </c>
      <c r="D257" s="49"/>
      <c r="E257" s="49"/>
      <c r="F257" s="49"/>
      <c r="G257" s="49"/>
      <c r="P257" s="49"/>
      <c r="Q257" s="49"/>
      <c r="R257" s="49"/>
      <c r="S257" s="49"/>
      <c r="T257" s="49"/>
      <c r="U257" s="49"/>
      <c r="W257" s="70">
        <f>W255/2</f>
        <v>0</v>
      </c>
    </row>
    <row r="258" spans="1:23" ht="14.45" hidden="1" customHeight="1" x14ac:dyDescent="0.25">
      <c r="A258" s="109" t="s">
        <v>210</v>
      </c>
      <c r="D258" s="49"/>
      <c r="E258" s="49"/>
      <c r="F258" s="49"/>
      <c r="G258" s="49"/>
      <c r="P258" s="49"/>
      <c r="Q258" s="49"/>
      <c r="R258" s="49"/>
      <c r="S258" s="49"/>
      <c r="T258" s="49"/>
      <c r="U258" s="49"/>
    </row>
    <row r="259" spans="1:23" ht="14.45" hidden="1" customHeight="1" x14ac:dyDescent="0.25">
      <c r="A259" s="110">
        <v>43465</v>
      </c>
      <c r="D259" s="49"/>
      <c r="E259" s="49"/>
      <c r="F259" s="49"/>
      <c r="G259" s="49"/>
      <c r="P259" s="49"/>
      <c r="Q259" s="49"/>
      <c r="R259" s="49"/>
      <c r="S259" s="49"/>
      <c r="T259" s="49"/>
      <c r="U259" s="49"/>
    </row>
    <row r="260" spans="1:23" s="58" customFormat="1" hidden="1" x14ac:dyDescent="0.25">
      <c r="A260" s="51"/>
      <c r="B260" s="52"/>
      <c r="C260" s="52"/>
      <c r="D260" s="52"/>
      <c r="E260" s="52"/>
      <c r="F260" s="52"/>
      <c r="G260" s="53"/>
      <c r="P260" s="52"/>
      <c r="Q260" s="52"/>
      <c r="R260" s="52"/>
      <c r="S260" s="52"/>
      <c r="T260" s="52"/>
      <c r="U260" s="53"/>
      <c r="V260" s="57"/>
    </row>
    <row r="261" spans="1:23" hidden="1" x14ac:dyDescent="0.25">
      <c r="A261" s="54"/>
      <c r="B261" s="55" t="s">
        <v>211</v>
      </c>
      <c r="C261" s="55" t="s">
        <v>212</v>
      </c>
      <c r="D261" s="55" t="s">
        <v>213</v>
      </c>
      <c r="E261" s="55" t="s">
        <v>214</v>
      </c>
      <c r="F261" s="55" t="s">
        <v>215</v>
      </c>
      <c r="G261" s="56" t="s">
        <v>216</v>
      </c>
      <c r="P261" s="55" t="s">
        <v>211</v>
      </c>
      <c r="Q261" s="55" t="s">
        <v>212</v>
      </c>
      <c r="R261" s="55" t="s">
        <v>213</v>
      </c>
      <c r="S261" s="55" t="s">
        <v>214</v>
      </c>
      <c r="T261" s="55" t="s">
        <v>215</v>
      </c>
      <c r="U261" s="56" t="s">
        <v>216</v>
      </c>
    </row>
    <row r="262" spans="1:23" hidden="1" x14ac:dyDescent="0.25">
      <c r="A262" s="54" t="s">
        <v>62</v>
      </c>
      <c r="B262" s="1"/>
      <c r="C262" s="1"/>
      <c r="D262" s="1"/>
      <c r="E262" s="1"/>
      <c r="F262" s="1"/>
      <c r="G262" s="59">
        <v>0</v>
      </c>
      <c r="P262" s="1"/>
      <c r="Q262" s="1"/>
      <c r="R262" s="1"/>
      <c r="S262" s="1"/>
      <c r="T262" s="1"/>
      <c r="U262" s="59">
        <f>SUM(P262:T262)</f>
        <v>0</v>
      </c>
    </row>
    <row r="263" spans="1:23" hidden="1" x14ac:dyDescent="0.25">
      <c r="A263" s="54" t="s">
        <v>217</v>
      </c>
      <c r="B263" s="1"/>
      <c r="C263" s="1"/>
      <c r="D263" s="1"/>
      <c r="E263" s="1"/>
      <c r="F263" s="1"/>
      <c r="G263" s="59">
        <v>0</v>
      </c>
      <c r="P263" s="1"/>
      <c r="Q263" s="1"/>
      <c r="R263" s="1"/>
      <c r="S263" s="1"/>
      <c r="T263" s="1"/>
      <c r="U263" s="59">
        <f>SUM(P263:T263)</f>
        <v>0</v>
      </c>
    </row>
    <row r="264" spans="1:23" hidden="1" x14ac:dyDescent="0.25">
      <c r="A264" s="54" t="s">
        <v>218</v>
      </c>
      <c r="B264" s="1"/>
      <c r="C264" s="1"/>
      <c r="D264" s="1"/>
      <c r="E264" s="1"/>
      <c r="F264" s="1"/>
      <c r="G264" s="59">
        <v>0</v>
      </c>
      <c r="P264" s="1"/>
      <c r="Q264" s="1"/>
      <c r="R264" s="1"/>
      <c r="S264" s="1"/>
      <c r="T264" s="1"/>
      <c r="U264" s="59">
        <f>SUM(P264:T264)</f>
        <v>0</v>
      </c>
    </row>
    <row r="265" spans="1:23" hidden="1" x14ac:dyDescent="0.25">
      <c r="A265" s="54" t="s">
        <v>219</v>
      </c>
      <c r="B265" s="1"/>
      <c r="C265" s="1"/>
      <c r="D265" s="1"/>
      <c r="E265" s="1"/>
      <c r="F265" s="1"/>
      <c r="G265" s="59">
        <v>0</v>
      </c>
      <c r="P265" s="1"/>
      <c r="Q265" s="1"/>
      <c r="R265" s="1"/>
      <c r="S265" s="1"/>
      <c r="T265" s="1"/>
      <c r="U265" s="59">
        <f>SUM(P265:T265)</f>
        <v>0</v>
      </c>
    </row>
    <row r="266" spans="1:23" hidden="1" x14ac:dyDescent="0.25">
      <c r="A266" s="54" t="s">
        <v>220</v>
      </c>
      <c r="B266" s="1"/>
      <c r="C266" s="1"/>
      <c r="D266" s="1"/>
      <c r="E266" s="1"/>
      <c r="F266" s="1"/>
      <c r="G266" s="59">
        <v>0</v>
      </c>
      <c r="P266" s="1"/>
      <c r="Q266" s="1"/>
      <c r="R266" s="1"/>
      <c r="S266" s="1"/>
      <c r="T266" s="1"/>
      <c r="U266" s="59">
        <f>SUM(P266:T266)</f>
        <v>0</v>
      </c>
    </row>
    <row r="267" spans="1:23" ht="15.75" hidden="1" thickBot="1" x14ac:dyDescent="0.3">
      <c r="A267" s="54" t="s">
        <v>222</v>
      </c>
      <c r="B267" s="74"/>
      <c r="C267" s="74"/>
      <c r="D267" s="74"/>
      <c r="E267" s="74"/>
      <c r="F267" s="74"/>
      <c r="G267" s="75"/>
      <c r="P267" s="74"/>
      <c r="Q267" s="74"/>
      <c r="R267" s="74"/>
      <c r="S267" s="74"/>
      <c r="T267" s="74"/>
      <c r="U267" s="75"/>
    </row>
    <row r="268" spans="1:23" ht="15.75" hidden="1" thickBot="1" x14ac:dyDescent="0.3">
      <c r="A268" s="54"/>
      <c r="B268" s="76">
        <v>0</v>
      </c>
      <c r="C268" s="76">
        <v>0</v>
      </c>
      <c r="D268" s="76">
        <v>0</v>
      </c>
      <c r="E268" s="76">
        <v>0</v>
      </c>
      <c r="F268" s="76">
        <v>0</v>
      </c>
      <c r="G268" s="66">
        <v>0</v>
      </c>
      <c r="P268" s="76">
        <f>+P262-P263-P264-P265-P266</f>
        <v>0</v>
      </c>
      <c r="Q268" s="76">
        <f>+Q262-Q263-Q264-Q265-Q266</f>
        <v>0</v>
      </c>
      <c r="R268" s="76">
        <f>+R262-R263-R264-R265-R266</f>
        <v>0</v>
      </c>
      <c r="S268" s="76">
        <f>+S262-S263-S264-S265-S266</f>
        <v>0</v>
      </c>
      <c r="T268" s="76">
        <f>+T262-T263-T264-T265-T266</f>
        <v>0</v>
      </c>
      <c r="U268" s="66">
        <f>+U262-U263-U264-U265-U266-U267</f>
        <v>0</v>
      </c>
    </row>
    <row r="269" spans="1:23" hidden="1" x14ac:dyDescent="0.25">
      <c r="A269" s="54"/>
      <c r="B269" s="77"/>
      <c r="C269" s="77"/>
      <c r="D269" s="77"/>
      <c r="E269" s="77"/>
      <c r="F269" s="77"/>
      <c r="G269" s="59"/>
      <c r="P269" s="77"/>
      <c r="Q269" s="77"/>
      <c r="R269" s="77"/>
      <c r="S269" s="77"/>
      <c r="T269" s="77"/>
      <c r="U269" s="59"/>
    </row>
    <row r="270" spans="1:23" hidden="1" x14ac:dyDescent="0.25">
      <c r="A270" s="54" t="s">
        <v>223</v>
      </c>
      <c r="B270" s="77"/>
      <c r="C270" s="77"/>
      <c r="D270" s="77"/>
      <c r="E270" s="77"/>
      <c r="F270" s="77"/>
      <c r="G270" s="59">
        <v>0</v>
      </c>
      <c r="P270" s="77"/>
      <c r="Q270" s="77"/>
      <c r="R270" s="77"/>
      <c r="S270" s="77"/>
      <c r="T270" s="77"/>
      <c r="U270" s="59">
        <f t="shared" ref="U270:U276" si="19">SUM(P270:T270)</f>
        <v>0</v>
      </c>
    </row>
    <row r="271" spans="1:23" hidden="1" x14ac:dyDescent="0.25">
      <c r="A271" s="54" t="s">
        <v>224</v>
      </c>
      <c r="B271" s="6"/>
      <c r="C271" s="6"/>
      <c r="D271" s="6"/>
      <c r="E271" s="6"/>
      <c r="F271" s="6"/>
      <c r="G271" s="59">
        <v>0</v>
      </c>
      <c r="P271" s="6"/>
      <c r="Q271" s="6"/>
      <c r="R271" s="6"/>
      <c r="S271" s="6"/>
      <c r="T271" s="6"/>
      <c r="U271" s="59">
        <f t="shared" si="19"/>
        <v>0</v>
      </c>
    </row>
    <row r="272" spans="1:23" hidden="1" x14ac:dyDescent="0.25">
      <c r="A272" s="54" t="s">
        <v>225</v>
      </c>
      <c r="B272" s="18"/>
      <c r="C272" s="18"/>
      <c r="D272" s="6"/>
      <c r="E272" s="6"/>
      <c r="F272" s="6"/>
      <c r="G272" s="59">
        <v>0</v>
      </c>
      <c r="P272" s="18"/>
      <c r="Q272" s="18"/>
      <c r="R272" s="6"/>
      <c r="S272" s="6"/>
      <c r="T272" s="6"/>
      <c r="U272" s="59">
        <f t="shared" si="19"/>
        <v>0</v>
      </c>
    </row>
    <row r="273" spans="1:24" hidden="1" x14ac:dyDescent="0.25">
      <c r="A273" s="54" t="s">
        <v>226</v>
      </c>
      <c r="B273" s="6"/>
      <c r="C273" s="6"/>
      <c r="D273" s="6"/>
      <c r="E273" s="6"/>
      <c r="F273" s="6"/>
      <c r="G273" s="59">
        <v>0</v>
      </c>
      <c r="P273" s="6"/>
      <c r="Q273" s="6"/>
      <c r="R273" s="6"/>
      <c r="S273" s="6"/>
      <c r="T273" s="6"/>
      <c r="U273" s="59">
        <f t="shared" si="19"/>
        <v>0</v>
      </c>
    </row>
    <row r="274" spans="1:24" hidden="1" x14ac:dyDescent="0.25">
      <c r="A274" s="54" t="s">
        <v>227</v>
      </c>
      <c r="B274" s="6"/>
      <c r="C274" s="6"/>
      <c r="D274" s="6"/>
      <c r="E274" s="6"/>
      <c r="F274" s="6"/>
      <c r="G274" s="59">
        <v>0</v>
      </c>
      <c r="P274" s="6"/>
      <c r="Q274" s="6"/>
      <c r="R274" s="6"/>
      <c r="S274" s="6"/>
      <c r="T274" s="6"/>
      <c r="U274" s="59">
        <f t="shared" si="19"/>
        <v>0</v>
      </c>
    </row>
    <row r="275" spans="1:24" hidden="1" x14ac:dyDescent="0.25">
      <c r="A275" s="54" t="s">
        <v>36</v>
      </c>
      <c r="B275" s="6"/>
      <c r="C275" s="6"/>
      <c r="D275" s="6"/>
      <c r="E275" s="6"/>
      <c r="F275" s="6"/>
      <c r="G275" s="59">
        <v>0</v>
      </c>
      <c r="P275" s="6"/>
      <c r="Q275" s="6"/>
      <c r="R275" s="6"/>
      <c r="S275" s="6"/>
      <c r="T275" s="6"/>
      <c r="U275" s="59">
        <f t="shared" si="19"/>
        <v>0</v>
      </c>
    </row>
    <row r="276" spans="1:24" hidden="1" x14ac:dyDescent="0.25">
      <c r="A276" s="54" t="s">
        <v>228</v>
      </c>
      <c r="B276" s="6"/>
      <c r="C276" s="6"/>
      <c r="D276" s="6"/>
      <c r="E276" s="6"/>
      <c r="F276" s="6"/>
      <c r="G276" s="59">
        <v>0</v>
      </c>
      <c r="P276" s="6"/>
      <c r="Q276" s="6"/>
      <c r="R276" s="6"/>
      <c r="S276" s="6"/>
      <c r="T276" s="6"/>
      <c r="U276" s="59">
        <f t="shared" si="19"/>
        <v>0</v>
      </c>
    </row>
    <row r="277" spans="1:24" hidden="1" x14ac:dyDescent="0.25">
      <c r="A277" s="87" t="s">
        <v>237</v>
      </c>
      <c r="B277" s="6"/>
      <c r="C277" s="6"/>
      <c r="D277" s="6"/>
      <c r="E277" s="6"/>
      <c r="F277" s="6"/>
      <c r="G277" s="73">
        <v>0</v>
      </c>
      <c r="P277" s="6"/>
      <c r="Q277" s="6"/>
      <c r="R277" s="6"/>
      <c r="S277" s="6"/>
      <c r="T277" s="6"/>
      <c r="U277" s="73">
        <f>SUM(P277:T277)</f>
        <v>0</v>
      </c>
      <c r="V277" s="48">
        <f>SUM(P278:T278)-U267</f>
        <v>0</v>
      </c>
      <c r="W277" s="70">
        <f>U278-V277</f>
        <v>0</v>
      </c>
      <c r="X277" s="48" t="s">
        <v>229</v>
      </c>
    </row>
    <row r="278" spans="1:24" hidden="1" x14ac:dyDescent="0.25">
      <c r="A278" s="54" t="s">
        <v>221</v>
      </c>
      <c r="B278" s="78"/>
      <c r="C278" s="78"/>
      <c r="D278" s="78"/>
      <c r="E278" s="78"/>
      <c r="F278" s="78"/>
      <c r="G278" s="82">
        <v>0</v>
      </c>
      <c r="P278" s="78"/>
      <c r="Q278" s="78"/>
      <c r="R278" s="78"/>
      <c r="S278" s="78"/>
      <c r="T278" s="78"/>
      <c r="U278" s="82">
        <f>+U268-U270-U271-U272-U273-U276-U274-U275</f>
        <v>0</v>
      </c>
      <c r="W278" s="70">
        <f>U278-V278</f>
        <v>0</v>
      </c>
      <c r="X278" s="49" t="s">
        <v>231</v>
      </c>
    </row>
    <row r="279" spans="1:24" hidden="1" x14ac:dyDescent="0.25">
      <c r="A279" s="98" t="s">
        <v>230</v>
      </c>
      <c r="B279" s="77"/>
      <c r="C279" s="77"/>
      <c r="D279" s="77"/>
      <c r="E279" s="77"/>
      <c r="F279" s="77"/>
      <c r="G279" s="59"/>
      <c r="P279" s="77"/>
      <c r="Q279" s="77"/>
      <c r="R279" s="77"/>
      <c r="S279" s="77"/>
      <c r="T279" s="77"/>
      <c r="U279" s="59"/>
    </row>
    <row r="280" spans="1:24" x14ac:dyDescent="0.25">
      <c r="A280" s="99" t="s">
        <v>210</v>
      </c>
      <c r="B280" s="100"/>
      <c r="C280" s="100"/>
      <c r="D280" s="100"/>
      <c r="E280" s="100"/>
      <c r="F280" s="100"/>
      <c r="G280" s="101"/>
      <c r="P280" s="100"/>
      <c r="Q280" s="100"/>
      <c r="R280" s="100"/>
      <c r="S280" s="100"/>
      <c r="T280" s="100"/>
      <c r="U280" s="101"/>
    </row>
    <row r="281" spans="1:24" x14ac:dyDescent="0.25">
      <c r="A281" s="51" t="s">
        <v>238</v>
      </c>
      <c r="B281" s="52"/>
      <c r="C281" s="52"/>
      <c r="D281" s="52"/>
      <c r="E281" s="52"/>
      <c r="F281" s="52"/>
      <c r="G281" s="53"/>
      <c r="P281" s="52"/>
      <c r="Q281" s="52"/>
      <c r="R281" s="52"/>
      <c r="S281" s="52"/>
      <c r="T281" s="52"/>
      <c r="U281" s="53"/>
    </row>
    <row r="282" spans="1:24" x14ac:dyDescent="0.25">
      <c r="A282" s="51"/>
      <c r="B282" s="52"/>
      <c r="C282" s="52"/>
      <c r="D282" s="52"/>
      <c r="E282" s="52"/>
      <c r="F282" s="52"/>
      <c r="G282" s="53"/>
      <c r="P282" s="52"/>
      <c r="Q282" s="52"/>
      <c r="R282" s="52"/>
      <c r="S282" s="52"/>
      <c r="T282" s="52"/>
      <c r="U282" s="53"/>
    </row>
    <row r="283" spans="1:24" x14ac:dyDescent="0.25">
      <c r="A283" s="54"/>
      <c r="B283" s="55" t="s">
        <v>211</v>
      </c>
      <c r="C283" s="55" t="s">
        <v>212</v>
      </c>
      <c r="D283" s="55" t="s">
        <v>213</v>
      </c>
      <c r="E283" s="55" t="s">
        <v>214</v>
      </c>
      <c r="F283" s="55" t="s">
        <v>215</v>
      </c>
      <c r="G283" s="56" t="s">
        <v>216</v>
      </c>
      <c r="P283" s="55" t="s">
        <v>211</v>
      </c>
      <c r="Q283" s="55" t="s">
        <v>212</v>
      </c>
      <c r="R283" s="55" t="s">
        <v>213</v>
      </c>
      <c r="S283" s="55" t="s">
        <v>214</v>
      </c>
      <c r="T283" s="55" t="s">
        <v>215</v>
      </c>
      <c r="U283" s="56" t="s">
        <v>216</v>
      </c>
    </row>
    <row r="284" spans="1:24" x14ac:dyDescent="0.25">
      <c r="A284" s="54" t="s">
        <v>62</v>
      </c>
      <c r="B284" s="5">
        <v>457906563.70999998</v>
      </c>
      <c r="C284" s="5">
        <v>1989101405.0200002</v>
      </c>
      <c r="D284" s="5">
        <v>8049386.8099999996</v>
      </c>
      <c r="E284" s="5">
        <v>8312379.8700000001</v>
      </c>
      <c r="F284" s="5">
        <v>1677325.3900000001</v>
      </c>
      <c r="G284" s="59">
        <v>2465047060.7999997</v>
      </c>
      <c r="P284" s="5">
        <f t="shared" ref="P284:T284" si="20">+P6+P29+P52+P75+P99+P122+P145+P168+P191+P214+P239+P262</f>
        <v>457906563.70999998</v>
      </c>
      <c r="Q284" s="5">
        <f t="shared" si="20"/>
        <v>1989101405.0200002</v>
      </c>
      <c r="R284" s="5">
        <f t="shared" si="20"/>
        <v>8049386.8099999996</v>
      </c>
      <c r="S284" s="5">
        <f t="shared" si="20"/>
        <v>8312379.8700000001</v>
      </c>
      <c r="T284" s="5">
        <f t="shared" si="20"/>
        <v>1677325.3900000001</v>
      </c>
      <c r="U284" s="59">
        <f t="shared" ref="U284:U289" si="21">SUM(P284:T284)</f>
        <v>2465047060.7999997</v>
      </c>
    </row>
    <row r="285" spans="1:24" x14ac:dyDescent="0.25">
      <c r="A285" s="54" t="s">
        <v>217</v>
      </c>
      <c r="B285" s="5">
        <v>459968414.53999996</v>
      </c>
      <c r="C285" s="5">
        <v>1992171881.79</v>
      </c>
      <c r="D285" s="5">
        <v>7941554.29</v>
      </c>
      <c r="E285" s="5">
        <v>9046965.6300000008</v>
      </c>
      <c r="F285" s="5">
        <v>1656771.56</v>
      </c>
      <c r="G285" s="59">
        <v>2470785587.8099999</v>
      </c>
      <c r="P285" s="5">
        <f t="shared" ref="P285:T285" si="22">+P7+P30+P53+P76+P100+P123+P146+P169+P192+P215+P240+P263</f>
        <v>459968414.53999996</v>
      </c>
      <c r="Q285" s="5">
        <f t="shared" si="22"/>
        <v>1992171881.79</v>
      </c>
      <c r="R285" s="5">
        <f t="shared" si="22"/>
        <v>7941554.29</v>
      </c>
      <c r="S285" s="5">
        <f t="shared" si="22"/>
        <v>9046965.6300000008</v>
      </c>
      <c r="T285" s="5">
        <f t="shared" si="22"/>
        <v>1656771.56</v>
      </c>
      <c r="U285" s="59">
        <f t="shared" si="21"/>
        <v>2470785587.8099999</v>
      </c>
    </row>
    <row r="286" spans="1:24" x14ac:dyDescent="0.25">
      <c r="A286" s="54" t="s">
        <v>218</v>
      </c>
      <c r="B286" s="5">
        <v>-4621016.9799999893</v>
      </c>
      <c r="C286" s="5">
        <v>177210.97999999113</v>
      </c>
      <c r="D286" s="5">
        <v>-96499.9200000001</v>
      </c>
      <c r="E286" s="5">
        <v>-51351.099999999962</v>
      </c>
      <c r="F286" s="5">
        <v>0</v>
      </c>
      <c r="G286" s="59">
        <v>-4591657.0199999977</v>
      </c>
      <c r="P286" s="5">
        <f t="shared" ref="P286:T286" si="23">+P8+P31+P54+P77+P101+P124+P147+P170+P193+P216+P241+P264</f>
        <v>-4621016.9799999893</v>
      </c>
      <c r="Q286" s="5">
        <f t="shared" si="23"/>
        <v>177210.97999999113</v>
      </c>
      <c r="R286" s="5">
        <f t="shared" si="23"/>
        <v>-96499.9200000001</v>
      </c>
      <c r="S286" s="5">
        <f t="shared" si="23"/>
        <v>-51351.099999999962</v>
      </c>
      <c r="T286" s="5">
        <f t="shared" si="23"/>
        <v>0</v>
      </c>
      <c r="U286" s="59">
        <f t="shared" si="21"/>
        <v>-4591657.0199999977</v>
      </c>
    </row>
    <row r="287" spans="1:24" x14ac:dyDescent="0.25">
      <c r="A287" s="54" t="s">
        <v>219</v>
      </c>
      <c r="B287" s="5">
        <v>-1775997.5700000077</v>
      </c>
      <c r="C287" s="5">
        <v>-7520796.1300000027</v>
      </c>
      <c r="D287" s="5">
        <v>90</v>
      </c>
      <c r="E287" s="5">
        <v>0</v>
      </c>
      <c r="F287" s="5">
        <v>0</v>
      </c>
      <c r="G287" s="59">
        <v>-9296703.7000000104</v>
      </c>
      <c r="P287" s="5">
        <f t="shared" ref="P287:T287" si="24">+P9+P32+P55+P78+P102+P125+P148+P171+P194+P217+P242+P265</f>
        <v>-1775997.5700000077</v>
      </c>
      <c r="Q287" s="5">
        <f t="shared" si="24"/>
        <v>-7520796.1300000027</v>
      </c>
      <c r="R287" s="5">
        <f t="shared" si="24"/>
        <v>90</v>
      </c>
      <c r="S287" s="5">
        <f t="shared" si="24"/>
        <v>0</v>
      </c>
      <c r="T287" s="5">
        <f t="shared" si="24"/>
        <v>0</v>
      </c>
      <c r="U287" s="59">
        <f t="shared" si="21"/>
        <v>-9296703.7000000104</v>
      </c>
    </row>
    <row r="288" spans="1:24" x14ac:dyDescent="0.25">
      <c r="A288" s="54" t="s">
        <v>220</v>
      </c>
      <c r="B288" s="5">
        <v>3058124.2628400028</v>
      </c>
      <c r="C288" s="5">
        <v>2910424.8437331957</v>
      </c>
      <c r="D288" s="5">
        <v>87035.871369999368</v>
      </c>
      <c r="E288" s="5">
        <v>-807158.24017500004</v>
      </c>
      <c r="F288" s="5">
        <v>-7044.9800000000105</v>
      </c>
      <c r="G288" s="59">
        <v>5241381.7577681961</v>
      </c>
      <c r="P288" s="5">
        <f t="shared" ref="P288:T288" si="25">+P10+P33+P56+P79+P103+P126+P149+P172+P195+P218+P243+P266</f>
        <v>3058124.2628400028</v>
      </c>
      <c r="Q288" s="5">
        <f t="shared" si="25"/>
        <v>2910424.8437331957</v>
      </c>
      <c r="R288" s="5">
        <f t="shared" si="25"/>
        <v>87035.871369999368</v>
      </c>
      <c r="S288" s="5">
        <f t="shared" si="25"/>
        <v>-807158.24017500004</v>
      </c>
      <c r="T288" s="5">
        <f t="shared" si="25"/>
        <v>-7044.9800000000105</v>
      </c>
      <c r="U288" s="59">
        <f t="shared" si="21"/>
        <v>5241381.7577681961</v>
      </c>
    </row>
    <row r="289" spans="1:24" x14ac:dyDescent="0.25">
      <c r="A289" s="54" t="s">
        <v>232</v>
      </c>
      <c r="B289" s="5">
        <v>111322.78999999998</v>
      </c>
      <c r="C289" s="5">
        <v>0</v>
      </c>
      <c r="D289" s="5">
        <v>0</v>
      </c>
      <c r="E289" s="5">
        <v>0</v>
      </c>
      <c r="F289" s="5">
        <v>0</v>
      </c>
      <c r="G289" s="59">
        <v>111322.78999999998</v>
      </c>
      <c r="P289" s="5">
        <f>+P11+P34+P57+P80+P104+P127+P150+P173+P196+P219+P244+P267</f>
        <v>111322.78999999998</v>
      </c>
      <c r="Q289" s="5">
        <f t="shared" ref="Q289:T289" si="26">+Q11+Q34+Q57+Q80+Q104+Q127+Q150+Q173+Q196+Q219+Q244+Q267</f>
        <v>0</v>
      </c>
      <c r="R289" s="5">
        <f t="shared" si="26"/>
        <v>0</v>
      </c>
      <c r="S289" s="5">
        <f t="shared" si="26"/>
        <v>0</v>
      </c>
      <c r="T289" s="5">
        <f t="shared" si="26"/>
        <v>0</v>
      </c>
      <c r="U289" s="59">
        <f t="shared" si="21"/>
        <v>111322.78999999998</v>
      </c>
    </row>
    <row r="290" spans="1:24" x14ac:dyDescent="0.25">
      <c r="A290" s="54" t="s">
        <v>222</v>
      </c>
      <c r="B290" s="102"/>
      <c r="C290" s="102"/>
      <c r="D290" s="102"/>
      <c r="E290" s="102"/>
      <c r="F290" s="102"/>
      <c r="G290" s="59">
        <v>15869.059999999998</v>
      </c>
      <c r="P290" s="102"/>
      <c r="Q290" s="102"/>
      <c r="R290" s="102"/>
      <c r="S290" s="102"/>
      <c r="T290" s="102"/>
      <c r="U290" s="59">
        <f>+U244+U220+U196+U173+U150+U127+U104+U81+U57+U34+U11+U267</f>
        <v>15869.059999999998</v>
      </c>
    </row>
    <row r="291" spans="1:24" ht="15.75" thickBot="1" x14ac:dyDescent="0.3">
      <c r="A291" s="54"/>
      <c r="B291" s="64">
        <v>1165716.6671600342</v>
      </c>
      <c r="C291" s="64">
        <v>1362683.5362670422</v>
      </c>
      <c r="D291" s="64">
        <v>117206.56862999965</v>
      </c>
      <c r="E291" s="64">
        <v>123923.58017499931</v>
      </c>
      <c r="F291" s="64">
        <v>27598.810000000056</v>
      </c>
      <c r="G291" s="66">
        <v>3003905.6822315832</v>
      </c>
      <c r="P291" s="64">
        <f>+P284-SUM(P285:P289)</f>
        <v>1165716.6671600342</v>
      </c>
      <c r="Q291" s="64">
        <f t="shared" ref="Q291:T291" si="27">+Q284-SUM(Q285:Q289)</f>
        <v>1362683.5362670422</v>
      </c>
      <c r="R291" s="64">
        <f t="shared" si="27"/>
        <v>117206.56862999965</v>
      </c>
      <c r="S291" s="64">
        <f t="shared" si="27"/>
        <v>123923.58017499931</v>
      </c>
      <c r="T291" s="64">
        <f t="shared" si="27"/>
        <v>27598.810000000056</v>
      </c>
      <c r="U291" s="66">
        <f>+U284-U285-U286-U287-U288-U290+U289</f>
        <v>3003905.6822315832</v>
      </c>
    </row>
    <row r="292" spans="1:24" ht="15.75" thickTop="1" x14ac:dyDescent="0.25">
      <c r="A292" s="54"/>
      <c r="B292" s="78"/>
      <c r="C292" s="78"/>
      <c r="D292" s="78"/>
      <c r="E292" s="78"/>
      <c r="F292" s="78"/>
      <c r="G292" s="68"/>
      <c r="P292" s="78"/>
      <c r="Q292" s="78"/>
      <c r="R292" s="78"/>
      <c r="S292" s="78"/>
      <c r="T292" s="78"/>
      <c r="U292" s="68"/>
    </row>
    <row r="293" spans="1:24" x14ac:dyDescent="0.25">
      <c r="A293" s="54" t="s">
        <v>223</v>
      </c>
      <c r="B293" s="6">
        <v>1374229.642614149</v>
      </c>
      <c r="C293" s="6">
        <v>1355854.7119999959</v>
      </c>
      <c r="D293" s="6">
        <v>87897.023499999952</v>
      </c>
      <c r="E293" s="6">
        <v>83049.838200000086</v>
      </c>
      <c r="F293" s="6">
        <v>26702.39</v>
      </c>
      <c r="G293" s="59">
        <v>2927733.6063141455</v>
      </c>
      <c r="P293" s="6">
        <f t="shared" ref="P293:T293" si="28">+P14+P37+P60+P84+P107+P130+P153+P176+P199+P223+P247+P270</f>
        <v>1374229.642614149</v>
      </c>
      <c r="Q293" s="6">
        <f t="shared" si="28"/>
        <v>1325952.9729999998</v>
      </c>
      <c r="R293" s="6">
        <f t="shared" si="28"/>
        <v>87897.023499999952</v>
      </c>
      <c r="S293" s="6">
        <f t="shared" si="28"/>
        <v>83049.838200000086</v>
      </c>
      <c r="T293" s="6">
        <f t="shared" si="28"/>
        <v>26702.39</v>
      </c>
      <c r="U293" s="59">
        <f>SUM(P293:T293)</f>
        <v>2897831.8673141492</v>
      </c>
    </row>
    <row r="294" spans="1:24" x14ac:dyDescent="0.25">
      <c r="A294" s="54" t="s">
        <v>224</v>
      </c>
      <c r="B294" s="6">
        <v>18247.57</v>
      </c>
      <c r="C294" s="6">
        <v>6082.2931969977171</v>
      </c>
      <c r="D294" s="6">
        <v>0</v>
      </c>
      <c r="E294" s="6">
        <v>0</v>
      </c>
      <c r="F294" s="6">
        <v>0</v>
      </c>
      <c r="G294" s="59">
        <v>24329.863196997718</v>
      </c>
      <c r="P294" s="6">
        <f t="shared" ref="P294:T294" si="29">+P15+P38+P61+P85+P108+P131+P154+P177+P200+P224+P248+P271</f>
        <v>18247.57</v>
      </c>
      <c r="Q294" s="6">
        <f t="shared" si="29"/>
        <v>6082.2931969977171</v>
      </c>
      <c r="R294" s="6">
        <f t="shared" si="29"/>
        <v>0</v>
      </c>
      <c r="S294" s="6">
        <f t="shared" si="29"/>
        <v>0</v>
      </c>
      <c r="T294" s="6">
        <f t="shared" si="29"/>
        <v>0</v>
      </c>
      <c r="U294" s="59">
        <f t="shared" ref="U294:U296" si="30">SUM(P294:T294)</f>
        <v>24329.863196997718</v>
      </c>
    </row>
    <row r="295" spans="1:24" x14ac:dyDescent="0.25">
      <c r="A295" s="54" t="s">
        <v>225</v>
      </c>
      <c r="B295" s="6">
        <v>108378.48999999999</v>
      </c>
      <c r="C295" s="6">
        <v>42954.59</v>
      </c>
      <c r="D295" s="6">
        <v>69211.049999999988</v>
      </c>
      <c r="E295" s="6">
        <v>0</v>
      </c>
      <c r="F295" s="6">
        <v>0</v>
      </c>
      <c r="G295" s="59">
        <v>220544.12999999998</v>
      </c>
      <c r="P295" s="6">
        <f t="shared" ref="P295:T295" si="31">+P16+P39+P62+P86+P109+P132+P155+P178+P201+P225+P249+P272</f>
        <v>108378.48999999999</v>
      </c>
      <c r="Q295" s="6">
        <f t="shared" si="31"/>
        <v>42954.59</v>
      </c>
      <c r="R295" s="6">
        <f t="shared" si="31"/>
        <v>69211.049999999988</v>
      </c>
      <c r="S295" s="6">
        <f t="shared" si="31"/>
        <v>0</v>
      </c>
      <c r="T295" s="6">
        <f t="shared" si="31"/>
        <v>0</v>
      </c>
      <c r="U295" s="59">
        <f t="shared" si="30"/>
        <v>220544.12999999998</v>
      </c>
    </row>
    <row r="296" spans="1:24" x14ac:dyDescent="0.25">
      <c r="A296" s="54" t="s">
        <v>226</v>
      </c>
      <c r="B296" s="6">
        <v>-23642.630000000005</v>
      </c>
      <c r="C296" s="6">
        <v>-206351.13</v>
      </c>
      <c r="D296" s="6">
        <v>0</v>
      </c>
      <c r="E296" s="6">
        <v>0</v>
      </c>
      <c r="F296" s="6">
        <v>0</v>
      </c>
      <c r="G296" s="59">
        <v>-229993.76</v>
      </c>
      <c r="P296" s="6">
        <f>+P17+P40+P63+P87+P110+P133+P156+P179+P203+P226+P250+P273</f>
        <v>-23642.630000000005</v>
      </c>
      <c r="Q296" s="6">
        <f>+Q17+Q40+Q63+Q87+Q110+Q133+Q156+Q179+Q203+Q226+Q250+Q273</f>
        <v>-206351.13</v>
      </c>
      <c r="R296" s="6">
        <f>+R17+R40+R63+R87+R110+R133+R156+R179+R203+R226+R250+R273</f>
        <v>0</v>
      </c>
      <c r="S296" s="6">
        <f>+S17+S40+S63+S87+S110+S133+S156+S179+S203+S226+S250+S273</f>
        <v>0</v>
      </c>
      <c r="T296" s="6">
        <f>+T17+T40+T63+T87+T110+T133+T156+T179+T203+T226+T250+T273</f>
        <v>0</v>
      </c>
      <c r="U296" s="59">
        <f t="shared" si="30"/>
        <v>-229993.76</v>
      </c>
    </row>
    <row r="297" spans="1:24" x14ac:dyDescent="0.25">
      <c r="A297" s="54" t="s">
        <v>227</v>
      </c>
      <c r="B297" s="6">
        <v>-39027.33</v>
      </c>
      <c r="C297" s="6">
        <v>48267</v>
      </c>
      <c r="D297" s="6">
        <v>0</v>
      </c>
      <c r="E297" s="6">
        <v>0</v>
      </c>
      <c r="F297" s="6">
        <v>0</v>
      </c>
      <c r="G297" s="59">
        <v>9239.6699999999983</v>
      </c>
      <c r="P297" s="6">
        <f>P18+P41+P64+P88+P111+P134+P157+P180+P202+P227+P251+P274</f>
        <v>-39027.33</v>
      </c>
      <c r="Q297" s="6">
        <f>Q18+Q41+Q64+Q88+Q111+Q134+Q157+Q180+Q202+Q227+Q251+Q274</f>
        <v>48267</v>
      </c>
      <c r="R297" s="6">
        <f>R18+R41+R64+R88+R111+R134+R157+R180+R202+R227+R251+R274</f>
        <v>0</v>
      </c>
      <c r="S297" s="6">
        <f>S18+S41+S64+S88+S111+S134+S157+S180+S202+S227+S251+S274</f>
        <v>0</v>
      </c>
      <c r="T297" s="6">
        <f>T18+T41+T64+T88+T111+T134+T157+T180+T202+T227+T251+T274</f>
        <v>0</v>
      </c>
      <c r="U297" s="59">
        <f>SUM(P297:T297)</f>
        <v>9239.6699999999983</v>
      </c>
    </row>
    <row r="298" spans="1:24" x14ac:dyDescent="0.25">
      <c r="A298" s="54" t="s">
        <v>228</v>
      </c>
      <c r="B298" s="6">
        <v>-129582</v>
      </c>
      <c r="C298" s="6">
        <v>0</v>
      </c>
      <c r="D298" s="6">
        <v>0</v>
      </c>
      <c r="E298" s="6">
        <v>0</v>
      </c>
      <c r="F298" s="6">
        <v>0</v>
      </c>
      <c r="G298" s="59">
        <v>-129582</v>
      </c>
      <c r="P298" s="6">
        <f>+P19+P42+P66+P90+P113+P136+P159+P182+P205+P229+P253+P276</f>
        <v>-129582</v>
      </c>
      <c r="Q298" s="6">
        <f>+Q19+Q42+Q66+Q90+Q113+Q136+Q159+Q182+Q205+Q229+Q253+Q276</f>
        <v>0</v>
      </c>
      <c r="R298" s="6">
        <f>+R19+R42+R66+R90+R113+R136+R159+R182+R205+R229+R253+R276</f>
        <v>0</v>
      </c>
      <c r="S298" s="6">
        <f>+S19+S42+S66+S90+S113+S136+S159+S182+S205+S229+S253+S276</f>
        <v>0</v>
      </c>
      <c r="T298" s="6">
        <f>+T19+T42+T66+T90+T113+T136+T159+T182+T205+T229+T253+T276</f>
        <v>0</v>
      </c>
      <c r="U298" s="59">
        <f t="shared" ref="U298:U300" si="32">SUM(P298:T298)</f>
        <v>-129582</v>
      </c>
    </row>
    <row r="299" spans="1:24" x14ac:dyDescent="0.25">
      <c r="A299" s="54" t="s">
        <v>36</v>
      </c>
      <c r="B299" s="6">
        <v>-72000</v>
      </c>
      <c r="C299" s="6">
        <v>-68000</v>
      </c>
      <c r="D299" s="6">
        <v>0</v>
      </c>
      <c r="E299" s="6">
        <v>0</v>
      </c>
      <c r="F299" s="6">
        <v>0</v>
      </c>
      <c r="G299" s="59">
        <v>-140000</v>
      </c>
      <c r="P299" s="6">
        <f>+P20+P43+P65+P89+P112+P135+P158+P181+P204+P228+P252+P275</f>
        <v>-72000</v>
      </c>
      <c r="Q299" s="6">
        <f>+Q20+Q43+Q65+Q89+Q112+Q135+Q158+Q181+Q204+Q228+Q252+Q275</f>
        <v>-68000</v>
      </c>
      <c r="R299" s="6">
        <f>+R20+R43+R65+R89+R112+R135+R158+R181+R204+R228+R252+R275</f>
        <v>0</v>
      </c>
      <c r="S299" s="6">
        <f>+S20+S43+S65+S89+S112+S135+S158+S181+S204+S228+S252+S275</f>
        <v>0</v>
      </c>
      <c r="T299" s="6">
        <f>+T20+T43+T65+T89+T112+T135+T158+T181+T204+T228+T252+T275</f>
        <v>0</v>
      </c>
      <c r="U299" s="59">
        <f t="shared" si="32"/>
        <v>-140000</v>
      </c>
    </row>
    <row r="300" spans="1:24" x14ac:dyDescent="0.25">
      <c r="A300" s="54" t="s">
        <v>233</v>
      </c>
      <c r="B300" s="103">
        <v>-4500</v>
      </c>
      <c r="C300" s="93"/>
      <c r="D300" s="93"/>
      <c r="E300" s="93"/>
      <c r="F300" s="93"/>
      <c r="G300" s="59">
        <v>-4500</v>
      </c>
      <c r="P300" s="103">
        <f>P91</f>
        <v>-4500</v>
      </c>
      <c r="Q300" s="93"/>
      <c r="R300" s="93"/>
      <c r="S300" s="93"/>
      <c r="T300" s="93"/>
      <c r="U300" s="59">
        <f t="shared" si="32"/>
        <v>-4500</v>
      </c>
      <c r="V300" s="48">
        <f>SUM(P301:T301)-U290</f>
        <v>356035.91172072239</v>
      </c>
      <c r="W300" s="104">
        <f>U301-V300</f>
        <v>-2.8603244572877884E-7</v>
      </c>
      <c r="X300" s="48" t="s">
        <v>229</v>
      </c>
    </row>
    <row r="301" spans="1:24" x14ac:dyDescent="0.25">
      <c r="A301" s="54" t="s">
        <v>221</v>
      </c>
      <c r="B301" s="6">
        <v>156258.50454584713</v>
      </c>
      <c r="C301" s="6">
        <v>183876.07106987847</v>
      </c>
      <c r="D301" s="6">
        <v>-39901.50486999908</v>
      </c>
      <c r="E301" s="6">
        <v>40873.741974999684</v>
      </c>
      <c r="F301" s="6">
        <v>896.41999999996915</v>
      </c>
      <c r="G301" s="59">
        <v>326134.17272044002</v>
      </c>
      <c r="P301" s="6">
        <f>+P22+P45+P68+P92+P115+P138+P161+P184+P207+P232+P255+P278</f>
        <v>156258.50454584713</v>
      </c>
      <c r="Q301" s="6">
        <f>+Q22+Q45+Q68+Q92+Q115+Q138+Q161+Q184+Q207+Q232+Q255+Q278</f>
        <v>213777.81006987469</v>
      </c>
      <c r="R301" s="6">
        <f>+R22+R45+R68+R92+R115+R138+R161+R184+R207+R232+R255+R278</f>
        <v>-39901.50486999908</v>
      </c>
      <c r="S301" s="6">
        <f>+S22+S45+S68+S92+S115+S138+S161+S184+S207+S232+S255+S278</f>
        <v>40873.741974999684</v>
      </c>
      <c r="T301" s="6">
        <f>+T22+T45+T68+T92+T115+T138+T161+T184+T207+T232+T255+T278</f>
        <v>896.41999999996915</v>
      </c>
      <c r="U301" s="59">
        <f>+U291-U293-U294-U295-U296-U297-U298-U299-U300</f>
        <v>356035.91172043636</v>
      </c>
      <c r="V301" s="48">
        <f>'[1]P&amp;L Compare to Hedge 2018'!$N$45</f>
        <v>326134.17368568387</v>
      </c>
      <c r="W301" s="104">
        <f>U301-V301</f>
        <v>29901.738034752489</v>
      </c>
      <c r="X301" s="105" t="s">
        <v>231</v>
      </c>
    </row>
    <row r="302" spans="1:24" ht="15.75" thickBot="1" x14ac:dyDescent="0.3">
      <c r="A302" s="72"/>
      <c r="B302" s="106"/>
      <c r="C302" s="106"/>
      <c r="D302" s="106"/>
      <c r="E302" s="106"/>
      <c r="F302" s="106"/>
      <c r="G302" s="59"/>
      <c r="P302" s="106"/>
      <c r="Q302" s="106"/>
      <c r="R302" s="106"/>
      <c r="S302" s="106"/>
      <c r="T302" s="106"/>
      <c r="U302" s="59"/>
    </row>
    <row r="303" spans="1:24" x14ac:dyDescent="0.25">
      <c r="G303" s="107"/>
      <c r="U303" s="107"/>
    </row>
  </sheetData>
  <pageMargins left="0.7" right="0.7" top="0.5" bottom="0.5" header="0.3" footer="0.3"/>
  <pageSetup fitToHeight="0" orientation="portrait" r:id="rId1"/>
  <rowBreaks count="4" manualBreakCount="4">
    <brk id="46" max="16383" man="1"/>
    <brk id="93" max="16383" man="1"/>
    <brk id="139" max="16383" man="1"/>
    <brk id="27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216F-AB07-41D7-AACD-99990CC37DF5}">
  <sheetPr>
    <tabColor theme="9" tint="0.39997558519241921"/>
  </sheetPr>
  <dimension ref="A1:R267"/>
  <sheetViews>
    <sheetView view="pageBreakPreview" zoomScale="60" zoomScaleNormal="110" workbookViewId="0">
      <pane xSplit="1" ySplit="4" topLeftCell="B212" activePane="bottomRight" state="frozen"/>
      <selection activeCell="A16" sqref="A16"/>
      <selection pane="topRight" activeCell="A16" sqref="A16"/>
      <selection pane="bottomLeft" activeCell="A16" sqref="A16"/>
      <selection pane="bottomRight" activeCell="U49" sqref="U49"/>
    </sheetView>
  </sheetViews>
  <sheetFormatPr defaultColWidth="9.140625" defaultRowHeight="15" x14ac:dyDescent="0.25"/>
  <cols>
    <col min="1" max="1" width="69.5703125" style="179" customWidth="1"/>
    <col min="2" max="2" width="22.42578125" style="1" customWidth="1"/>
    <col min="3" max="3" width="24" style="2" customWidth="1"/>
    <col min="4" max="4" width="24.28515625" style="2" customWidth="1"/>
    <col min="5" max="6" width="25.140625" style="2" customWidth="1"/>
    <col min="7" max="7" width="24" style="2" customWidth="1"/>
    <col min="8" max="8" width="23.42578125" style="2" hidden="1" customWidth="1"/>
    <col min="9" max="9" width="24" style="2" hidden="1" customWidth="1"/>
    <col min="10" max="11" width="23" style="2" hidden="1" customWidth="1"/>
    <col min="12" max="13" width="25.5703125" style="2" hidden="1" customWidth="1"/>
    <col min="14" max="14" width="26.28515625" style="2" customWidth="1"/>
    <col min="15" max="15" width="12.5703125" style="2" bestFit="1" customWidth="1"/>
    <col min="16" max="17" width="26.28515625" style="2" hidden="1" customWidth="1"/>
    <col min="18" max="16384" width="9.140625" style="2"/>
  </cols>
  <sheetData>
    <row r="1" spans="1:17" ht="18.75" x14ac:dyDescent="0.3">
      <c r="A1" s="178" t="s">
        <v>0</v>
      </c>
    </row>
    <row r="2" spans="1:17" ht="19.5" thickBot="1" x14ac:dyDescent="0.35">
      <c r="A2" s="178"/>
    </row>
    <row r="3" spans="1:17" ht="15.75" thickBot="1" x14ac:dyDescent="0.3">
      <c r="B3" s="3">
        <v>43131</v>
      </c>
      <c r="C3" s="3">
        <v>43159</v>
      </c>
      <c r="D3" s="3">
        <v>43190</v>
      </c>
      <c r="E3" s="3">
        <v>43220</v>
      </c>
      <c r="F3" s="3">
        <v>43251</v>
      </c>
      <c r="G3" s="3">
        <v>43281</v>
      </c>
      <c r="H3" s="3">
        <v>43312</v>
      </c>
      <c r="I3" s="3">
        <v>43343</v>
      </c>
      <c r="J3" s="3">
        <v>43373</v>
      </c>
      <c r="K3" s="3">
        <v>43404</v>
      </c>
      <c r="L3" s="3">
        <v>43434</v>
      </c>
      <c r="M3" s="3">
        <v>43465</v>
      </c>
      <c r="N3" s="4" t="s">
        <v>1</v>
      </c>
      <c r="P3" s="4" t="s">
        <v>2</v>
      </c>
      <c r="Q3" s="4" t="s">
        <v>3</v>
      </c>
    </row>
    <row r="4" spans="1:17" ht="15.75" thickBot="1" x14ac:dyDescent="0.3">
      <c r="A4" s="180" t="s">
        <v>4</v>
      </c>
      <c r="P4" s="4" t="s">
        <v>5</v>
      </c>
      <c r="Q4" s="4" t="s">
        <v>6</v>
      </c>
    </row>
    <row r="5" spans="1:17" x14ac:dyDescent="0.25">
      <c r="A5" s="179" t="s">
        <v>7</v>
      </c>
      <c r="B5" s="5">
        <f t="shared" ref="B5:E6" si="0">+B103+B114</f>
        <v>154563428.67000002</v>
      </c>
      <c r="C5" s="5">
        <f t="shared" si="0"/>
        <v>109601727.78999999</v>
      </c>
      <c r="D5" s="5">
        <f>+D103+D114</f>
        <v>101069868.19</v>
      </c>
      <c r="E5" s="5">
        <f>+E103+E114</f>
        <v>92671539.059999987</v>
      </c>
      <c r="F5" s="5">
        <f>+F103+F114</f>
        <v>94258757.019999996</v>
      </c>
      <c r="G5" s="1">
        <f>G103+G114</f>
        <v>92781088.61999999</v>
      </c>
      <c r="H5" s="1">
        <f t="shared" ref="H5:M8" si="1">H103+H114</f>
        <v>0</v>
      </c>
      <c r="I5" s="1">
        <f>I103+I114</f>
        <v>0</v>
      </c>
      <c r="J5" s="1">
        <f t="shared" si="1"/>
        <v>0</v>
      </c>
      <c r="K5" s="1">
        <f>K103+K114</f>
        <v>0</v>
      </c>
      <c r="L5" s="1">
        <f t="shared" ref="L5:M5" si="2">L103+L114</f>
        <v>0</v>
      </c>
      <c r="M5" s="1">
        <f t="shared" si="2"/>
        <v>0</v>
      </c>
      <c r="N5" s="1">
        <f t="shared" ref="N5:N10" si="3">SUM(B5:M5)</f>
        <v>644946409.35000002</v>
      </c>
      <c r="P5" s="1">
        <f t="shared" ref="P5:P69" si="4">(N5-M5)/11</f>
        <v>58631491.759090908</v>
      </c>
      <c r="Q5" s="1">
        <f t="shared" ref="Q5:Q69" si="5">M5-P5</f>
        <v>-58631491.759090908</v>
      </c>
    </row>
    <row r="6" spans="1:17" x14ac:dyDescent="0.25">
      <c r="A6" s="179" t="s">
        <v>8</v>
      </c>
      <c r="B6" s="5">
        <f t="shared" si="0"/>
        <v>424529753.21999997</v>
      </c>
      <c r="C6" s="5">
        <f t="shared" si="0"/>
        <v>1212317398.3500001</v>
      </c>
      <c r="D6" s="5">
        <f>+D104+D115</f>
        <v>305312522.13</v>
      </c>
      <c r="E6" s="5">
        <f t="shared" si="0"/>
        <v>46941731.32</v>
      </c>
      <c r="F6" s="5">
        <f>+F104+F115</f>
        <v>115060805.22</v>
      </c>
      <c r="G6" s="1">
        <f>G104+G115</f>
        <v>260963733.31999999</v>
      </c>
      <c r="H6" s="1">
        <f t="shared" si="1"/>
        <v>0</v>
      </c>
      <c r="I6" s="1">
        <f t="shared" si="1"/>
        <v>0</v>
      </c>
      <c r="J6" s="1">
        <f t="shared" si="1"/>
        <v>0</v>
      </c>
      <c r="K6" s="1">
        <f t="shared" si="1"/>
        <v>0</v>
      </c>
      <c r="L6" s="1">
        <f t="shared" si="1"/>
        <v>0</v>
      </c>
      <c r="M6" s="1">
        <f t="shared" si="1"/>
        <v>0</v>
      </c>
      <c r="N6" s="1">
        <f t="shared" si="3"/>
        <v>2365125943.5600004</v>
      </c>
      <c r="P6" s="1">
        <f t="shared" si="4"/>
        <v>215011449.41454551</v>
      </c>
      <c r="Q6" s="1">
        <f t="shared" si="5"/>
        <v>-215011449.41454551</v>
      </c>
    </row>
    <row r="7" spans="1:17" x14ac:dyDescent="0.25">
      <c r="A7" s="179" t="s">
        <v>9</v>
      </c>
      <c r="B7" s="5">
        <f>B105+B116</f>
        <v>2884704.37</v>
      </c>
      <c r="C7" s="5">
        <f>C105+C116</f>
        <v>2596535.7200000002</v>
      </c>
      <c r="D7" s="5">
        <f>D105+D116</f>
        <v>622399.88</v>
      </c>
      <c r="E7" s="5">
        <f>E105+E116</f>
        <v>1945746.84</v>
      </c>
      <c r="F7" s="5">
        <f>F105+F116</f>
        <v>1927944.8</v>
      </c>
      <c r="G7" s="1">
        <f>G105+G116</f>
        <v>474866.98</v>
      </c>
      <c r="H7" s="1">
        <f t="shared" si="1"/>
        <v>0</v>
      </c>
      <c r="I7" s="1">
        <f t="shared" si="1"/>
        <v>0</v>
      </c>
      <c r="J7" s="1">
        <f t="shared" si="1"/>
        <v>0</v>
      </c>
      <c r="K7" s="1">
        <f t="shared" si="1"/>
        <v>0</v>
      </c>
      <c r="L7" s="1">
        <f t="shared" si="1"/>
        <v>0</v>
      </c>
      <c r="M7" s="1">
        <f t="shared" si="1"/>
        <v>0</v>
      </c>
      <c r="N7" s="1">
        <f t="shared" si="3"/>
        <v>10452198.59</v>
      </c>
      <c r="P7" s="1">
        <f t="shared" si="4"/>
        <v>950199.87181818183</v>
      </c>
      <c r="Q7" s="1">
        <f t="shared" si="5"/>
        <v>-950199.87181818183</v>
      </c>
    </row>
    <row r="8" spans="1:17" x14ac:dyDescent="0.25">
      <c r="A8" s="179" t="s">
        <v>10</v>
      </c>
      <c r="B8" s="5">
        <f>+B106</f>
        <v>3238349</v>
      </c>
      <c r="C8" s="5">
        <f>+C106</f>
        <v>1478660.42</v>
      </c>
      <c r="D8" s="5">
        <f>+D106+D117</f>
        <v>1427673</v>
      </c>
      <c r="E8" s="5">
        <f>+E106</f>
        <v>2167697.4500000002</v>
      </c>
      <c r="F8" s="5">
        <f>+F106</f>
        <v>847867.6</v>
      </c>
      <c r="G8" s="6">
        <f>G106+G117</f>
        <v>784960.5</v>
      </c>
      <c r="H8" s="6">
        <f t="shared" ref="H8" si="6">H106</f>
        <v>0</v>
      </c>
      <c r="I8" s="6">
        <f>I106+I117</f>
        <v>0</v>
      </c>
      <c r="J8" s="6">
        <f>J106+J117</f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1">
        <f t="shared" si="3"/>
        <v>9945207.9700000007</v>
      </c>
      <c r="P8" s="1">
        <f t="shared" si="4"/>
        <v>904109.81545454555</v>
      </c>
      <c r="Q8" s="1">
        <f t="shared" si="5"/>
        <v>-904109.81545454555</v>
      </c>
    </row>
    <row r="9" spans="1:17" x14ac:dyDescent="0.25">
      <c r="A9" s="179" t="s">
        <v>11</v>
      </c>
      <c r="B9" s="5">
        <f>+B110+B120</f>
        <v>85825</v>
      </c>
      <c r="C9" s="5">
        <f>+C110+C120</f>
        <v>579872.5</v>
      </c>
      <c r="D9" s="5">
        <f>+D110+D120</f>
        <v>108078.75</v>
      </c>
      <c r="E9" s="5">
        <f t="shared" ref="E9:M9" si="7">+E110+E120</f>
        <v>903549.14</v>
      </c>
      <c r="F9" s="5">
        <f>+F110+F120</f>
        <v>310999.59999999998</v>
      </c>
      <c r="G9" s="5">
        <f t="shared" si="7"/>
        <v>1246220.98</v>
      </c>
      <c r="H9" s="5">
        <f t="shared" si="7"/>
        <v>0</v>
      </c>
      <c r="I9" s="5">
        <f t="shared" si="7"/>
        <v>0</v>
      </c>
      <c r="J9" s="5">
        <f t="shared" si="7"/>
        <v>0</v>
      </c>
      <c r="K9" s="5">
        <f t="shared" si="7"/>
        <v>0</v>
      </c>
      <c r="L9" s="5">
        <f t="shared" si="7"/>
        <v>0</v>
      </c>
      <c r="M9" s="5">
        <f t="shared" si="7"/>
        <v>0</v>
      </c>
      <c r="N9" s="1">
        <f t="shared" si="3"/>
        <v>3234545.97</v>
      </c>
      <c r="P9" s="1">
        <f t="shared" si="4"/>
        <v>294049.63363636367</v>
      </c>
      <c r="Q9" s="1">
        <f t="shared" si="5"/>
        <v>-294049.63363636367</v>
      </c>
    </row>
    <row r="10" spans="1:17" x14ac:dyDescent="0.25">
      <c r="A10" s="179" t="s">
        <v>12</v>
      </c>
      <c r="B10" s="5"/>
      <c r="C10" s="5"/>
      <c r="D10" s="5"/>
      <c r="E10" s="5">
        <f>E121+E122</f>
        <v>292312.5</v>
      </c>
      <c r="F10" s="5">
        <f t="shared" ref="F10:M10" si="8">F121+F122</f>
        <v>0</v>
      </c>
      <c r="G10" s="5">
        <f t="shared" si="8"/>
        <v>1845</v>
      </c>
      <c r="H10" s="5">
        <f t="shared" si="8"/>
        <v>0</v>
      </c>
      <c r="I10" s="5">
        <f t="shared" si="8"/>
        <v>0</v>
      </c>
      <c r="J10" s="5">
        <f t="shared" si="8"/>
        <v>0</v>
      </c>
      <c r="K10" s="5">
        <f t="shared" si="8"/>
        <v>0</v>
      </c>
      <c r="L10" s="5">
        <f t="shared" si="8"/>
        <v>0</v>
      </c>
      <c r="M10" s="5">
        <f t="shared" si="8"/>
        <v>0</v>
      </c>
      <c r="N10" s="1">
        <f t="shared" si="3"/>
        <v>294157.5</v>
      </c>
      <c r="P10" s="1"/>
      <c r="Q10" s="1"/>
    </row>
    <row r="11" spans="1:17" x14ac:dyDescent="0.25">
      <c r="B11" s="8">
        <f>SUM(B5:B10)</f>
        <v>585302060.25999999</v>
      </c>
      <c r="C11" s="8">
        <f>SUM(C5:C10)</f>
        <v>1326574194.7800002</v>
      </c>
      <c r="D11" s="8">
        <f>SUM(D5:D10)</f>
        <v>408540541.94999999</v>
      </c>
      <c r="E11" s="9">
        <f>SUM(E5:E10)</f>
        <v>144922576.30999997</v>
      </c>
      <c r="F11" s="9">
        <f t="shared" ref="F11:M11" si="9">SUM(F5:F10)</f>
        <v>212406374.24000001</v>
      </c>
      <c r="G11" s="9">
        <f t="shared" si="9"/>
        <v>356252715.40000004</v>
      </c>
      <c r="H11" s="9">
        <f t="shared" si="9"/>
        <v>0</v>
      </c>
      <c r="I11" s="9">
        <f t="shared" si="9"/>
        <v>0</v>
      </c>
      <c r="J11" s="9">
        <f t="shared" si="9"/>
        <v>0</v>
      </c>
      <c r="K11" s="9">
        <f t="shared" si="9"/>
        <v>0</v>
      </c>
      <c r="L11" s="9">
        <f t="shared" si="9"/>
        <v>0</v>
      </c>
      <c r="M11" s="9">
        <f t="shared" si="9"/>
        <v>0</v>
      </c>
      <c r="N11" s="8">
        <f>SUM(N5:N10)</f>
        <v>3033998462.9400001</v>
      </c>
      <c r="P11" s="8">
        <f t="shared" si="4"/>
        <v>275818042.08545452</v>
      </c>
      <c r="Q11" s="8">
        <f t="shared" si="5"/>
        <v>-275818042.08545452</v>
      </c>
    </row>
    <row r="12" spans="1:17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P12" s="2">
        <f t="shared" si="4"/>
        <v>0</v>
      </c>
      <c r="Q12" s="2">
        <f t="shared" si="5"/>
        <v>0</v>
      </c>
    </row>
    <row r="13" spans="1:17" x14ac:dyDescent="0.25">
      <c r="A13" s="180" t="s"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P13" s="2">
        <f t="shared" si="4"/>
        <v>0</v>
      </c>
      <c r="Q13" s="2">
        <f t="shared" si="5"/>
        <v>0</v>
      </c>
    </row>
    <row r="14" spans="1:17" x14ac:dyDescent="0.25">
      <c r="A14" s="179" t="s">
        <v>14</v>
      </c>
      <c r="B14" s="5">
        <f t="shared" ref="B14:F17" si="10">+B127+B152+B159</f>
        <v>157842383.69</v>
      </c>
      <c r="C14" s="5">
        <f t="shared" si="10"/>
        <v>108846154.46000001</v>
      </c>
      <c r="D14" s="5">
        <f t="shared" si="10"/>
        <v>100906197.60999998</v>
      </c>
      <c r="E14" s="5">
        <f t="shared" si="10"/>
        <v>92373678.780000001</v>
      </c>
      <c r="F14" s="5">
        <f t="shared" si="10"/>
        <v>94255718.569999993</v>
      </c>
      <c r="G14" s="5">
        <f t="shared" ref="G14:M17" si="11">G127+G152+G159</f>
        <v>92265888.5</v>
      </c>
      <c r="H14" s="1">
        <f t="shared" si="11"/>
        <v>0</v>
      </c>
      <c r="I14" s="1">
        <f t="shared" si="11"/>
        <v>0</v>
      </c>
      <c r="J14" s="1">
        <f t="shared" si="11"/>
        <v>0</v>
      </c>
      <c r="K14" s="1">
        <f t="shared" si="11"/>
        <v>0</v>
      </c>
      <c r="L14" s="1">
        <f t="shared" si="11"/>
        <v>0</v>
      </c>
      <c r="M14" s="1">
        <f t="shared" si="11"/>
        <v>0</v>
      </c>
      <c r="N14" s="1">
        <f t="shared" ref="N14:N20" si="12">SUM(B14:M14)</f>
        <v>646490021.6099999</v>
      </c>
      <c r="P14" s="1">
        <f t="shared" si="4"/>
        <v>58771820.146363623</v>
      </c>
      <c r="Q14" s="1">
        <f t="shared" si="5"/>
        <v>-58771820.146363623</v>
      </c>
    </row>
    <row r="15" spans="1:17" x14ac:dyDescent="0.25">
      <c r="A15" s="179" t="s">
        <v>15</v>
      </c>
      <c r="B15" s="5">
        <f t="shared" si="10"/>
        <v>422465521.94999993</v>
      </c>
      <c r="C15" s="5">
        <f t="shared" si="10"/>
        <v>1215546261.6300001</v>
      </c>
      <c r="D15" s="5">
        <f t="shared" si="10"/>
        <v>305678068.99000001</v>
      </c>
      <c r="E15" s="5">
        <f t="shared" si="10"/>
        <v>48482029.219999999</v>
      </c>
      <c r="F15" s="5">
        <f t="shared" si="10"/>
        <v>116507251.69</v>
      </c>
      <c r="G15" s="5">
        <f t="shared" si="11"/>
        <v>262380283.97</v>
      </c>
      <c r="H15" s="1">
        <f t="shared" si="11"/>
        <v>0</v>
      </c>
      <c r="I15" s="1">
        <f t="shared" si="11"/>
        <v>0</v>
      </c>
      <c r="J15" s="1">
        <f t="shared" si="11"/>
        <v>0</v>
      </c>
      <c r="K15" s="1">
        <f t="shared" si="11"/>
        <v>0</v>
      </c>
      <c r="L15" s="1">
        <f t="shared" si="11"/>
        <v>0</v>
      </c>
      <c r="M15" s="1">
        <f t="shared" si="11"/>
        <v>0</v>
      </c>
      <c r="N15" s="1">
        <f t="shared" si="12"/>
        <v>2371059417.4499998</v>
      </c>
      <c r="P15" s="1">
        <f t="shared" si="4"/>
        <v>215550856.13181818</v>
      </c>
      <c r="Q15" s="1">
        <f t="shared" si="5"/>
        <v>-215550856.13181818</v>
      </c>
    </row>
    <row r="16" spans="1:17" x14ac:dyDescent="0.25">
      <c r="B16" s="5">
        <f t="shared" si="10"/>
        <v>2842624.1900000004</v>
      </c>
      <c r="C16" s="5">
        <f t="shared" si="10"/>
        <v>2535222.7399999998</v>
      </c>
      <c r="D16" s="5">
        <f t="shared" si="10"/>
        <v>618326.57000000007</v>
      </c>
      <c r="E16" s="5">
        <f t="shared" si="10"/>
        <v>1945380.79</v>
      </c>
      <c r="F16" s="5">
        <f t="shared" si="10"/>
        <v>2008835.22</v>
      </c>
      <c r="G16" s="5">
        <f t="shared" si="11"/>
        <v>484708.1</v>
      </c>
      <c r="H16" s="1">
        <f t="shared" si="11"/>
        <v>0</v>
      </c>
      <c r="I16" s="1">
        <f t="shared" si="11"/>
        <v>0</v>
      </c>
      <c r="J16" s="1">
        <f t="shared" si="11"/>
        <v>0</v>
      </c>
      <c r="K16" s="1">
        <f t="shared" si="11"/>
        <v>0</v>
      </c>
      <c r="L16" s="1">
        <f t="shared" si="11"/>
        <v>0</v>
      </c>
      <c r="M16" s="1">
        <f t="shared" si="11"/>
        <v>0</v>
      </c>
      <c r="N16" s="1">
        <f t="shared" si="12"/>
        <v>10435097.609999999</v>
      </c>
      <c r="P16" s="1">
        <f t="shared" si="4"/>
        <v>948645.23727272719</v>
      </c>
      <c r="Q16" s="1">
        <f t="shared" si="5"/>
        <v>-948645.23727272719</v>
      </c>
    </row>
    <row r="17" spans="1:17" x14ac:dyDescent="0.25">
      <c r="A17" s="179" t="s">
        <v>16</v>
      </c>
      <c r="B17" s="5">
        <f t="shared" si="10"/>
        <v>3972878.5</v>
      </c>
      <c r="C17" s="5">
        <f t="shared" si="10"/>
        <v>1516251.86</v>
      </c>
      <c r="D17" s="5">
        <f t="shared" si="10"/>
        <v>1446310.3</v>
      </c>
      <c r="E17" s="5">
        <f t="shared" si="10"/>
        <v>2111524.9700000002</v>
      </c>
      <c r="F17" s="5">
        <f t="shared" si="10"/>
        <v>836505.07000000007</v>
      </c>
      <c r="G17" s="5">
        <f t="shared" si="11"/>
        <v>759607.35</v>
      </c>
      <c r="H17" s="1">
        <f t="shared" si="11"/>
        <v>0</v>
      </c>
      <c r="I17" s="1">
        <f t="shared" si="11"/>
        <v>0</v>
      </c>
      <c r="J17" s="1">
        <f t="shared" si="11"/>
        <v>0</v>
      </c>
      <c r="K17" s="1">
        <f t="shared" si="11"/>
        <v>0</v>
      </c>
      <c r="L17" s="1">
        <f t="shared" si="11"/>
        <v>0</v>
      </c>
      <c r="M17" s="1">
        <f t="shared" si="11"/>
        <v>0</v>
      </c>
      <c r="N17" s="1">
        <f t="shared" si="12"/>
        <v>10643078.050000001</v>
      </c>
      <c r="P17" s="1">
        <f t="shared" si="4"/>
        <v>967552.55</v>
      </c>
      <c r="Q17" s="1">
        <f t="shared" si="5"/>
        <v>-967552.55</v>
      </c>
    </row>
    <row r="18" spans="1:17" x14ac:dyDescent="0.25">
      <c r="A18" s="179" t="s">
        <v>17</v>
      </c>
      <c r="B18" s="5">
        <f>+B133+B168</f>
        <v>103200.43</v>
      </c>
      <c r="C18" s="5">
        <f>+C133+C168</f>
        <v>557565.63</v>
      </c>
      <c r="D18" s="5">
        <f>+D133+D168</f>
        <v>104546.19</v>
      </c>
      <c r="E18" s="5">
        <f>+E133+E168</f>
        <v>891459.31</v>
      </c>
      <c r="F18" s="5">
        <f>+F133+F168</f>
        <v>468362.63</v>
      </c>
      <c r="G18" s="5">
        <f>G133+G168+G157</f>
        <v>1064241.21</v>
      </c>
      <c r="H18" s="1">
        <f t="shared" ref="H18:M18" si="13">H133+H168</f>
        <v>0</v>
      </c>
      <c r="I18" s="1">
        <f t="shared" si="13"/>
        <v>0</v>
      </c>
      <c r="J18" s="1">
        <f t="shared" si="13"/>
        <v>0</v>
      </c>
      <c r="K18" s="1">
        <f t="shared" si="13"/>
        <v>0</v>
      </c>
      <c r="L18" s="1">
        <f t="shared" si="13"/>
        <v>0</v>
      </c>
      <c r="M18" s="1">
        <f t="shared" si="13"/>
        <v>0</v>
      </c>
      <c r="N18" s="1">
        <f t="shared" si="12"/>
        <v>3189375.4</v>
      </c>
      <c r="P18" s="1">
        <f t="shared" si="4"/>
        <v>289943.2181818182</v>
      </c>
      <c r="Q18" s="1">
        <f t="shared" si="5"/>
        <v>-289943.2181818182</v>
      </c>
    </row>
    <row r="19" spans="1:17" x14ac:dyDescent="0.25">
      <c r="A19" s="179" t="s">
        <v>433</v>
      </c>
      <c r="B19" s="5"/>
      <c r="C19" s="5"/>
      <c r="D19" s="5"/>
      <c r="E19" s="5"/>
      <c r="F19" s="5">
        <f>F131</f>
        <v>72</v>
      </c>
      <c r="G19" s="5"/>
      <c r="H19" s="1"/>
      <c r="I19" s="1"/>
      <c r="J19" s="1"/>
      <c r="K19" s="1"/>
      <c r="L19" s="1"/>
      <c r="M19" s="1"/>
      <c r="N19" s="1">
        <f t="shared" si="12"/>
        <v>72</v>
      </c>
      <c r="P19" s="1"/>
      <c r="Q19" s="1"/>
    </row>
    <row r="20" spans="1:17" x14ac:dyDescent="0.25">
      <c r="A20" s="179" t="s">
        <v>12</v>
      </c>
      <c r="B20" s="5"/>
      <c r="C20" s="5"/>
      <c r="D20" s="5"/>
      <c r="E20" s="5">
        <f>E179+E180</f>
        <v>180989.71000000002</v>
      </c>
      <c r="F20" s="5">
        <f t="shared" ref="F20:M20" si="14">F179+F180</f>
        <v>-0.02</v>
      </c>
      <c r="G20" s="5">
        <f>G179+G180+G182+G181</f>
        <v>1208.02</v>
      </c>
      <c r="H20" s="5">
        <f t="shared" si="14"/>
        <v>0</v>
      </c>
      <c r="I20" s="5">
        <f t="shared" si="14"/>
        <v>0</v>
      </c>
      <c r="J20" s="5">
        <f t="shared" si="14"/>
        <v>0</v>
      </c>
      <c r="K20" s="5">
        <f t="shared" si="14"/>
        <v>0</v>
      </c>
      <c r="L20" s="5">
        <f t="shared" si="14"/>
        <v>0</v>
      </c>
      <c r="M20" s="5">
        <f t="shared" si="14"/>
        <v>0</v>
      </c>
      <c r="N20" s="1">
        <f t="shared" si="12"/>
        <v>182197.71000000002</v>
      </c>
      <c r="P20" s="1"/>
      <c r="Q20" s="1"/>
    </row>
    <row r="21" spans="1:17" x14ac:dyDescent="0.25">
      <c r="C21" s="1"/>
      <c r="D21" s="1"/>
      <c r="E21" s="10"/>
      <c r="F21" s="10"/>
      <c r="G21" s="10"/>
      <c r="H21" s="1"/>
      <c r="I21" s="1"/>
      <c r="J21" s="1"/>
      <c r="K21" s="1"/>
      <c r="L21" s="1"/>
      <c r="M21" s="1"/>
      <c r="N21" s="11"/>
      <c r="P21" s="11">
        <f t="shared" si="4"/>
        <v>0</v>
      </c>
      <c r="Q21" s="11">
        <f t="shared" si="5"/>
        <v>0</v>
      </c>
    </row>
    <row r="22" spans="1:17" x14ac:dyDescent="0.25">
      <c r="A22" s="179" t="s">
        <v>18</v>
      </c>
      <c r="B22" s="5">
        <f>B148+B143</f>
        <v>-4303584.0399999917</v>
      </c>
      <c r="C22" s="5">
        <f>C148+C143</f>
        <v>-230168.78000000119</v>
      </c>
      <c r="D22" s="5">
        <f>D148+D143</f>
        <v>-102046.03999999166</v>
      </c>
      <c r="E22" s="13">
        <f>E148+E143</f>
        <v>14781.879999995232</v>
      </c>
      <c r="F22" s="13">
        <f>F148+F143</f>
        <v>98279.520000003278</v>
      </c>
      <c r="G22" s="13">
        <f t="shared" ref="G22:M22" si="15">G143+G148</f>
        <v>426672.62000000477</v>
      </c>
      <c r="H22" s="1">
        <f t="shared" si="15"/>
        <v>0</v>
      </c>
      <c r="I22" s="1">
        <f t="shared" si="15"/>
        <v>0</v>
      </c>
      <c r="J22" s="1">
        <f t="shared" si="15"/>
        <v>0</v>
      </c>
      <c r="K22" s="1">
        <f t="shared" si="15"/>
        <v>0</v>
      </c>
      <c r="L22" s="1">
        <f t="shared" si="15"/>
        <v>0</v>
      </c>
      <c r="M22" s="1">
        <f t="shared" si="15"/>
        <v>0</v>
      </c>
      <c r="N22" s="1">
        <f>SUM(B22:M22)</f>
        <v>-4096064.8399999812</v>
      </c>
      <c r="P22" s="1">
        <f t="shared" si="4"/>
        <v>-372369.5309090892</v>
      </c>
      <c r="Q22" s="1">
        <f t="shared" si="5"/>
        <v>372369.5309090892</v>
      </c>
    </row>
    <row r="23" spans="1:17" x14ac:dyDescent="0.25">
      <c r="A23" s="179" t="s">
        <v>19</v>
      </c>
      <c r="B23" s="5">
        <f t="shared" ref="B23:M23" si="16">B149+B156</f>
        <v>-198311.54999999702</v>
      </c>
      <c r="C23" s="5">
        <f t="shared" si="16"/>
        <v>-141071.81000000052</v>
      </c>
      <c r="D23" s="5">
        <f t="shared" si="16"/>
        <v>73914.890000000596</v>
      </c>
      <c r="E23" s="5">
        <f t="shared" si="16"/>
        <v>442679.44999998808</v>
      </c>
      <c r="F23" s="5">
        <f>F149+F156</f>
        <v>682167.71000003815</v>
      </c>
      <c r="G23" s="5">
        <f t="shared" si="16"/>
        <v>1346835.4100000858</v>
      </c>
      <c r="H23" s="1">
        <f t="shared" si="16"/>
        <v>0</v>
      </c>
      <c r="I23" s="1">
        <f t="shared" si="16"/>
        <v>0</v>
      </c>
      <c r="J23" s="1">
        <f t="shared" si="16"/>
        <v>0</v>
      </c>
      <c r="K23" s="1">
        <f t="shared" si="16"/>
        <v>0</v>
      </c>
      <c r="L23" s="1">
        <f t="shared" si="16"/>
        <v>0</v>
      </c>
      <c r="M23" s="1">
        <f t="shared" si="16"/>
        <v>0</v>
      </c>
      <c r="N23" s="1">
        <f>SUM(B23:M23)</f>
        <v>2206214.1000001151</v>
      </c>
      <c r="P23" s="1">
        <f t="shared" si="4"/>
        <v>200564.91818182866</v>
      </c>
      <c r="Q23" s="1">
        <f t="shared" si="5"/>
        <v>-200564.91818182866</v>
      </c>
    </row>
    <row r="24" spans="1:17" x14ac:dyDescent="0.25">
      <c r="A24" s="179" t="s">
        <v>20</v>
      </c>
      <c r="B24" s="5">
        <f t="shared" ref="B24:M24" si="17">B150+B158</f>
        <v>-28077.910000000033</v>
      </c>
      <c r="C24" s="5">
        <f t="shared" si="17"/>
        <v>-41342.620000000112</v>
      </c>
      <c r="D24" s="5">
        <f t="shared" si="17"/>
        <v>-28127.939999999944</v>
      </c>
      <c r="E24" s="12">
        <f t="shared" si="17"/>
        <v>1048.5499999999884</v>
      </c>
      <c r="F24" s="12">
        <f t="shared" si="17"/>
        <v>13526.869999999995</v>
      </c>
      <c r="G24" s="12">
        <f t="shared" si="17"/>
        <v>28752.459999999963</v>
      </c>
      <c r="H24" s="1">
        <f t="shared" si="17"/>
        <v>0</v>
      </c>
      <c r="I24" s="1">
        <f t="shared" si="17"/>
        <v>0</v>
      </c>
      <c r="J24" s="1">
        <f t="shared" si="17"/>
        <v>0</v>
      </c>
      <c r="K24" s="1">
        <f t="shared" si="17"/>
        <v>0</v>
      </c>
      <c r="L24" s="1">
        <f t="shared" si="17"/>
        <v>0</v>
      </c>
      <c r="M24" s="1">
        <f t="shared" si="17"/>
        <v>0</v>
      </c>
      <c r="N24" s="1">
        <f>SUM(B24:M24)</f>
        <v>-54220.590000000142</v>
      </c>
      <c r="P24" s="1">
        <f t="shared" si="4"/>
        <v>-4929.1445454545583</v>
      </c>
      <c r="Q24" s="1">
        <f t="shared" si="5"/>
        <v>4929.1445454545583</v>
      </c>
    </row>
    <row r="25" spans="1:17" x14ac:dyDescent="0.25">
      <c r="A25" s="179" t="s">
        <v>21</v>
      </c>
      <c r="B25" s="5">
        <f>B151+B163</f>
        <v>-17915.510000000009</v>
      </c>
      <c r="C25" s="5">
        <f>C151+C163</f>
        <v>0</v>
      </c>
      <c r="D25" s="5">
        <f>D151+D163</f>
        <v>-35497.39</v>
      </c>
      <c r="E25" s="12">
        <f t="shared" ref="E25:J25" si="18">E151+E163</f>
        <v>2061.8000000000466</v>
      </c>
      <c r="F25" s="12">
        <f>F151+F163</f>
        <v>0</v>
      </c>
      <c r="G25" s="12">
        <f t="shared" si="18"/>
        <v>0</v>
      </c>
      <c r="H25" s="1">
        <f t="shared" si="18"/>
        <v>0</v>
      </c>
      <c r="I25" s="1">
        <f t="shared" si="18"/>
        <v>0</v>
      </c>
      <c r="J25" s="1">
        <f t="shared" si="18"/>
        <v>0</v>
      </c>
      <c r="K25" s="1">
        <f>K151+K163</f>
        <v>0</v>
      </c>
      <c r="L25" s="1">
        <f>L151+L163</f>
        <v>0</v>
      </c>
      <c r="M25" s="1">
        <f>M151+M163</f>
        <v>0</v>
      </c>
      <c r="N25" s="1">
        <f>SUM(B25:M25)</f>
        <v>-51351.099999999962</v>
      </c>
      <c r="P25" s="1">
        <f t="shared" si="4"/>
        <v>-4668.2818181818147</v>
      </c>
      <c r="Q25" s="1">
        <f t="shared" si="5"/>
        <v>4668.2818181818147</v>
      </c>
    </row>
    <row r="26" spans="1:17" x14ac:dyDescent="0.25">
      <c r="C26" s="1"/>
      <c r="D26" s="1"/>
      <c r="E26" s="10"/>
      <c r="F26" s="10"/>
      <c r="G26" s="10"/>
      <c r="H26" s="1"/>
      <c r="I26" s="1"/>
      <c r="J26" s="1"/>
      <c r="K26" s="1"/>
      <c r="L26" s="1"/>
      <c r="M26" s="1"/>
      <c r="N26" s="11"/>
      <c r="P26" s="11">
        <f t="shared" si="4"/>
        <v>0</v>
      </c>
      <c r="Q26" s="11">
        <f t="shared" si="5"/>
        <v>0</v>
      </c>
    </row>
    <row r="27" spans="1:17" x14ac:dyDescent="0.25">
      <c r="A27" s="179" t="s">
        <v>22</v>
      </c>
      <c r="B27" s="5">
        <f t="shared" ref="B27:M29" si="19">B139+B144</f>
        <v>-1451390.0700000077</v>
      </c>
      <c r="C27" s="5">
        <f t="shared" si="19"/>
        <v>-14017.5</v>
      </c>
      <c r="D27" s="5">
        <f t="shared" si="19"/>
        <v>-649600</v>
      </c>
      <c r="E27" s="5">
        <f t="shared" si="19"/>
        <v>339010</v>
      </c>
      <c r="F27" s="5">
        <f>F139+F144</f>
        <v>92680</v>
      </c>
      <c r="G27" s="5">
        <f t="shared" si="19"/>
        <v>525780</v>
      </c>
      <c r="H27" s="1">
        <f t="shared" si="19"/>
        <v>0</v>
      </c>
      <c r="I27" s="1">
        <f t="shared" si="19"/>
        <v>0</v>
      </c>
      <c r="J27" s="1">
        <f t="shared" si="19"/>
        <v>0</v>
      </c>
      <c r="K27" s="1">
        <f t="shared" si="19"/>
        <v>0</v>
      </c>
      <c r="L27" s="1">
        <f t="shared" si="19"/>
        <v>0</v>
      </c>
      <c r="M27" s="1">
        <f t="shared" si="19"/>
        <v>0</v>
      </c>
      <c r="N27" s="1">
        <f>SUM(B27:M27)</f>
        <v>-1157537.5700000077</v>
      </c>
      <c r="P27" s="1">
        <f t="shared" si="4"/>
        <v>-105230.68818181888</v>
      </c>
      <c r="Q27" s="1">
        <f t="shared" si="5"/>
        <v>105230.68818181888</v>
      </c>
    </row>
    <row r="28" spans="1:17" x14ac:dyDescent="0.25">
      <c r="A28" s="179" t="s">
        <v>23</v>
      </c>
      <c r="B28" s="5">
        <f t="shared" si="19"/>
        <v>287951.64999999851</v>
      </c>
      <c r="C28" s="5">
        <f t="shared" si="19"/>
        <v>-4461877.3100000024</v>
      </c>
      <c r="D28" s="5">
        <f t="shared" si="19"/>
        <v>67555.530000001192</v>
      </c>
      <c r="E28" s="12">
        <f t="shared" si="19"/>
        <v>-3414426</v>
      </c>
      <c r="F28" s="12">
        <f>F140+F145</f>
        <v>-28165.459999993443</v>
      </c>
      <c r="G28" s="12">
        <f t="shared" si="19"/>
        <v>-6775542</v>
      </c>
      <c r="H28" s="1">
        <f t="shared" si="19"/>
        <v>0</v>
      </c>
      <c r="I28" s="1">
        <f t="shared" si="19"/>
        <v>0</v>
      </c>
      <c r="J28" s="1">
        <f t="shared" si="19"/>
        <v>0</v>
      </c>
      <c r="K28" s="1">
        <f t="shared" si="19"/>
        <v>0</v>
      </c>
      <c r="L28" s="1">
        <f t="shared" si="19"/>
        <v>0</v>
      </c>
      <c r="M28" s="1">
        <f t="shared" si="19"/>
        <v>0</v>
      </c>
      <c r="N28" s="1">
        <f>SUM(B28:M28)</f>
        <v>-14324503.589999996</v>
      </c>
      <c r="P28" s="1">
        <f t="shared" si="4"/>
        <v>-1302227.5990909087</v>
      </c>
      <c r="Q28" s="1">
        <f t="shared" si="5"/>
        <v>1302227.5990909087</v>
      </c>
    </row>
    <row r="29" spans="1:17" x14ac:dyDescent="0.25">
      <c r="A29" s="179" t="s">
        <v>24</v>
      </c>
      <c r="B29" s="5">
        <f t="shared" si="19"/>
        <v>0</v>
      </c>
      <c r="C29" s="5">
        <f t="shared" si="19"/>
        <v>4535</v>
      </c>
      <c r="D29" s="5">
        <f t="shared" si="19"/>
        <v>-3890</v>
      </c>
      <c r="E29" s="12">
        <f>E141+E146</f>
        <v>-555</v>
      </c>
      <c r="F29" s="12">
        <f>F141+F146</f>
        <v>0</v>
      </c>
      <c r="G29" s="12">
        <f t="shared" ref="G29:M30" si="20">G146+G141</f>
        <v>1775</v>
      </c>
      <c r="H29" s="1">
        <f t="shared" si="20"/>
        <v>0</v>
      </c>
      <c r="I29" s="1">
        <f t="shared" si="20"/>
        <v>0</v>
      </c>
      <c r="J29" s="1">
        <f t="shared" si="20"/>
        <v>0</v>
      </c>
      <c r="K29" s="1">
        <f t="shared" si="20"/>
        <v>0</v>
      </c>
      <c r="L29" s="1">
        <f t="shared" si="20"/>
        <v>0</v>
      </c>
      <c r="M29" s="1">
        <f t="shared" si="20"/>
        <v>0</v>
      </c>
      <c r="N29" s="1">
        <f>SUM(B29:M29)</f>
        <v>1865</v>
      </c>
      <c r="P29" s="1">
        <f t="shared" si="4"/>
        <v>169.54545454545453</v>
      </c>
      <c r="Q29" s="1">
        <f t="shared" si="5"/>
        <v>-169.54545454545453</v>
      </c>
    </row>
    <row r="30" spans="1:17" x14ac:dyDescent="0.25">
      <c r="A30" s="179" t="s">
        <v>25</v>
      </c>
      <c r="B30" s="1">
        <v>0</v>
      </c>
      <c r="C30" s="1">
        <v>0</v>
      </c>
      <c r="D30" s="1">
        <v>0</v>
      </c>
      <c r="E30" s="14">
        <v>0</v>
      </c>
      <c r="F30" s="14">
        <f>F142+F147</f>
        <v>0</v>
      </c>
      <c r="G30" s="14">
        <v>0</v>
      </c>
      <c r="H30" s="1">
        <f t="shared" si="20"/>
        <v>0</v>
      </c>
      <c r="I30" s="1">
        <f t="shared" si="20"/>
        <v>0</v>
      </c>
      <c r="J30" s="1">
        <f t="shared" si="20"/>
        <v>0</v>
      </c>
      <c r="K30" s="1">
        <f t="shared" si="20"/>
        <v>0</v>
      </c>
      <c r="L30" s="1">
        <f t="shared" si="20"/>
        <v>0</v>
      </c>
      <c r="M30" s="1">
        <f t="shared" si="20"/>
        <v>0</v>
      </c>
      <c r="N30" s="1">
        <f>SUM(B30:M30)</f>
        <v>0</v>
      </c>
      <c r="P30" s="1">
        <f t="shared" si="4"/>
        <v>0</v>
      </c>
      <c r="Q30" s="1">
        <f t="shared" si="5"/>
        <v>0</v>
      </c>
    </row>
    <row r="31" spans="1:17" x14ac:dyDescent="0.25">
      <c r="C31" s="1"/>
      <c r="D31" s="1"/>
      <c r="E31" s="10"/>
      <c r="F31" s="10"/>
      <c r="G31" s="10"/>
      <c r="H31" s="1"/>
      <c r="I31" s="1"/>
      <c r="J31" s="1"/>
      <c r="K31" s="1"/>
      <c r="L31" s="1"/>
      <c r="M31" s="1"/>
      <c r="N31" s="11"/>
      <c r="P31" s="11">
        <f t="shared" si="4"/>
        <v>0</v>
      </c>
      <c r="Q31" s="11">
        <f t="shared" si="5"/>
        <v>0</v>
      </c>
    </row>
    <row r="32" spans="1:17" x14ac:dyDescent="0.25">
      <c r="A32" s="179" t="s">
        <v>26</v>
      </c>
      <c r="B32" s="1">
        <f>+B169</f>
        <v>2910296.13</v>
      </c>
      <c r="C32" s="1">
        <f>+C169</f>
        <v>1651163.39</v>
      </c>
      <c r="D32" s="1">
        <f t="shared" ref="D32:M32" si="21">+D169</f>
        <v>-414097.59</v>
      </c>
      <c r="E32" s="14">
        <f t="shared" si="21"/>
        <v>959937.83</v>
      </c>
      <c r="F32" s="14">
        <f>+F169</f>
        <v>-3014399.59</v>
      </c>
      <c r="G32" s="14">
        <f t="shared" si="21"/>
        <v>3160990.11</v>
      </c>
      <c r="H32" s="1">
        <f t="shared" si="21"/>
        <v>0</v>
      </c>
      <c r="I32" s="1">
        <f t="shared" si="21"/>
        <v>0</v>
      </c>
      <c r="J32" s="1">
        <f t="shared" si="21"/>
        <v>0</v>
      </c>
      <c r="K32" s="1">
        <f>+K169</f>
        <v>0</v>
      </c>
      <c r="L32" s="1">
        <f t="shared" si="21"/>
        <v>0</v>
      </c>
      <c r="M32" s="1">
        <f t="shared" si="21"/>
        <v>0</v>
      </c>
      <c r="N32" s="1">
        <f>SUM(B32:M32)</f>
        <v>5253890.2799999993</v>
      </c>
      <c r="P32" s="1">
        <f t="shared" si="4"/>
        <v>477626.38909090904</v>
      </c>
      <c r="Q32" s="1">
        <f t="shared" si="5"/>
        <v>-477626.38909090904</v>
      </c>
    </row>
    <row r="33" spans="1:17" x14ac:dyDescent="0.25">
      <c r="A33" s="179" t="s">
        <v>27</v>
      </c>
      <c r="B33" s="5">
        <f>B165</f>
        <v>2682.05</v>
      </c>
      <c r="C33" s="5">
        <f>C165</f>
        <v>-1617.38</v>
      </c>
      <c r="D33" s="5">
        <f>D165</f>
        <v>5756.07</v>
      </c>
      <c r="E33" s="5">
        <f t="shared" ref="E33:K33" si="22">E165</f>
        <v>9048.32</v>
      </c>
      <c r="F33" s="5">
        <f>F165</f>
        <v>11168.19</v>
      </c>
      <c r="G33" s="5">
        <f t="shared" si="22"/>
        <v>3721.59</v>
      </c>
      <c r="H33" s="1">
        <f t="shared" si="22"/>
        <v>0</v>
      </c>
      <c r="I33" s="1">
        <f t="shared" si="22"/>
        <v>0</v>
      </c>
      <c r="J33" s="1">
        <f t="shared" si="22"/>
        <v>0</v>
      </c>
      <c r="K33" s="1">
        <f t="shared" si="22"/>
        <v>0</v>
      </c>
      <c r="L33" s="1">
        <f>L165</f>
        <v>0</v>
      </c>
      <c r="M33" s="1">
        <f>M165</f>
        <v>0</v>
      </c>
      <c r="N33" s="1">
        <f>SUM(B33:M33)</f>
        <v>30758.84</v>
      </c>
      <c r="P33" s="1">
        <f t="shared" si="4"/>
        <v>2796.258181818182</v>
      </c>
      <c r="Q33" s="1">
        <f t="shared" si="5"/>
        <v>-2796.258181818182</v>
      </c>
    </row>
    <row r="34" spans="1:17" x14ac:dyDescent="0.25">
      <c r="A34" s="179" t="s">
        <v>28</v>
      </c>
      <c r="B34" s="8">
        <f t="shared" ref="B34:N34" si="23">SUM(B14:B33)</f>
        <v>584428259.50999987</v>
      </c>
      <c r="C34" s="8">
        <f t="shared" si="23"/>
        <v>1325767059.3100004</v>
      </c>
      <c r="D34" s="8">
        <f t="shared" si="23"/>
        <v>407667417.19000006</v>
      </c>
      <c r="E34" s="8">
        <f t="shared" si="23"/>
        <v>144338649.61000001</v>
      </c>
      <c r="F34" s="8">
        <f t="shared" si="23"/>
        <v>211932002.40000001</v>
      </c>
      <c r="G34" s="8">
        <f t="shared" si="23"/>
        <v>355674922.34000009</v>
      </c>
      <c r="H34" s="8">
        <f t="shared" si="23"/>
        <v>0</v>
      </c>
      <c r="I34" s="8">
        <f t="shared" si="23"/>
        <v>0</v>
      </c>
      <c r="J34" s="8">
        <f t="shared" si="23"/>
        <v>0</v>
      </c>
      <c r="K34" s="8">
        <f t="shared" si="23"/>
        <v>0</v>
      </c>
      <c r="L34" s="8">
        <f t="shared" si="23"/>
        <v>0</v>
      </c>
      <c r="M34" s="8">
        <f t="shared" si="23"/>
        <v>0</v>
      </c>
      <c r="N34" s="8">
        <f t="shared" si="23"/>
        <v>3029808310.3599997</v>
      </c>
      <c r="P34" s="8">
        <f t="shared" si="4"/>
        <v>275437119.12363631</v>
      </c>
      <c r="Q34" s="8">
        <f t="shared" si="5"/>
        <v>-275437119.12363631</v>
      </c>
    </row>
    <row r="35" spans="1:17" ht="24" customHeight="1" thickBot="1" x14ac:dyDescent="0.3">
      <c r="A35" s="181" t="s">
        <v>29</v>
      </c>
      <c r="B35" s="15">
        <f t="shared" ref="B35:N35" si="24">+B11-B34</f>
        <v>873800.75000011921</v>
      </c>
      <c r="C35" s="15">
        <f t="shared" si="24"/>
        <v>807135.46999979019</v>
      </c>
      <c r="D35" s="15">
        <f t="shared" si="24"/>
        <v>873124.75999993086</v>
      </c>
      <c r="E35" s="15">
        <f t="shared" si="24"/>
        <v>583926.69999995828</v>
      </c>
      <c r="F35" s="15">
        <f t="shared" si="24"/>
        <v>474371.84000000358</v>
      </c>
      <c r="G35" s="15">
        <f t="shared" si="24"/>
        <v>577793.05999994278</v>
      </c>
      <c r="H35" s="15">
        <f t="shared" si="24"/>
        <v>0</v>
      </c>
      <c r="I35" s="15">
        <f t="shared" si="24"/>
        <v>0</v>
      </c>
      <c r="J35" s="15">
        <f t="shared" si="24"/>
        <v>0</v>
      </c>
      <c r="K35" s="15">
        <f t="shared" si="24"/>
        <v>0</v>
      </c>
      <c r="L35" s="15">
        <f t="shared" si="24"/>
        <v>0</v>
      </c>
      <c r="M35" s="15">
        <f t="shared" si="24"/>
        <v>0</v>
      </c>
      <c r="N35" s="15">
        <f t="shared" si="24"/>
        <v>4190152.5800004005</v>
      </c>
      <c r="P35" s="15">
        <f t="shared" si="4"/>
        <v>380922.96181821823</v>
      </c>
      <c r="Q35" s="15">
        <f t="shared" si="5"/>
        <v>-380922.96181821823</v>
      </c>
    </row>
    <row r="36" spans="1:17" ht="24" customHeight="1" thickTop="1" x14ac:dyDescent="0.25">
      <c r="B36" s="16">
        <f>+B35/B11</f>
        <v>1.4929056453550902E-3</v>
      </c>
      <c r="C36" s="16">
        <f t="shared" ref="C36:N36" si="25">+C35/C11</f>
        <v>6.0843597981615036E-4</v>
      </c>
      <c r="D36" s="16">
        <f t="shared" si="25"/>
        <v>2.137180206969006E-3</v>
      </c>
      <c r="E36" s="16">
        <f t="shared" si="25"/>
        <v>4.029232124268178E-3</v>
      </c>
      <c r="F36" s="16">
        <f t="shared" si="25"/>
        <v>2.233322053998277E-3</v>
      </c>
      <c r="G36" s="16">
        <f t="shared" si="25"/>
        <v>1.6218628940166744E-3</v>
      </c>
      <c r="H36" s="16" t="e">
        <f t="shared" si="25"/>
        <v>#DIV/0!</v>
      </c>
      <c r="I36" s="16" t="e">
        <f t="shared" si="25"/>
        <v>#DIV/0!</v>
      </c>
      <c r="J36" s="16" t="e">
        <f t="shared" si="25"/>
        <v>#DIV/0!</v>
      </c>
      <c r="K36" s="16" t="e">
        <f t="shared" si="25"/>
        <v>#DIV/0!</v>
      </c>
      <c r="L36" s="16" t="e">
        <f t="shared" si="25"/>
        <v>#DIV/0!</v>
      </c>
      <c r="M36" s="16" t="e">
        <f>+M35/M11</f>
        <v>#DIV/0!</v>
      </c>
      <c r="N36" s="16">
        <f t="shared" si="25"/>
        <v>1.3810661512135593E-3</v>
      </c>
      <c r="P36" s="16" t="e">
        <f t="shared" si="4"/>
        <v>#DIV/0!</v>
      </c>
      <c r="Q36" s="16" t="e">
        <f t="shared" si="5"/>
        <v>#DIV/0!</v>
      </c>
    </row>
    <row r="37" spans="1:17" ht="24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P37" s="6">
        <f t="shared" si="4"/>
        <v>0</v>
      </c>
      <c r="Q37" s="6">
        <f t="shared" si="5"/>
        <v>0</v>
      </c>
    </row>
    <row r="38" spans="1:17" s="17" customFormat="1" x14ac:dyDescent="0.25">
      <c r="A38" s="182" t="s">
        <v>30</v>
      </c>
      <c r="B38" s="6">
        <f>'[3]Comparison 2017-2018'!$G$30</f>
        <v>885928.51408513961</v>
      </c>
      <c r="C38" s="6">
        <f>'[3]Comparison 2017-2018'!$G$54</f>
        <v>681928.29401690571</v>
      </c>
      <c r="D38" s="6">
        <f>'[3]Comparison 2017-2018'!$G$80</f>
        <v>674363.71418699983</v>
      </c>
      <c r="E38" s="6">
        <f>'[3]Comparison 2017-2018'!$G$105</f>
        <v>655611.34502510389</v>
      </c>
      <c r="F38" s="6">
        <v>538671.68000000005</v>
      </c>
      <c r="G38" s="6">
        <f>'[3]Comparison 2017-2018'!$G$155</f>
        <v>704133.82690028625</v>
      </c>
      <c r="H38" s="6"/>
      <c r="I38" s="6"/>
      <c r="J38" s="6"/>
      <c r="K38" s="6"/>
      <c r="L38" s="6"/>
      <c r="M38" s="6"/>
      <c r="N38" s="1">
        <f t="shared" ref="N38:N44" si="26">SUM(B38:M38)</f>
        <v>4140637.3742144355</v>
      </c>
      <c r="P38" s="1">
        <f t="shared" si="4"/>
        <v>376421.57947403961</v>
      </c>
      <c r="Q38" s="1">
        <f t="shared" si="5"/>
        <v>-376421.57947403961</v>
      </c>
    </row>
    <row r="39" spans="1:17" s="17" customFormat="1" x14ac:dyDescent="0.25">
      <c r="A39" s="182" t="s">
        <v>31</v>
      </c>
      <c r="B39" s="6">
        <f>11347.91+1307.73</f>
        <v>12655.64</v>
      </c>
      <c r="C39" s="6">
        <f>2264.54+222.6</f>
        <v>2487.14</v>
      </c>
      <c r="D39" s="6">
        <f>3529.42+2652.3</f>
        <v>6181.72</v>
      </c>
      <c r="E39" s="6">
        <f>1899.66+1105.7</f>
        <v>3005.36</v>
      </c>
      <c r="F39" s="6">
        <v>3451.23</v>
      </c>
      <c r="G39" s="6">
        <f>1519.77+2478.24</f>
        <v>3998.0099999999998</v>
      </c>
      <c r="H39" s="6"/>
      <c r="I39" s="6"/>
      <c r="J39" s="6"/>
      <c r="K39" s="6"/>
      <c r="L39" s="6"/>
      <c r="M39" s="6"/>
      <c r="N39" s="1">
        <f t="shared" si="26"/>
        <v>31779.1</v>
      </c>
      <c r="P39" s="1">
        <f t="shared" si="4"/>
        <v>2889.0090909090909</v>
      </c>
      <c r="Q39" s="1">
        <f t="shared" si="5"/>
        <v>-2889.0090909090909</v>
      </c>
    </row>
    <row r="40" spans="1:17" s="17" customFormat="1" x14ac:dyDescent="0.25">
      <c r="A40" s="182" t="s">
        <v>32</v>
      </c>
      <c r="B40" s="6">
        <f>'[4]Monthly Summary'!$B$6</f>
        <v>51934.229999999996</v>
      </c>
      <c r="C40" s="6">
        <f>[8]Feb!$B$35</f>
        <v>36189.82</v>
      </c>
      <c r="D40" s="6">
        <f>[4]Mar!$B$35</f>
        <v>90332.26999999999</v>
      </c>
      <c r="E40" s="13">
        <f>[4]Apr!$B$35</f>
        <v>42087.81</v>
      </c>
      <c r="F40" s="13">
        <v>36064.49</v>
      </c>
      <c r="G40" s="13">
        <f>[4]Jun!$B$35</f>
        <v>6099.46</v>
      </c>
      <c r="H40" s="13"/>
      <c r="I40" s="6"/>
      <c r="J40" s="18"/>
      <c r="K40" s="18"/>
      <c r="L40" s="18"/>
      <c r="M40" s="19"/>
      <c r="N40" s="1">
        <f t="shared" si="26"/>
        <v>262708.07999999996</v>
      </c>
      <c r="P40" s="1">
        <f t="shared" si="4"/>
        <v>23882.552727272723</v>
      </c>
      <c r="Q40" s="1">
        <f t="shared" si="5"/>
        <v>-23882.552727272723</v>
      </c>
    </row>
    <row r="41" spans="1:17" s="17" customFormat="1" x14ac:dyDescent="0.25">
      <c r="A41" s="182" t="s">
        <v>33</v>
      </c>
      <c r="B41" s="1">
        <f>-11152-36907.01</f>
        <v>-48059.01</v>
      </c>
      <c r="C41" s="6">
        <f>-4530.13-104404.39</f>
        <v>-108934.52</v>
      </c>
      <c r="D41" s="6">
        <v>-27223.4</v>
      </c>
      <c r="E41" s="12">
        <v>-45776.83</v>
      </c>
      <c r="F41" s="12">
        <v>-39077.56</v>
      </c>
      <c r="G41" s="12">
        <f>-13634.37-199763.99</f>
        <v>-213398.36</v>
      </c>
      <c r="H41" s="12"/>
      <c r="I41" s="6"/>
      <c r="J41" s="6"/>
      <c r="K41" s="18"/>
      <c r="L41" s="18"/>
      <c r="M41" s="18"/>
      <c r="N41" s="1">
        <f t="shared" si="26"/>
        <v>-482469.68</v>
      </c>
      <c r="O41" s="20"/>
      <c r="P41" s="1">
        <f t="shared" si="4"/>
        <v>-43860.88</v>
      </c>
      <c r="Q41" s="1">
        <f t="shared" si="5"/>
        <v>43860.88</v>
      </c>
    </row>
    <row r="42" spans="1:17" s="17" customFormat="1" x14ac:dyDescent="0.25">
      <c r="A42" s="182" t="s">
        <v>34</v>
      </c>
      <c r="B42" s="1">
        <f>-51657.33-70861</f>
        <v>-122518.33</v>
      </c>
      <c r="C42" s="6">
        <f>8840+42577</f>
        <v>51417</v>
      </c>
      <c r="D42" s="6">
        <f>-5460+61057-530</f>
        <v>55067</v>
      </c>
      <c r="E42" s="12">
        <f>9250+15494+530</f>
        <v>25274</v>
      </c>
      <c r="F42" s="12">
        <v>-57663</v>
      </c>
      <c r="G42" s="12">
        <f>-3480+39926</f>
        <v>36446</v>
      </c>
      <c r="H42" s="12"/>
      <c r="I42" s="6"/>
      <c r="J42" s="6"/>
      <c r="K42" s="18"/>
      <c r="L42" s="18"/>
      <c r="M42" s="21"/>
      <c r="N42" s="1">
        <f t="shared" si="26"/>
        <v>-11977.330000000002</v>
      </c>
      <c r="O42" s="20"/>
      <c r="P42" s="1">
        <f t="shared" si="4"/>
        <v>-1088.848181818182</v>
      </c>
      <c r="Q42" s="1">
        <f t="shared" si="5"/>
        <v>1088.848181818182</v>
      </c>
    </row>
    <row r="43" spans="1:17" s="17" customFormat="1" x14ac:dyDescent="0.25">
      <c r="A43" s="179" t="s">
        <v>35</v>
      </c>
      <c r="B43" s="1">
        <v>0</v>
      </c>
      <c r="C43" s="6">
        <v>0</v>
      </c>
      <c r="D43" s="6">
        <v>0</v>
      </c>
      <c r="E43" s="6"/>
      <c r="F43" s="6"/>
      <c r="G43" s="6"/>
      <c r="H43" s="6"/>
      <c r="I43" s="6"/>
      <c r="J43" s="6"/>
      <c r="K43" s="18"/>
      <c r="L43" s="18"/>
      <c r="M43" s="18"/>
      <c r="N43" s="1">
        <f t="shared" si="26"/>
        <v>0</v>
      </c>
      <c r="P43" s="1">
        <f t="shared" si="4"/>
        <v>0</v>
      </c>
      <c r="Q43" s="1">
        <f t="shared" si="5"/>
        <v>0</v>
      </c>
    </row>
    <row r="44" spans="1:17" s="17" customFormat="1" x14ac:dyDescent="0.25">
      <c r="A44" s="179" t="s">
        <v>36</v>
      </c>
      <c r="B44" s="1">
        <v>-35000</v>
      </c>
      <c r="C44" s="1">
        <f>-18000-17000</f>
        <v>-35000</v>
      </c>
      <c r="D44" s="1">
        <v>-35000</v>
      </c>
      <c r="E44" s="1">
        <v>-35000</v>
      </c>
      <c r="F44" s="1">
        <v>-35000</v>
      </c>
      <c r="G44" s="1">
        <v>-35000</v>
      </c>
      <c r="H44" s="1"/>
      <c r="I44" s="1"/>
      <c r="J44" s="1"/>
      <c r="K44" s="1"/>
      <c r="L44" s="1"/>
      <c r="M44" s="1"/>
      <c r="N44" s="1">
        <f t="shared" si="26"/>
        <v>-210000</v>
      </c>
      <c r="P44" s="1">
        <f t="shared" si="4"/>
        <v>-19090.909090909092</v>
      </c>
      <c r="Q44" s="1">
        <f t="shared" si="5"/>
        <v>19090.909090909092</v>
      </c>
    </row>
    <row r="45" spans="1:17" s="17" customFormat="1" x14ac:dyDescent="0.25">
      <c r="A45" s="182"/>
      <c r="B45" s="8">
        <f>SUM(B38:B44)</f>
        <v>744941.04408513964</v>
      </c>
      <c r="C45" s="8">
        <f t="shared" ref="C45:M45" si="27">SUM(C38:C44)</f>
        <v>628087.73401690566</v>
      </c>
      <c r="D45" s="8">
        <f t="shared" si="27"/>
        <v>763721.3041869998</v>
      </c>
      <c r="E45" s="8">
        <f t="shared" si="27"/>
        <v>645201.68502510397</v>
      </c>
      <c r="F45" s="8">
        <f t="shared" si="27"/>
        <v>446446.84000000008</v>
      </c>
      <c r="G45" s="8">
        <f t="shared" si="27"/>
        <v>502278.93690028624</v>
      </c>
      <c r="H45" s="8">
        <f t="shared" si="27"/>
        <v>0</v>
      </c>
      <c r="I45" s="8">
        <f t="shared" si="27"/>
        <v>0</v>
      </c>
      <c r="J45" s="8">
        <f t="shared" si="27"/>
        <v>0</v>
      </c>
      <c r="K45" s="8">
        <f t="shared" si="27"/>
        <v>0</v>
      </c>
      <c r="L45" s="8">
        <f>SUM(L38:L44)</f>
        <v>0</v>
      </c>
      <c r="M45" s="8">
        <f t="shared" si="27"/>
        <v>0</v>
      </c>
      <c r="N45" s="8">
        <f>SUM(N38:N44)</f>
        <v>3730677.5442144354</v>
      </c>
      <c r="P45" s="8">
        <f t="shared" si="4"/>
        <v>339152.50401949411</v>
      </c>
      <c r="Q45" s="8">
        <f t="shared" si="5"/>
        <v>-339152.50401949411</v>
      </c>
    </row>
    <row r="46" spans="1:17" ht="25.5" customHeight="1" thickBot="1" x14ac:dyDescent="0.3">
      <c r="A46" s="181" t="s">
        <v>37</v>
      </c>
      <c r="B46" s="22">
        <f>+B35-B45</f>
        <v>128859.70591497957</v>
      </c>
      <c r="C46" s="22">
        <f t="shared" ref="C46:M46" si="28">+C35-C45</f>
        <v>179047.73598288454</v>
      </c>
      <c r="D46" s="22">
        <f>+D35-D45</f>
        <v>109403.45581293106</v>
      </c>
      <c r="E46" s="22">
        <f t="shared" si="28"/>
        <v>-61274.985025145696</v>
      </c>
      <c r="F46" s="22">
        <f t="shared" si="28"/>
        <v>27925.000000003492</v>
      </c>
      <c r="G46" s="22">
        <f t="shared" si="28"/>
        <v>75514.123099656543</v>
      </c>
      <c r="H46" s="22">
        <f t="shared" si="28"/>
        <v>0</v>
      </c>
      <c r="I46" s="22">
        <f t="shared" si="28"/>
        <v>0</v>
      </c>
      <c r="J46" s="22">
        <f t="shared" si="28"/>
        <v>0</v>
      </c>
      <c r="K46" s="22">
        <f>+K35-K45</f>
        <v>0</v>
      </c>
      <c r="L46" s="22">
        <f>+L35-L45</f>
        <v>0</v>
      </c>
      <c r="M46" s="22">
        <f t="shared" si="28"/>
        <v>0</v>
      </c>
      <c r="N46" s="22">
        <f>+N35-N45</f>
        <v>459475.03578596516</v>
      </c>
      <c r="P46" s="22">
        <f t="shared" si="4"/>
        <v>41770.457798724106</v>
      </c>
      <c r="Q46" s="22">
        <f t="shared" si="5"/>
        <v>-41770.457798724106</v>
      </c>
    </row>
    <row r="47" spans="1:17" ht="15.75" thickTop="1" x14ac:dyDescent="0.25">
      <c r="C47" s="1"/>
      <c r="D47" s="1"/>
      <c r="E47" s="1"/>
      <c r="F47" s="1"/>
      <c r="G47" s="1"/>
      <c r="H47" s="23"/>
      <c r="I47" s="23"/>
      <c r="J47" s="23"/>
      <c r="K47" s="23"/>
      <c r="L47" s="1"/>
      <c r="M47" s="1"/>
      <c r="P47" s="2">
        <f t="shared" si="4"/>
        <v>0</v>
      </c>
      <c r="Q47" s="2">
        <f t="shared" si="5"/>
        <v>0</v>
      </c>
    </row>
    <row r="48" spans="1:17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 s="2">
        <f t="shared" si="4"/>
        <v>0</v>
      </c>
      <c r="Q48" s="2">
        <f t="shared" si="5"/>
        <v>0</v>
      </c>
    </row>
    <row r="49" spans="1:17" ht="30" x14ac:dyDescent="0.25">
      <c r="A49" s="183" t="s">
        <v>38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2">
        <f t="shared" si="4"/>
        <v>0</v>
      </c>
      <c r="Q49" s="2">
        <f t="shared" si="5"/>
        <v>0</v>
      </c>
    </row>
    <row r="50" spans="1:17" x14ac:dyDescent="0.25">
      <c r="A50" s="179" t="s">
        <v>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2">
        <f t="shared" si="4"/>
        <v>0</v>
      </c>
      <c r="Q50" s="2">
        <f t="shared" si="5"/>
        <v>0</v>
      </c>
    </row>
    <row r="51" spans="1:17" x14ac:dyDescent="0.25">
      <c r="A51" s="179" t="s">
        <v>39</v>
      </c>
      <c r="B51" s="5">
        <f>B102</f>
        <v>0</v>
      </c>
      <c r="C51" s="5">
        <f>C102</f>
        <v>0</v>
      </c>
      <c r="D51" s="5">
        <f>D102</f>
        <v>0</v>
      </c>
      <c r="E51" s="1">
        <f t="shared" ref="E51:J51" si="29">E102</f>
        <v>0</v>
      </c>
      <c r="F51" s="1">
        <f t="shared" si="29"/>
        <v>0</v>
      </c>
      <c r="G51" s="1">
        <f t="shared" si="29"/>
        <v>0</v>
      </c>
      <c r="H51" s="1">
        <f t="shared" si="29"/>
        <v>0</v>
      </c>
      <c r="I51" s="1">
        <f t="shared" si="29"/>
        <v>0</v>
      </c>
      <c r="J51" s="1">
        <f t="shared" si="29"/>
        <v>0</v>
      </c>
      <c r="K51" s="1">
        <f>K102</f>
        <v>0</v>
      </c>
      <c r="L51" s="1">
        <f>L102</f>
        <v>0</v>
      </c>
      <c r="M51" s="1">
        <f>M102</f>
        <v>0</v>
      </c>
      <c r="N51" s="1">
        <f>SUM(B51:M51)</f>
        <v>0</v>
      </c>
      <c r="P51" s="1">
        <f t="shared" si="4"/>
        <v>0</v>
      </c>
      <c r="Q51" s="1">
        <f t="shared" si="5"/>
        <v>0</v>
      </c>
    </row>
    <row r="52" spans="1:17" x14ac:dyDescent="0.25">
      <c r="A52" s="179" t="s">
        <v>40</v>
      </c>
      <c r="B52" s="5">
        <f>B108+B119</f>
        <v>44174.48</v>
      </c>
      <c r="C52" s="5">
        <f>C108+C119</f>
        <v>37026.959999999999</v>
      </c>
      <c r="D52" s="5">
        <f>D108+D119</f>
        <v>50952.97</v>
      </c>
      <c r="E52" s="5">
        <f>E108+E119</f>
        <v>17383</v>
      </c>
      <c r="F52" s="5">
        <f t="shared" ref="F52:M52" si="30">F108+F119</f>
        <v>6537.5</v>
      </c>
      <c r="G52" s="5">
        <f t="shared" si="30"/>
        <v>12690.5</v>
      </c>
      <c r="H52" s="5">
        <f t="shared" si="30"/>
        <v>0</v>
      </c>
      <c r="I52" s="5">
        <f t="shared" si="30"/>
        <v>0</v>
      </c>
      <c r="J52" s="5">
        <f t="shared" si="30"/>
        <v>0</v>
      </c>
      <c r="K52" s="5">
        <f t="shared" si="30"/>
        <v>0</v>
      </c>
      <c r="L52" s="5">
        <f t="shared" si="30"/>
        <v>0</v>
      </c>
      <c r="M52" s="5">
        <f t="shared" si="30"/>
        <v>0</v>
      </c>
      <c r="N52" s="1">
        <f>SUM(B52:M52)</f>
        <v>168765.41</v>
      </c>
      <c r="P52" s="1">
        <f t="shared" si="4"/>
        <v>15342.31</v>
      </c>
      <c r="Q52" s="1">
        <f t="shared" si="5"/>
        <v>-15342.31</v>
      </c>
    </row>
    <row r="53" spans="1:17" x14ac:dyDescent="0.25">
      <c r="A53" s="179" t="s">
        <v>41</v>
      </c>
      <c r="B53" s="1">
        <f>B107+B118</f>
        <v>0</v>
      </c>
      <c r="C53" s="1">
        <f>C107+C118</f>
        <v>0</v>
      </c>
      <c r="D53" s="1">
        <f>D107+D118</f>
        <v>0</v>
      </c>
      <c r="E53" s="1">
        <f>E107+E118</f>
        <v>0</v>
      </c>
      <c r="F53" s="1">
        <f t="shared" ref="F53:M53" si="31">F107+F118</f>
        <v>100</v>
      </c>
      <c r="G53" s="1">
        <f t="shared" si="31"/>
        <v>0</v>
      </c>
      <c r="H53" s="1">
        <f t="shared" si="31"/>
        <v>0</v>
      </c>
      <c r="I53" s="1">
        <f t="shared" si="31"/>
        <v>0</v>
      </c>
      <c r="J53" s="1">
        <f t="shared" si="31"/>
        <v>0</v>
      </c>
      <c r="K53" s="1">
        <f t="shared" si="31"/>
        <v>0</v>
      </c>
      <c r="L53" s="1">
        <f t="shared" si="31"/>
        <v>0</v>
      </c>
      <c r="M53" s="1">
        <f t="shared" si="31"/>
        <v>0</v>
      </c>
      <c r="N53" s="1">
        <f>SUM(B53:M53)</f>
        <v>100</v>
      </c>
      <c r="P53" s="1">
        <f t="shared" si="4"/>
        <v>9.0909090909090917</v>
      </c>
      <c r="Q53" s="1">
        <f t="shared" si="5"/>
        <v>-9.0909090909090917</v>
      </c>
    </row>
    <row r="54" spans="1:17" x14ac:dyDescent="0.25">
      <c r="A54" s="179" t="s">
        <v>42</v>
      </c>
      <c r="B54" s="5">
        <f>B109+B111+B112+B113</f>
        <v>44096.53</v>
      </c>
      <c r="C54" s="5">
        <f>C109+C111+C112+C113</f>
        <v>78044.399999999994</v>
      </c>
      <c r="D54" s="5">
        <f>D109+D111+D112+D113</f>
        <v>64584.18</v>
      </c>
      <c r="E54" s="5">
        <f>E109+E111+E112+E113</f>
        <v>30224.629999999997</v>
      </c>
      <c r="F54" s="5">
        <f t="shared" ref="F54:M54" si="32">F109+F111+F112+F113</f>
        <v>73319.850000000006</v>
      </c>
      <c r="G54" s="5">
        <f t="shared" si="32"/>
        <v>39472.699999999997</v>
      </c>
      <c r="H54" s="5">
        <f t="shared" si="32"/>
        <v>0</v>
      </c>
      <c r="I54" s="5">
        <f t="shared" si="32"/>
        <v>0</v>
      </c>
      <c r="J54" s="5">
        <f t="shared" si="32"/>
        <v>0</v>
      </c>
      <c r="K54" s="5">
        <f t="shared" si="32"/>
        <v>0</v>
      </c>
      <c r="L54" s="5">
        <f t="shared" si="32"/>
        <v>0</v>
      </c>
      <c r="M54" s="5">
        <f t="shared" si="32"/>
        <v>0</v>
      </c>
      <c r="N54" s="1">
        <f>SUM(B54:M54)</f>
        <v>329742.28999999998</v>
      </c>
      <c r="P54" s="1">
        <f t="shared" si="4"/>
        <v>29976.571818181816</v>
      </c>
      <c r="Q54" s="1">
        <f t="shared" si="5"/>
        <v>-29976.571818181816</v>
      </c>
    </row>
    <row r="55" spans="1:17" x14ac:dyDescent="0.25">
      <c r="A55" s="179" t="s">
        <v>43</v>
      </c>
      <c r="B55" s="24">
        <f>SUM(B51:B54)</f>
        <v>88271.010000000009</v>
      </c>
      <c r="C55" s="24">
        <f t="shared" ref="C55:N55" si="33">SUM(C51:C54)</f>
        <v>115071.35999999999</v>
      </c>
      <c r="D55" s="24">
        <f t="shared" si="33"/>
        <v>115537.15</v>
      </c>
      <c r="E55" s="24">
        <f t="shared" si="33"/>
        <v>47607.63</v>
      </c>
      <c r="F55" s="24">
        <f t="shared" si="33"/>
        <v>79957.350000000006</v>
      </c>
      <c r="G55" s="24">
        <f t="shared" si="33"/>
        <v>52163.199999999997</v>
      </c>
      <c r="H55" s="24">
        <f t="shared" si="33"/>
        <v>0</v>
      </c>
      <c r="I55" s="24">
        <f t="shared" si="33"/>
        <v>0</v>
      </c>
      <c r="J55" s="24">
        <f t="shared" si="33"/>
        <v>0</v>
      </c>
      <c r="K55" s="24">
        <f t="shared" si="33"/>
        <v>0</v>
      </c>
      <c r="L55" s="24">
        <f t="shared" si="33"/>
        <v>0</v>
      </c>
      <c r="M55" s="24">
        <f t="shared" si="33"/>
        <v>0</v>
      </c>
      <c r="N55" s="24">
        <f t="shared" si="33"/>
        <v>498607.69999999995</v>
      </c>
      <c r="P55" s="24">
        <f t="shared" si="4"/>
        <v>45327.972727272725</v>
      </c>
      <c r="Q55" s="24">
        <f t="shared" si="5"/>
        <v>-45327.972727272725</v>
      </c>
    </row>
    <row r="56" spans="1:17" x14ac:dyDescent="0.25">
      <c r="A56" s="179" t="s">
        <v>44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1"/>
      <c r="P56" s="11">
        <f t="shared" si="4"/>
        <v>0</v>
      </c>
      <c r="Q56" s="11">
        <f t="shared" si="5"/>
        <v>0</v>
      </c>
    </row>
    <row r="57" spans="1:17" x14ac:dyDescent="0.25">
      <c r="A57" s="179" t="s">
        <v>39</v>
      </c>
      <c r="B57" s="5">
        <f>B126</f>
        <v>0</v>
      </c>
      <c r="C57" s="5">
        <f>C126</f>
        <v>0</v>
      </c>
      <c r="D57" s="5">
        <f>D126</f>
        <v>0</v>
      </c>
      <c r="E57" s="5">
        <f t="shared" ref="E57:J57" si="34">E126</f>
        <v>0</v>
      </c>
      <c r="F57" s="5">
        <f>F126</f>
        <v>0</v>
      </c>
      <c r="G57" s="1">
        <f t="shared" si="34"/>
        <v>0</v>
      </c>
      <c r="H57" s="1">
        <f t="shared" si="34"/>
        <v>0</v>
      </c>
      <c r="I57" s="1">
        <f t="shared" si="34"/>
        <v>0</v>
      </c>
      <c r="J57" s="1">
        <f t="shared" si="34"/>
        <v>0</v>
      </c>
      <c r="K57" s="1">
        <f>K126</f>
        <v>0</v>
      </c>
      <c r="L57" s="1">
        <f>L126</f>
        <v>0</v>
      </c>
      <c r="M57" s="1">
        <f>M126</f>
        <v>0</v>
      </c>
      <c r="N57" s="1">
        <f>SUM(B57:M57)</f>
        <v>0</v>
      </c>
      <c r="P57" s="1">
        <f t="shared" si="4"/>
        <v>0</v>
      </c>
      <c r="Q57" s="1">
        <f t="shared" si="5"/>
        <v>0</v>
      </c>
    </row>
    <row r="58" spans="1:17" x14ac:dyDescent="0.25">
      <c r="A58" s="179" t="s">
        <v>45</v>
      </c>
      <c r="B58" s="5">
        <f>B132+B137+B138+B176+B164+B167+B175</f>
        <v>57082.080000000009</v>
      </c>
      <c r="C58" s="5">
        <f>C132+C137+C138+C176+C164+C167+C175</f>
        <v>43072.58</v>
      </c>
      <c r="D58" s="5">
        <f>D132+D137+D138+D176+D164+D167+D175</f>
        <v>59675.47</v>
      </c>
      <c r="E58" s="5">
        <f>E132+E137+E138+E176+E164+E167+E175</f>
        <v>4134.2700000000004</v>
      </c>
      <c r="F58" s="5">
        <f>F132+F137+F138+F176+F164+F167+F175</f>
        <v>5289.5499999999993</v>
      </c>
      <c r="G58" s="1">
        <f t="shared" ref="G58:M58" si="35">G132+G164+G137+G138+G131+G175+G176+G167</f>
        <v>13894.16</v>
      </c>
      <c r="H58" s="1">
        <f t="shared" si="35"/>
        <v>0</v>
      </c>
      <c r="I58" s="1">
        <f t="shared" si="35"/>
        <v>0</v>
      </c>
      <c r="J58" s="1">
        <f t="shared" si="35"/>
        <v>0</v>
      </c>
      <c r="K58" s="1">
        <f t="shared" si="35"/>
        <v>0</v>
      </c>
      <c r="L58" s="1">
        <f t="shared" si="35"/>
        <v>0</v>
      </c>
      <c r="M58" s="1">
        <f t="shared" si="35"/>
        <v>0</v>
      </c>
      <c r="N58" s="1">
        <f t="shared" ref="N58:N64" si="36">SUM(B58:M58)</f>
        <v>183148.11</v>
      </c>
      <c r="P58" s="1">
        <f t="shared" si="4"/>
        <v>16649.828181818182</v>
      </c>
      <c r="Q58" s="1">
        <f t="shared" si="5"/>
        <v>-16649.828181818182</v>
      </c>
    </row>
    <row r="59" spans="1:17" x14ac:dyDescent="0.25">
      <c r="A59" s="179" t="s">
        <v>46</v>
      </c>
      <c r="B59" s="5">
        <f>B134+B136</f>
        <v>162526.82</v>
      </c>
      <c r="C59" s="5">
        <f>C134+C136</f>
        <v>186551.2</v>
      </c>
      <c r="D59" s="5">
        <f>D134+D136+D135</f>
        <v>121471.26</v>
      </c>
      <c r="E59" s="5">
        <f t="shared" ref="E59:J59" si="37">E134+E136</f>
        <v>104538.95</v>
      </c>
      <c r="F59" s="5">
        <f>F134+F136+F135</f>
        <v>112337.33</v>
      </c>
      <c r="G59" s="1">
        <f t="shared" si="37"/>
        <v>58522.59</v>
      </c>
      <c r="H59" s="1">
        <f t="shared" si="37"/>
        <v>0</v>
      </c>
      <c r="I59" s="1">
        <f t="shared" si="37"/>
        <v>0</v>
      </c>
      <c r="J59" s="1">
        <f t="shared" si="37"/>
        <v>0</v>
      </c>
      <c r="K59" s="1">
        <f>K134+K136</f>
        <v>0</v>
      </c>
      <c r="L59" s="1">
        <f>L134+L136</f>
        <v>0</v>
      </c>
      <c r="M59" s="1">
        <f>M134+M136+M135</f>
        <v>0</v>
      </c>
      <c r="N59" s="1">
        <f t="shared" si="36"/>
        <v>745948.14999999991</v>
      </c>
      <c r="P59" s="1">
        <f t="shared" si="4"/>
        <v>67813.468181818171</v>
      </c>
      <c r="Q59" s="1">
        <f t="shared" si="5"/>
        <v>-67813.468181818171</v>
      </c>
    </row>
    <row r="60" spans="1:17" x14ac:dyDescent="0.25">
      <c r="A60" s="179" t="s">
        <v>47</v>
      </c>
      <c r="B60" s="5">
        <f>B166</f>
        <v>5000</v>
      </c>
      <c r="C60" s="5">
        <f>C166</f>
        <v>16772.5</v>
      </c>
      <c r="D60" s="5">
        <f>D166</f>
        <v>-6772.5</v>
      </c>
      <c r="E60" s="5">
        <f>E166</f>
        <v>5000</v>
      </c>
      <c r="F60" s="5">
        <f>F166</f>
        <v>5000</v>
      </c>
      <c r="G60" s="1">
        <f t="shared" ref="G60:J60" si="38">G166</f>
        <v>5000</v>
      </c>
      <c r="H60" s="1">
        <f t="shared" si="38"/>
        <v>0</v>
      </c>
      <c r="I60" s="1">
        <f t="shared" si="38"/>
        <v>0</v>
      </c>
      <c r="J60" s="1">
        <f t="shared" si="38"/>
        <v>0</v>
      </c>
      <c r="K60" s="1">
        <f>K166</f>
        <v>0</v>
      </c>
      <c r="L60" s="1">
        <f>L166</f>
        <v>0</v>
      </c>
      <c r="M60" s="1">
        <f>M166</f>
        <v>0</v>
      </c>
      <c r="N60" s="1">
        <f t="shared" si="36"/>
        <v>30000</v>
      </c>
      <c r="P60" s="1">
        <f t="shared" si="4"/>
        <v>2727.2727272727275</v>
      </c>
      <c r="Q60" s="1">
        <f t="shared" si="5"/>
        <v>-2727.2727272727275</v>
      </c>
    </row>
    <row r="61" spans="1:17" x14ac:dyDescent="0.25">
      <c r="A61" s="179" t="s">
        <v>48</v>
      </c>
      <c r="B61" s="5">
        <f>B173+B177+B178+B172+B174</f>
        <v>15314.77</v>
      </c>
      <c r="C61" s="5">
        <f>C173+C177+C178+C172+C174</f>
        <v>24623.15</v>
      </c>
      <c r="D61" s="5">
        <f t="shared" ref="D61:M61" si="39">D173+D177+D178+D172+D174</f>
        <v>20393.25</v>
      </c>
      <c r="E61" s="5">
        <f t="shared" si="39"/>
        <v>17847.68</v>
      </c>
      <c r="F61" s="5">
        <f t="shared" si="39"/>
        <v>17603.449999999997</v>
      </c>
      <c r="G61" s="5">
        <f t="shared" si="39"/>
        <v>14073.55</v>
      </c>
      <c r="H61" s="5">
        <f t="shared" si="39"/>
        <v>0</v>
      </c>
      <c r="I61" s="5">
        <f t="shared" si="39"/>
        <v>0</v>
      </c>
      <c r="J61" s="5">
        <f t="shared" si="39"/>
        <v>0</v>
      </c>
      <c r="K61" s="5">
        <f t="shared" si="39"/>
        <v>0</v>
      </c>
      <c r="L61" s="5">
        <f t="shared" si="39"/>
        <v>0</v>
      </c>
      <c r="M61" s="5">
        <f t="shared" si="39"/>
        <v>0</v>
      </c>
      <c r="N61" s="1">
        <f t="shared" si="36"/>
        <v>109855.85</v>
      </c>
      <c r="P61" s="1">
        <f t="shared" si="4"/>
        <v>9986.8954545454544</v>
      </c>
      <c r="Q61" s="1">
        <f t="shared" si="5"/>
        <v>-9986.8954545454544</v>
      </c>
    </row>
    <row r="62" spans="1:17" x14ac:dyDescent="0.25">
      <c r="A62" s="179" t="s">
        <v>49</v>
      </c>
      <c r="B62" s="5">
        <f>B170</f>
        <v>28233.33</v>
      </c>
      <c r="C62" s="5">
        <f>C170</f>
        <v>28233.33</v>
      </c>
      <c r="D62" s="5">
        <f>D170</f>
        <v>28595.83</v>
      </c>
      <c r="E62" s="5">
        <f t="shared" ref="E62:J62" si="40">E170</f>
        <v>28233.33</v>
      </c>
      <c r="F62" s="5">
        <f>F170</f>
        <v>28233.33</v>
      </c>
      <c r="G62" s="1">
        <f t="shared" si="40"/>
        <v>7627.91</v>
      </c>
      <c r="H62" s="1">
        <f t="shared" si="40"/>
        <v>0</v>
      </c>
      <c r="I62" s="1">
        <f t="shared" si="40"/>
        <v>0</v>
      </c>
      <c r="J62" s="1">
        <f t="shared" si="40"/>
        <v>0</v>
      </c>
      <c r="K62" s="1">
        <f>K170</f>
        <v>0</v>
      </c>
      <c r="L62" s="1">
        <f>L170</f>
        <v>0</v>
      </c>
      <c r="M62" s="1">
        <f>M170</f>
        <v>0</v>
      </c>
      <c r="N62" s="1">
        <f t="shared" si="36"/>
        <v>149157.06000000003</v>
      </c>
      <c r="P62" s="1">
        <f t="shared" si="4"/>
        <v>13559.732727272729</v>
      </c>
      <c r="Q62" s="1">
        <f t="shared" si="5"/>
        <v>-13559.732727272729</v>
      </c>
    </row>
    <row r="63" spans="1:17" x14ac:dyDescent="0.25">
      <c r="A63" s="179" t="s">
        <v>50</v>
      </c>
      <c r="B63" s="1">
        <v>0</v>
      </c>
      <c r="C63" s="1">
        <v>0</v>
      </c>
      <c r="D63" s="1"/>
      <c r="E63" s="5"/>
      <c r="F63" s="5">
        <v>0</v>
      </c>
      <c r="G63" s="1">
        <v>0</v>
      </c>
      <c r="H63" s="1"/>
      <c r="I63" s="1"/>
      <c r="J63" s="1"/>
      <c r="K63" s="1"/>
      <c r="L63" s="1"/>
      <c r="M63" s="1"/>
      <c r="N63" s="1">
        <f t="shared" si="36"/>
        <v>0</v>
      </c>
      <c r="P63" s="1">
        <f t="shared" si="4"/>
        <v>0</v>
      </c>
      <c r="Q63" s="1">
        <f t="shared" si="5"/>
        <v>0</v>
      </c>
    </row>
    <row r="64" spans="1:17" x14ac:dyDescent="0.25">
      <c r="A64" s="179" t="s">
        <v>51</v>
      </c>
      <c r="B64" s="13">
        <f>B171</f>
        <v>0</v>
      </c>
      <c r="C64" s="13">
        <f>C171</f>
        <v>878</v>
      </c>
      <c r="D64" s="25">
        <f>D171</f>
        <v>0</v>
      </c>
      <c r="E64" s="1">
        <f t="shared" ref="E64:K64" si="41">E171</f>
        <v>0</v>
      </c>
      <c r="F64" s="1">
        <f>F171</f>
        <v>620</v>
      </c>
      <c r="G64" s="1">
        <f t="shared" si="41"/>
        <v>0</v>
      </c>
      <c r="H64" s="1">
        <f t="shared" si="41"/>
        <v>0</v>
      </c>
      <c r="I64" s="1">
        <f t="shared" si="41"/>
        <v>0</v>
      </c>
      <c r="J64" s="1">
        <f t="shared" si="41"/>
        <v>0</v>
      </c>
      <c r="K64" s="1">
        <f t="shared" si="41"/>
        <v>0</v>
      </c>
      <c r="L64" s="1">
        <f>L171</f>
        <v>0</v>
      </c>
      <c r="M64" s="1">
        <f>M171</f>
        <v>0</v>
      </c>
      <c r="N64" s="1">
        <f t="shared" si="36"/>
        <v>1498</v>
      </c>
      <c r="P64" s="1">
        <f t="shared" si="4"/>
        <v>136.18181818181819</v>
      </c>
      <c r="Q64" s="1">
        <f t="shared" si="5"/>
        <v>-136.18181818181819</v>
      </c>
    </row>
    <row r="65" spans="1:17" x14ac:dyDescent="0.25">
      <c r="A65" s="179" t="s">
        <v>52</v>
      </c>
      <c r="B65" s="26">
        <f>SUM(B57:B64)</f>
        <v>268157</v>
      </c>
      <c r="C65" s="26">
        <f t="shared" ref="C65:M65" si="42">SUM(C57:C64)</f>
        <v>300130.76000000007</v>
      </c>
      <c r="D65" s="13">
        <f t="shared" si="42"/>
        <v>223363.31</v>
      </c>
      <c r="E65" s="26">
        <f t="shared" si="42"/>
        <v>159754.22999999998</v>
      </c>
      <c r="F65" s="26">
        <f t="shared" si="42"/>
        <v>169083.66000000003</v>
      </c>
      <c r="G65" s="26">
        <f t="shared" si="42"/>
        <v>99118.21</v>
      </c>
      <c r="H65" s="26">
        <f t="shared" si="42"/>
        <v>0</v>
      </c>
      <c r="I65" s="26">
        <f t="shared" si="42"/>
        <v>0</v>
      </c>
      <c r="J65" s="26">
        <f t="shared" si="42"/>
        <v>0</v>
      </c>
      <c r="K65" s="26">
        <f t="shared" si="42"/>
        <v>0</v>
      </c>
      <c r="L65" s="26">
        <f t="shared" si="42"/>
        <v>0</v>
      </c>
      <c r="M65" s="26">
        <f t="shared" si="42"/>
        <v>0</v>
      </c>
      <c r="N65" s="26">
        <f>SUM(N57:N64)</f>
        <v>1219607.17</v>
      </c>
      <c r="P65" s="26">
        <f t="shared" si="4"/>
        <v>110873.37909090909</v>
      </c>
      <c r="Q65" s="26">
        <f t="shared" si="5"/>
        <v>-110873.37909090909</v>
      </c>
    </row>
    <row r="66" spans="1:17" x14ac:dyDescent="0.25">
      <c r="A66" s="179" t="s">
        <v>53</v>
      </c>
      <c r="B66" s="27">
        <f>+B55-B65</f>
        <v>-179885.99</v>
      </c>
      <c r="C66" s="27">
        <f t="shared" ref="C66:N66" si="43">+C55-C65</f>
        <v>-185059.40000000008</v>
      </c>
      <c r="D66" s="27">
        <f t="shared" si="43"/>
        <v>-107826.16</v>
      </c>
      <c r="E66" s="27">
        <f t="shared" si="43"/>
        <v>-112146.59999999998</v>
      </c>
      <c r="F66" s="27">
        <f t="shared" si="43"/>
        <v>-89126.310000000027</v>
      </c>
      <c r="G66" s="27">
        <f t="shared" si="43"/>
        <v>-46955.010000000009</v>
      </c>
      <c r="H66" s="27">
        <f t="shared" si="43"/>
        <v>0</v>
      </c>
      <c r="I66" s="27">
        <f t="shared" si="43"/>
        <v>0</v>
      </c>
      <c r="J66" s="27">
        <f t="shared" si="43"/>
        <v>0</v>
      </c>
      <c r="K66" s="27">
        <f t="shared" si="43"/>
        <v>0</v>
      </c>
      <c r="L66" s="27">
        <f t="shared" si="43"/>
        <v>0</v>
      </c>
      <c r="M66" s="27">
        <f t="shared" si="43"/>
        <v>0</v>
      </c>
      <c r="N66" s="27">
        <f t="shared" si="43"/>
        <v>-720999.47</v>
      </c>
      <c r="P66" s="27">
        <f t="shared" si="4"/>
        <v>-65545.406363636357</v>
      </c>
      <c r="Q66" s="27">
        <f t="shared" si="5"/>
        <v>65545.406363636357</v>
      </c>
    </row>
    <row r="67" spans="1:17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1"/>
      <c r="P67" s="11">
        <f t="shared" si="4"/>
        <v>0</v>
      </c>
      <c r="Q67" s="11">
        <f t="shared" si="5"/>
        <v>0</v>
      </c>
    </row>
    <row r="68" spans="1:17" x14ac:dyDescent="0.25">
      <c r="A68" s="179" t="s">
        <v>54</v>
      </c>
      <c r="B68" s="5">
        <f>B197</f>
        <v>405193.11</v>
      </c>
      <c r="C68" s="5">
        <f>C197</f>
        <v>341937.99000000005</v>
      </c>
      <c r="D68" s="5">
        <f>D197</f>
        <v>343625.55</v>
      </c>
      <c r="E68" s="5">
        <f t="shared" ref="E68:J68" si="44">E197</f>
        <v>353871.56</v>
      </c>
      <c r="F68" s="5">
        <f>F197</f>
        <v>420339.36000000004</v>
      </c>
      <c r="G68" s="1">
        <f t="shared" si="44"/>
        <v>403802.07</v>
      </c>
      <c r="H68" s="1">
        <f t="shared" si="44"/>
        <v>0</v>
      </c>
      <c r="I68" s="1">
        <f t="shared" si="44"/>
        <v>0</v>
      </c>
      <c r="J68" s="1">
        <f t="shared" si="44"/>
        <v>0</v>
      </c>
      <c r="K68" s="1">
        <f>K197</f>
        <v>0</v>
      </c>
      <c r="L68" s="1">
        <f>L197</f>
        <v>0</v>
      </c>
      <c r="M68" s="1">
        <f>M197</f>
        <v>0</v>
      </c>
      <c r="N68" s="1">
        <f>SUM(B68:M68)</f>
        <v>2268769.64</v>
      </c>
      <c r="P68" s="1">
        <f t="shared" si="4"/>
        <v>206251.78545454546</v>
      </c>
      <c r="Q68" s="1">
        <f t="shared" si="5"/>
        <v>-206251.78545454546</v>
      </c>
    </row>
    <row r="69" spans="1:17" x14ac:dyDescent="0.25">
      <c r="A69" s="179" t="s">
        <v>55</v>
      </c>
      <c r="B69" s="5">
        <f>B216</f>
        <v>196640.18</v>
      </c>
      <c r="C69" s="5">
        <f>C216</f>
        <v>189381.89</v>
      </c>
      <c r="D69" s="5">
        <f>D216</f>
        <v>195764.02000000002</v>
      </c>
      <c r="E69" s="5">
        <f t="shared" ref="E69:J69" si="45">E216</f>
        <v>187712.74</v>
      </c>
      <c r="F69" s="5">
        <f>F216</f>
        <v>186399.78</v>
      </c>
      <c r="G69" s="1">
        <f t="shared" si="45"/>
        <v>206284.2</v>
      </c>
      <c r="H69" s="1">
        <f t="shared" si="45"/>
        <v>0</v>
      </c>
      <c r="I69" s="1">
        <f t="shared" si="45"/>
        <v>0</v>
      </c>
      <c r="J69" s="1">
        <f t="shared" si="45"/>
        <v>0</v>
      </c>
      <c r="K69" s="1">
        <f>K216</f>
        <v>0</v>
      </c>
      <c r="L69" s="1">
        <f>L216</f>
        <v>0</v>
      </c>
      <c r="M69" s="1">
        <f>M216</f>
        <v>0</v>
      </c>
      <c r="N69" s="1">
        <f>SUM(B69:M69)</f>
        <v>1162182.81</v>
      </c>
      <c r="P69" s="1">
        <f t="shared" si="4"/>
        <v>105652.98272727273</v>
      </c>
      <c r="Q69" s="1">
        <f t="shared" si="5"/>
        <v>-105652.98272727273</v>
      </c>
    </row>
    <row r="70" spans="1:17" x14ac:dyDescent="0.25">
      <c r="A70" s="179" t="s">
        <v>56</v>
      </c>
      <c r="B70" s="5">
        <f>B247</f>
        <v>111240.83</v>
      </c>
      <c r="C70" s="5">
        <f>C247</f>
        <v>91232.06</v>
      </c>
      <c r="D70" s="5">
        <f>D247</f>
        <v>94277.48000000001</v>
      </c>
      <c r="E70" s="5">
        <f t="shared" ref="E70:J70" si="46">E247</f>
        <v>88611.98000000001</v>
      </c>
      <c r="F70" s="5">
        <f>F247</f>
        <v>89444.540000000008</v>
      </c>
      <c r="G70" s="1">
        <f t="shared" si="46"/>
        <v>103146.35</v>
      </c>
      <c r="H70" s="1">
        <f t="shared" si="46"/>
        <v>0</v>
      </c>
      <c r="I70" s="1">
        <f t="shared" si="46"/>
        <v>0</v>
      </c>
      <c r="J70" s="1">
        <f t="shared" si="46"/>
        <v>0</v>
      </c>
      <c r="K70" s="1">
        <f>K247</f>
        <v>0</v>
      </c>
      <c r="L70" s="1">
        <f>L247</f>
        <v>0</v>
      </c>
      <c r="M70" s="1">
        <f>M247</f>
        <v>0</v>
      </c>
      <c r="N70" s="1">
        <f>SUM(B70:M70)</f>
        <v>577953.24</v>
      </c>
      <c r="P70" s="1">
        <f t="shared" ref="P70:P133" si="47">(N70-M70)/11</f>
        <v>52541.203636363636</v>
      </c>
      <c r="Q70" s="1">
        <f t="shared" ref="Q70:Q133" si="48">M70-P70</f>
        <v>-52541.203636363636</v>
      </c>
    </row>
    <row r="71" spans="1:17" x14ac:dyDescent="0.25">
      <c r="A71" s="179" t="s">
        <v>57</v>
      </c>
      <c r="B71" s="13">
        <f>-B261</f>
        <v>-81297.39</v>
      </c>
      <c r="C71" s="13">
        <f>-C261</f>
        <v>-60573.55</v>
      </c>
      <c r="D71" s="13">
        <f>-D261</f>
        <v>-54599.840000000004</v>
      </c>
      <c r="E71" s="12">
        <f t="shared" ref="E71:J71" si="49">-E261</f>
        <v>-82044.150000000009</v>
      </c>
      <c r="F71" s="12">
        <f>-F261</f>
        <v>-105834.51000000001</v>
      </c>
      <c r="G71" s="12">
        <f t="shared" si="49"/>
        <v>-92499.849999999991</v>
      </c>
      <c r="H71" s="1">
        <f t="shared" si="49"/>
        <v>0</v>
      </c>
      <c r="I71" s="1">
        <f t="shared" si="49"/>
        <v>0</v>
      </c>
      <c r="J71" s="1">
        <f t="shared" si="49"/>
        <v>0</v>
      </c>
      <c r="K71" s="1">
        <f>-K261</f>
        <v>0</v>
      </c>
      <c r="L71" s="1">
        <f>-L261</f>
        <v>0</v>
      </c>
      <c r="M71" s="1">
        <f>-M261</f>
        <v>0</v>
      </c>
      <c r="N71" s="1">
        <f>SUM(B71:M71)</f>
        <v>-476849.29</v>
      </c>
      <c r="P71" s="1">
        <f t="shared" si="47"/>
        <v>-43349.935454545455</v>
      </c>
      <c r="Q71" s="1">
        <f t="shared" si="48"/>
        <v>43349.935454545455</v>
      </c>
    </row>
    <row r="72" spans="1:17" x14ac:dyDescent="0.25">
      <c r="A72" s="179" t="s">
        <v>58</v>
      </c>
      <c r="B72" s="13">
        <f>B125</f>
        <v>-3595.4</v>
      </c>
      <c r="C72" s="13">
        <f>C125</f>
        <v>-2471.31</v>
      </c>
      <c r="D72" s="13">
        <f>D125</f>
        <v>-4621.22</v>
      </c>
      <c r="E72" s="12">
        <f t="shared" ref="E72:J72" si="50">E125</f>
        <v>-5799.91</v>
      </c>
      <c r="F72" s="12">
        <f>F125</f>
        <v>-1360.64</v>
      </c>
      <c r="G72" s="12">
        <f t="shared" si="50"/>
        <v>-1536.21</v>
      </c>
      <c r="H72" s="1">
        <f t="shared" si="50"/>
        <v>0</v>
      </c>
      <c r="I72" s="1">
        <f t="shared" si="50"/>
        <v>0</v>
      </c>
      <c r="J72" s="1">
        <f t="shared" si="50"/>
        <v>0</v>
      </c>
      <c r="K72" s="1">
        <f>K125</f>
        <v>0</v>
      </c>
      <c r="L72" s="1">
        <f>L125</f>
        <v>0</v>
      </c>
      <c r="M72" s="1">
        <f>M125</f>
        <v>0</v>
      </c>
      <c r="N72" s="1">
        <f>SUM(B72:M72)</f>
        <v>-19384.689999999999</v>
      </c>
      <c r="P72" s="1">
        <f t="shared" si="47"/>
        <v>-1762.2445454545452</v>
      </c>
      <c r="Q72" s="1">
        <f t="shared" si="48"/>
        <v>1762.2445454545452</v>
      </c>
    </row>
    <row r="73" spans="1:17" x14ac:dyDescent="0.25">
      <c r="A73" s="179" t="s">
        <v>59</v>
      </c>
      <c r="B73" s="8">
        <f>SUM(B68:B72)</f>
        <v>628181.32999999996</v>
      </c>
      <c r="C73" s="8">
        <f>SUM(C68:C72)</f>
        <v>559507.08000000007</v>
      </c>
      <c r="D73" s="8">
        <f t="shared" ref="D73:L73" si="51">SUM(D68:D72)</f>
        <v>574445.99000000011</v>
      </c>
      <c r="E73" s="8">
        <f>SUM(E68:E72)</f>
        <v>542352.22</v>
      </c>
      <c r="F73" s="8">
        <f t="shared" si="51"/>
        <v>588988.53</v>
      </c>
      <c r="G73" s="8">
        <f t="shared" si="51"/>
        <v>619196.56000000006</v>
      </c>
      <c r="H73" s="8">
        <f>SUM(H68:H72)</f>
        <v>0</v>
      </c>
      <c r="I73" s="8">
        <f t="shared" si="51"/>
        <v>0</v>
      </c>
      <c r="J73" s="8">
        <f t="shared" si="51"/>
        <v>0</v>
      </c>
      <c r="K73" s="8">
        <f t="shared" si="51"/>
        <v>0</v>
      </c>
      <c r="L73" s="8">
        <f t="shared" si="51"/>
        <v>0</v>
      </c>
      <c r="M73" s="8">
        <f>SUM(M68:M72)</f>
        <v>0</v>
      </c>
      <c r="N73" s="8">
        <f>SUM(N68:N72)</f>
        <v>3512671.7100000004</v>
      </c>
      <c r="P73" s="8">
        <f t="shared" si="47"/>
        <v>319333.79181818187</v>
      </c>
      <c r="Q73" s="8">
        <f t="shared" si="48"/>
        <v>-319333.79181818187</v>
      </c>
    </row>
    <row r="74" spans="1:17" ht="27" customHeight="1" thickBot="1" x14ac:dyDescent="0.3">
      <c r="A74" s="181" t="s">
        <v>60</v>
      </c>
      <c r="B74" s="15">
        <f t="shared" ref="B74:M74" si="52">+B35+B66-B73</f>
        <v>65733.430000119261</v>
      </c>
      <c r="C74" s="15">
        <f t="shared" si="52"/>
        <v>62568.989999789977</v>
      </c>
      <c r="D74" s="15">
        <f t="shared" si="52"/>
        <v>190852.60999993072</v>
      </c>
      <c r="E74" s="15">
        <f t="shared" si="52"/>
        <v>-70572.120000041672</v>
      </c>
      <c r="F74" s="15">
        <f>+F35+F66-F73</f>
        <v>-203742.99999999651</v>
      </c>
      <c r="G74" s="15">
        <f t="shared" si="52"/>
        <v>-88358.510000057286</v>
      </c>
      <c r="H74" s="15">
        <f t="shared" si="52"/>
        <v>0</v>
      </c>
      <c r="I74" s="15">
        <f t="shared" si="52"/>
        <v>0</v>
      </c>
      <c r="J74" s="15">
        <f t="shared" si="52"/>
        <v>0</v>
      </c>
      <c r="K74" s="15">
        <f t="shared" si="52"/>
        <v>0</v>
      </c>
      <c r="L74" s="15">
        <f t="shared" si="52"/>
        <v>0</v>
      </c>
      <c r="M74" s="15">
        <f t="shared" si="52"/>
        <v>0</v>
      </c>
      <c r="N74" s="15">
        <f>+N35+N66-N73</f>
        <v>-43518.599999599624</v>
      </c>
      <c r="P74" s="15">
        <f t="shared" si="47"/>
        <v>-3956.2363635999659</v>
      </c>
      <c r="Q74" s="15">
        <f t="shared" si="48"/>
        <v>3956.2363635999659</v>
      </c>
    </row>
    <row r="75" spans="1:17" ht="15.75" thickTop="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2">
        <f t="shared" si="47"/>
        <v>0</v>
      </c>
      <c r="Q75" s="2">
        <f t="shared" si="48"/>
        <v>0</v>
      </c>
    </row>
    <row r="76" spans="1:17" x14ac:dyDescent="0.25">
      <c r="A76" s="179" t="s">
        <v>61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>
        <v>48009.17</v>
      </c>
      <c r="P76" s="2">
        <f t="shared" si="47"/>
        <v>4364.47</v>
      </c>
      <c r="Q76" s="2">
        <f t="shared" si="48"/>
        <v>-4364.47</v>
      </c>
    </row>
    <row r="77" spans="1:17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>
        <f>N74-N76</f>
        <v>-91527.769999599623</v>
      </c>
      <c r="P77" s="1">
        <f t="shared" si="47"/>
        <v>-8320.7063635999657</v>
      </c>
      <c r="Q77" s="1">
        <f t="shared" si="48"/>
        <v>8320.7063635999657</v>
      </c>
    </row>
    <row r="78" spans="1:17" hidden="1" x14ac:dyDescent="0.25">
      <c r="B78" s="1">
        <f t="shared" ref="B78:K78" si="53">+B74-B77</f>
        <v>65733.430000119261</v>
      </c>
      <c r="C78" s="1">
        <f t="shared" si="53"/>
        <v>62568.989999789977</v>
      </c>
      <c r="D78" s="1">
        <f t="shared" si="53"/>
        <v>190852.60999993072</v>
      </c>
      <c r="E78" s="1">
        <f t="shared" si="53"/>
        <v>-70572.120000041672</v>
      </c>
      <c r="F78" s="1">
        <f t="shared" si="53"/>
        <v>-203742.99999999651</v>
      </c>
      <c r="G78" s="1">
        <f t="shared" si="53"/>
        <v>-88358.510000057286</v>
      </c>
      <c r="H78" s="1">
        <f t="shared" si="53"/>
        <v>0</v>
      </c>
      <c r="I78" s="1">
        <f t="shared" si="53"/>
        <v>0</v>
      </c>
      <c r="J78" s="1">
        <f t="shared" si="53"/>
        <v>0</v>
      </c>
      <c r="K78" s="1">
        <f t="shared" si="53"/>
        <v>0</v>
      </c>
      <c r="L78" s="1">
        <v>0</v>
      </c>
      <c r="M78" s="1"/>
      <c r="N78" s="1">
        <v>0</v>
      </c>
      <c r="P78" s="1">
        <f t="shared" si="47"/>
        <v>0</v>
      </c>
      <c r="Q78" s="1">
        <f t="shared" si="48"/>
        <v>0</v>
      </c>
    </row>
    <row r="79" spans="1:17" ht="15.75" thickBot="1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P79" s="2">
        <f t="shared" si="47"/>
        <v>0</v>
      </c>
      <c r="Q79" s="2">
        <f t="shared" si="48"/>
        <v>0</v>
      </c>
    </row>
    <row r="80" spans="1:17" x14ac:dyDescent="0.25">
      <c r="A80" s="184" t="s">
        <v>62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9"/>
      <c r="P80" s="29">
        <f t="shared" si="47"/>
        <v>0</v>
      </c>
      <c r="Q80" s="29">
        <f t="shared" si="48"/>
        <v>0</v>
      </c>
    </row>
    <row r="81" spans="1:17" x14ac:dyDescent="0.25">
      <c r="A81" s="185" t="s">
        <v>39</v>
      </c>
      <c r="B81" s="6">
        <f t="shared" ref="B81:E82" si="54">+B51</f>
        <v>0</v>
      </c>
      <c r="C81" s="6">
        <f t="shared" si="54"/>
        <v>0</v>
      </c>
      <c r="D81" s="6">
        <f t="shared" si="54"/>
        <v>0</v>
      </c>
      <c r="E81" s="6">
        <f t="shared" si="54"/>
        <v>0</v>
      </c>
      <c r="F81" s="6">
        <f>F102</f>
        <v>0</v>
      </c>
      <c r="G81" s="6">
        <f t="shared" ref="G81:M82" si="55">+G51</f>
        <v>0</v>
      </c>
      <c r="H81" s="6">
        <f t="shared" si="55"/>
        <v>0</v>
      </c>
      <c r="I81" s="6">
        <f t="shared" si="55"/>
        <v>0</v>
      </c>
      <c r="J81" s="6">
        <f t="shared" si="55"/>
        <v>0</v>
      </c>
      <c r="K81" s="6">
        <f t="shared" si="55"/>
        <v>0</v>
      </c>
      <c r="L81" s="6">
        <f t="shared" si="55"/>
        <v>0</v>
      </c>
      <c r="M81" s="6">
        <f t="shared" si="55"/>
        <v>0</v>
      </c>
      <c r="N81" s="30">
        <f>SUM(B81:M81)</f>
        <v>0</v>
      </c>
      <c r="P81" s="30">
        <f t="shared" si="47"/>
        <v>0</v>
      </c>
      <c r="Q81" s="30">
        <f t="shared" si="48"/>
        <v>0</v>
      </c>
    </row>
    <row r="82" spans="1:17" x14ac:dyDescent="0.25">
      <c r="A82" s="185" t="s">
        <v>63</v>
      </c>
      <c r="B82" s="6">
        <f t="shared" si="54"/>
        <v>44174.48</v>
      </c>
      <c r="C82" s="6">
        <f t="shared" si="54"/>
        <v>37026.959999999999</v>
      </c>
      <c r="D82" s="6">
        <f t="shared" si="54"/>
        <v>50952.97</v>
      </c>
      <c r="E82" s="6">
        <f t="shared" si="54"/>
        <v>17383</v>
      </c>
      <c r="F82" s="6">
        <f>F108+F119</f>
        <v>6537.5</v>
      </c>
      <c r="G82" s="6">
        <f t="shared" si="55"/>
        <v>12690.5</v>
      </c>
      <c r="H82" s="6">
        <f t="shared" si="55"/>
        <v>0</v>
      </c>
      <c r="I82" s="6">
        <f t="shared" si="55"/>
        <v>0</v>
      </c>
      <c r="J82" s="6">
        <f t="shared" si="55"/>
        <v>0</v>
      </c>
      <c r="K82" s="6">
        <f t="shared" si="55"/>
        <v>0</v>
      </c>
      <c r="L82" s="6">
        <f t="shared" si="55"/>
        <v>0</v>
      </c>
      <c r="M82" s="6">
        <f t="shared" si="55"/>
        <v>0</v>
      </c>
      <c r="N82" s="30">
        <f>SUM(B82:M82)</f>
        <v>168765.41</v>
      </c>
      <c r="P82" s="30">
        <f t="shared" si="47"/>
        <v>15342.31</v>
      </c>
      <c r="Q82" s="30">
        <f t="shared" si="48"/>
        <v>-15342.31</v>
      </c>
    </row>
    <row r="83" spans="1:17" x14ac:dyDescent="0.25">
      <c r="A83" s="185" t="s">
        <v>64</v>
      </c>
      <c r="B83" s="8">
        <f>SUM(B81:B82)</f>
        <v>44174.48</v>
      </c>
      <c r="C83" s="8">
        <f t="shared" ref="C83:J83" si="56">SUM(C81:C82)</f>
        <v>37026.959999999999</v>
      </c>
      <c r="D83" s="8">
        <f t="shared" si="56"/>
        <v>50952.97</v>
      </c>
      <c r="E83" s="8">
        <f t="shared" si="56"/>
        <v>17383</v>
      </c>
      <c r="F83" s="8">
        <f t="shared" si="56"/>
        <v>6537.5</v>
      </c>
      <c r="G83" s="8">
        <f t="shared" si="56"/>
        <v>12690.5</v>
      </c>
      <c r="H83" s="8">
        <f t="shared" si="56"/>
        <v>0</v>
      </c>
      <c r="I83" s="8">
        <f t="shared" si="56"/>
        <v>0</v>
      </c>
      <c r="J83" s="8">
        <f t="shared" si="56"/>
        <v>0</v>
      </c>
      <c r="K83" s="8">
        <f>SUM(K81:K82)</f>
        <v>0</v>
      </c>
      <c r="L83" s="8">
        <f>SUM(L81:L82)</f>
        <v>0</v>
      </c>
      <c r="M83" s="8">
        <f>SUM(M81:M82)</f>
        <v>0</v>
      </c>
      <c r="N83" s="31">
        <f>SUM(N81:N82)</f>
        <v>168765.41</v>
      </c>
      <c r="P83" s="31">
        <f t="shared" si="47"/>
        <v>15342.31</v>
      </c>
      <c r="Q83" s="31">
        <f t="shared" si="48"/>
        <v>-15342.31</v>
      </c>
    </row>
    <row r="84" spans="1:17" x14ac:dyDescent="0.25">
      <c r="A84" s="18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32"/>
      <c r="P84" s="32">
        <f t="shared" si="47"/>
        <v>0</v>
      </c>
      <c r="Q84" s="32">
        <f t="shared" si="48"/>
        <v>0</v>
      </c>
    </row>
    <row r="85" spans="1:17" x14ac:dyDescent="0.25">
      <c r="A85" s="185" t="s">
        <v>65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32"/>
      <c r="P85" s="32">
        <f t="shared" si="47"/>
        <v>0</v>
      </c>
      <c r="Q85" s="32">
        <f t="shared" si="48"/>
        <v>0</v>
      </c>
    </row>
    <row r="86" spans="1:17" x14ac:dyDescent="0.25">
      <c r="A86" s="185" t="s">
        <v>66</v>
      </c>
      <c r="B86" s="6">
        <f>+B57</f>
        <v>0</v>
      </c>
      <c r="C86" s="6">
        <f>+C57</f>
        <v>0</v>
      </c>
      <c r="D86" s="6">
        <f>+D57</f>
        <v>0</v>
      </c>
      <c r="E86" s="6">
        <f>+E57</f>
        <v>0</v>
      </c>
      <c r="F86" s="6">
        <f>F126</f>
        <v>0</v>
      </c>
      <c r="G86" s="6">
        <f t="shared" ref="G86:M86" si="57">+G57</f>
        <v>0</v>
      </c>
      <c r="H86" s="6">
        <f t="shared" si="57"/>
        <v>0</v>
      </c>
      <c r="I86" s="6">
        <f t="shared" si="57"/>
        <v>0</v>
      </c>
      <c r="J86" s="6">
        <f t="shared" si="57"/>
        <v>0</v>
      </c>
      <c r="K86" s="6">
        <f t="shared" si="57"/>
        <v>0</v>
      </c>
      <c r="L86" s="6">
        <f t="shared" si="57"/>
        <v>0</v>
      </c>
      <c r="M86" s="6">
        <f t="shared" si="57"/>
        <v>0</v>
      </c>
      <c r="N86" s="30">
        <f>SUM(B86:M86)</f>
        <v>0</v>
      </c>
      <c r="P86" s="30">
        <f t="shared" si="47"/>
        <v>0</v>
      </c>
      <c r="Q86" s="30">
        <f t="shared" si="48"/>
        <v>0</v>
      </c>
    </row>
    <row r="87" spans="1:17" x14ac:dyDescent="0.25">
      <c r="A87" s="185" t="s">
        <v>67</v>
      </c>
      <c r="B87" s="6">
        <f t="shared" ref="B87:G87" si="58">B132</f>
        <v>47744.73</v>
      </c>
      <c r="C87" s="6">
        <f t="shared" si="58"/>
        <v>40318.61</v>
      </c>
      <c r="D87" s="6">
        <f t="shared" si="58"/>
        <v>53566.29</v>
      </c>
      <c r="E87" s="6">
        <f t="shared" si="58"/>
        <v>-3427.84</v>
      </c>
      <c r="F87" s="6">
        <f t="shared" si="58"/>
        <v>5808.03</v>
      </c>
      <c r="G87" s="6">
        <f t="shared" si="58"/>
        <v>11225.63</v>
      </c>
      <c r="H87" s="6">
        <f>+H58</f>
        <v>0</v>
      </c>
      <c r="I87" s="6">
        <f>+I58</f>
        <v>0</v>
      </c>
      <c r="J87" s="6">
        <f>+J58</f>
        <v>0</v>
      </c>
      <c r="K87" s="6">
        <f>+K58</f>
        <v>0</v>
      </c>
      <c r="L87" s="6">
        <f>+L58</f>
        <v>0</v>
      </c>
      <c r="M87" s="6"/>
      <c r="N87" s="30">
        <f>SUM(B87:M87)</f>
        <v>155235.45000000001</v>
      </c>
      <c r="P87" s="30">
        <f t="shared" si="47"/>
        <v>14112.313636363637</v>
      </c>
      <c r="Q87" s="30">
        <f t="shared" si="48"/>
        <v>-14112.313636363637</v>
      </c>
    </row>
    <row r="88" spans="1:17" x14ac:dyDescent="0.25">
      <c r="A88" s="185" t="s">
        <v>68</v>
      </c>
      <c r="B88" s="6">
        <f t="shared" ref="B88:L88" si="59">B164</f>
        <v>0</v>
      </c>
      <c r="C88" s="6">
        <f t="shared" si="59"/>
        <v>800</v>
      </c>
      <c r="D88" s="6">
        <f t="shared" si="59"/>
        <v>0</v>
      </c>
      <c r="E88" s="6">
        <f t="shared" si="59"/>
        <v>0</v>
      </c>
      <c r="F88" s="6">
        <f t="shared" si="59"/>
        <v>0</v>
      </c>
      <c r="G88" s="6">
        <f t="shared" si="59"/>
        <v>0</v>
      </c>
      <c r="H88" s="6">
        <f t="shared" si="59"/>
        <v>0</v>
      </c>
      <c r="I88" s="6">
        <f t="shared" si="59"/>
        <v>0</v>
      </c>
      <c r="J88" s="6">
        <f t="shared" si="59"/>
        <v>0</v>
      </c>
      <c r="K88" s="6">
        <f t="shared" si="59"/>
        <v>0</v>
      </c>
      <c r="L88" s="6">
        <f t="shared" si="59"/>
        <v>0</v>
      </c>
      <c r="M88" s="6"/>
      <c r="N88" s="30">
        <f>SUM(B88:M88)</f>
        <v>800</v>
      </c>
      <c r="P88" s="30">
        <f t="shared" si="47"/>
        <v>72.727272727272734</v>
      </c>
      <c r="Q88" s="30">
        <f t="shared" si="48"/>
        <v>-72.727272727272734</v>
      </c>
    </row>
    <row r="89" spans="1:17" x14ac:dyDescent="0.25">
      <c r="A89" s="185" t="s">
        <v>69</v>
      </c>
      <c r="B89" s="6">
        <f>B176</f>
        <v>1.87</v>
      </c>
      <c r="C89" s="6">
        <f t="shared" ref="C89:M89" si="60">C176</f>
        <v>0</v>
      </c>
      <c r="D89" s="6">
        <f t="shared" si="60"/>
        <v>-115.12</v>
      </c>
      <c r="E89" s="6">
        <f t="shared" si="60"/>
        <v>3216.06</v>
      </c>
      <c r="F89" s="6">
        <f t="shared" si="60"/>
        <v>-2308</v>
      </c>
      <c r="G89" s="6">
        <f t="shared" si="60"/>
        <v>0</v>
      </c>
      <c r="H89" s="6">
        <f t="shared" si="60"/>
        <v>0</v>
      </c>
      <c r="I89" s="6">
        <f t="shared" si="60"/>
        <v>0</v>
      </c>
      <c r="J89" s="6">
        <f t="shared" si="60"/>
        <v>0</v>
      </c>
      <c r="K89" s="6">
        <f t="shared" si="60"/>
        <v>0</v>
      </c>
      <c r="L89" s="6">
        <f t="shared" si="60"/>
        <v>0</v>
      </c>
      <c r="M89" s="6">
        <f t="shared" si="60"/>
        <v>0</v>
      </c>
      <c r="N89" s="30">
        <f>SUM(B89:M89)</f>
        <v>794.81</v>
      </c>
      <c r="P89" s="30">
        <f t="shared" si="47"/>
        <v>72.25545454545454</v>
      </c>
      <c r="Q89" s="30">
        <f t="shared" si="48"/>
        <v>-72.25545454545454</v>
      </c>
    </row>
    <row r="90" spans="1:17" x14ac:dyDescent="0.25">
      <c r="A90" s="185" t="s">
        <v>70</v>
      </c>
      <c r="B90" s="6">
        <f>B64</f>
        <v>0</v>
      </c>
      <c r="C90" s="6">
        <f>C64</f>
        <v>878</v>
      </c>
      <c r="D90" s="6">
        <f>D64</f>
        <v>0</v>
      </c>
      <c r="E90" s="6">
        <f>E64</f>
        <v>0</v>
      </c>
      <c r="F90" s="6">
        <f>F171</f>
        <v>620</v>
      </c>
      <c r="G90" s="6">
        <f t="shared" ref="G90:M90" si="61">G64</f>
        <v>0</v>
      </c>
      <c r="H90" s="6">
        <f t="shared" si="61"/>
        <v>0</v>
      </c>
      <c r="I90" s="6">
        <f t="shared" si="61"/>
        <v>0</v>
      </c>
      <c r="J90" s="6">
        <f t="shared" si="61"/>
        <v>0</v>
      </c>
      <c r="K90" s="6">
        <f t="shared" si="61"/>
        <v>0</v>
      </c>
      <c r="L90" s="6">
        <f t="shared" si="61"/>
        <v>0</v>
      </c>
      <c r="M90" s="6">
        <f t="shared" si="61"/>
        <v>0</v>
      </c>
      <c r="N90" s="30">
        <f>SUM(B90:M90)</f>
        <v>1498</v>
      </c>
      <c r="P90" s="30">
        <f t="shared" si="47"/>
        <v>136.18181818181819</v>
      </c>
      <c r="Q90" s="30">
        <f t="shared" si="48"/>
        <v>-136.18181818181819</v>
      </c>
    </row>
    <row r="91" spans="1:17" x14ac:dyDescent="0.25">
      <c r="A91" s="185"/>
      <c r="B91" s="8">
        <f>SUM(B86:B90)</f>
        <v>47746.600000000006</v>
      </c>
      <c r="C91" s="8">
        <f t="shared" ref="C91:L91" si="62">SUM(C86:C90)</f>
        <v>41996.61</v>
      </c>
      <c r="D91" s="8">
        <f t="shared" si="62"/>
        <v>53451.17</v>
      </c>
      <c r="E91" s="8">
        <f t="shared" si="62"/>
        <v>-211.7800000000002</v>
      </c>
      <c r="F91" s="8">
        <f t="shared" si="62"/>
        <v>4120.03</v>
      </c>
      <c r="G91" s="8">
        <f t="shared" si="62"/>
        <v>11225.63</v>
      </c>
      <c r="H91" s="8">
        <f t="shared" si="62"/>
        <v>0</v>
      </c>
      <c r="I91" s="8">
        <f t="shared" si="62"/>
        <v>0</v>
      </c>
      <c r="J91" s="8">
        <f t="shared" si="62"/>
        <v>0</v>
      </c>
      <c r="K91" s="8">
        <f t="shared" si="62"/>
        <v>0</v>
      </c>
      <c r="L91" s="8">
        <f t="shared" si="62"/>
        <v>0</v>
      </c>
      <c r="M91" s="8">
        <f>SUM(M86:M90)</f>
        <v>0</v>
      </c>
      <c r="N91" s="31">
        <f>SUM(N86:N90)</f>
        <v>158328.26</v>
      </c>
      <c r="P91" s="31">
        <f t="shared" si="47"/>
        <v>14393.478181818182</v>
      </c>
      <c r="Q91" s="31">
        <f t="shared" si="48"/>
        <v>-14393.478181818182</v>
      </c>
    </row>
    <row r="92" spans="1:17" ht="27" customHeight="1" thickBot="1" x14ac:dyDescent="0.3">
      <c r="A92" s="185"/>
      <c r="B92" s="33">
        <f>+B83-B91</f>
        <v>-3572.1200000000026</v>
      </c>
      <c r="C92" s="33">
        <f t="shared" ref="C92:L92" si="63">+C83-C91</f>
        <v>-4969.6500000000015</v>
      </c>
      <c r="D92" s="33">
        <f t="shared" si="63"/>
        <v>-2498.1999999999971</v>
      </c>
      <c r="E92" s="33">
        <f t="shared" si="63"/>
        <v>17594.78</v>
      </c>
      <c r="F92" s="33">
        <f t="shared" si="63"/>
        <v>2417.4700000000003</v>
      </c>
      <c r="G92" s="33">
        <f t="shared" si="63"/>
        <v>1464.8700000000008</v>
      </c>
      <c r="H92" s="33">
        <f t="shared" si="63"/>
        <v>0</v>
      </c>
      <c r="I92" s="33">
        <f t="shared" si="63"/>
        <v>0</v>
      </c>
      <c r="J92" s="33">
        <f t="shared" si="63"/>
        <v>0</v>
      </c>
      <c r="K92" s="33">
        <f t="shared" si="63"/>
        <v>0</v>
      </c>
      <c r="L92" s="33">
        <f t="shared" si="63"/>
        <v>0</v>
      </c>
      <c r="M92" s="33">
        <f>+M83-M91</f>
        <v>0</v>
      </c>
      <c r="N92" s="34">
        <f>+N83-N91</f>
        <v>10437.149999999994</v>
      </c>
      <c r="P92" s="34">
        <f t="shared" si="47"/>
        <v>948.83181818181765</v>
      </c>
      <c r="Q92" s="34">
        <f t="shared" si="48"/>
        <v>-948.83181818181765</v>
      </c>
    </row>
    <row r="93" spans="1:17" ht="16.5" thickTop="1" thickBot="1" x14ac:dyDescent="0.3">
      <c r="A93" s="18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7"/>
      <c r="P93" s="37">
        <f t="shared" si="47"/>
        <v>0</v>
      </c>
      <c r="Q93" s="37">
        <f t="shared" si="48"/>
        <v>0</v>
      </c>
    </row>
    <row r="94" spans="1:17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P94" s="2">
        <f t="shared" si="47"/>
        <v>0</v>
      </c>
      <c r="Q94" s="2">
        <f t="shared" si="48"/>
        <v>0</v>
      </c>
    </row>
    <row r="95" spans="1:17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P95" s="2">
        <f t="shared" si="47"/>
        <v>0</v>
      </c>
      <c r="Q95" s="2">
        <f t="shared" si="48"/>
        <v>0</v>
      </c>
    </row>
    <row r="96" spans="1:17" s="17" customFormat="1" ht="30.75" customHeight="1" x14ac:dyDescent="0.25">
      <c r="A96" s="182" t="s">
        <v>71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11">
        <f>SUM(B96:M96)</f>
        <v>0</v>
      </c>
      <c r="P96" s="11">
        <f t="shared" si="47"/>
        <v>0</v>
      </c>
      <c r="Q96" s="11">
        <f t="shared" si="48"/>
        <v>0</v>
      </c>
    </row>
    <row r="97" spans="1:17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P97" s="2">
        <f t="shared" si="47"/>
        <v>0</v>
      </c>
      <c r="Q97" s="2">
        <f t="shared" si="48"/>
        <v>0</v>
      </c>
    </row>
    <row r="98" spans="1:17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 s="2">
        <f t="shared" si="47"/>
        <v>0</v>
      </c>
      <c r="Q98" s="2">
        <f t="shared" si="48"/>
        <v>0</v>
      </c>
    </row>
    <row r="99" spans="1:17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 s="2">
        <f t="shared" si="47"/>
        <v>0</v>
      </c>
      <c r="Q99" s="2">
        <f t="shared" si="48"/>
        <v>0</v>
      </c>
    </row>
    <row r="100" spans="1:17" s="38" customFormat="1" ht="15.75" thickBot="1" x14ac:dyDescent="0.3">
      <c r="A100" s="187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P100" s="38">
        <f t="shared" si="47"/>
        <v>0</v>
      </c>
      <c r="Q100" s="38">
        <f t="shared" si="48"/>
        <v>0</v>
      </c>
    </row>
    <row r="101" spans="1:17" x14ac:dyDescent="0.25">
      <c r="A101" s="18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 s="2">
        <f t="shared" si="47"/>
        <v>0</v>
      </c>
      <c r="Q101" s="2">
        <f t="shared" si="48"/>
        <v>0</v>
      </c>
    </row>
    <row r="102" spans="1:17" x14ac:dyDescent="0.25">
      <c r="A102" s="179" t="s">
        <v>72</v>
      </c>
      <c r="B102" s="1">
        <v>0</v>
      </c>
      <c r="C102" s="1">
        <v>0</v>
      </c>
      <c r="D102" s="1">
        <v>0</v>
      </c>
      <c r="E102" s="1"/>
      <c r="F102" s="1"/>
      <c r="G102" s="1">
        <v>0</v>
      </c>
      <c r="H102" s="1"/>
      <c r="I102" s="1"/>
      <c r="J102" s="1"/>
      <c r="K102" s="1"/>
      <c r="L102" s="1"/>
      <c r="M102" s="1"/>
      <c r="N102" s="1">
        <f t="shared" ref="N102:N122" si="64">SUM(B102:M102)</f>
        <v>0</v>
      </c>
      <c r="P102" s="1">
        <f t="shared" si="47"/>
        <v>0</v>
      </c>
      <c r="Q102" s="1">
        <f t="shared" si="48"/>
        <v>0</v>
      </c>
    </row>
    <row r="103" spans="1:17" x14ac:dyDescent="0.25">
      <c r="A103" s="179" t="s">
        <v>73</v>
      </c>
      <c r="B103" s="1">
        <v>154744703.27000001</v>
      </c>
      <c r="C103" s="1">
        <v>123954975.27</v>
      </c>
      <c r="D103" s="1">
        <v>101935013.19</v>
      </c>
      <c r="E103" s="1">
        <v>92863307.959999993</v>
      </c>
      <c r="F103" s="1">
        <v>94258757.019999996</v>
      </c>
      <c r="G103" s="1">
        <v>97605649.239999995</v>
      </c>
      <c r="H103" s="1"/>
      <c r="I103" s="1"/>
      <c r="J103" s="1"/>
      <c r="K103" s="1"/>
      <c r="L103" s="1"/>
      <c r="M103" s="1"/>
      <c r="N103" s="1">
        <f t="shared" si="64"/>
        <v>665362405.95000005</v>
      </c>
      <c r="P103" s="1">
        <f t="shared" si="47"/>
        <v>60487491.450000003</v>
      </c>
      <c r="Q103" s="1">
        <f t="shared" si="48"/>
        <v>-60487491.450000003</v>
      </c>
    </row>
    <row r="104" spans="1:17" x14ac:dyDescent="0.25">
      <c r="A104" s="179" t="s">
        <v>74</v>
      </c>
      <c r="B104" s="1">
        <v>474420383.94999999</v>
      </c>
      <c r="C104" s="1">
        <v>1272769788.22</v>
      </c>
      <c r="D104" s="1">
        <v>305526926.99000001</v>
      </c>
      <c r="E104" s="1">
        <v>46941731.32</v>
      </c>
      <c r="F104" s="1">
        <v>115118797.62</v>
      </c>
      <c r="G104" s="1">
        <v>261188870.69</v>
      </c>
      <c r="H104" s="1"/>
      <c r="I104" s="1"/>
      <c r="J104" s="1"/>
      <c r="K104" s="1"/>
      <c r="L104" s="1"/>
      <c r="M104" s="1"/>
      <c r="N104" s="1">
        <f t="shared" si="64"/>
        <v>2475966498.79</v>
      </c>
      <c r="P104" s="1">
        <f t="shared" si="47"/>
        <v>225087863.52636364</v>
      </c>
      <c r="Q104" s="1">
        <f t="shared" si="48"/>
        <v>-225087863.52636364</v>
      </c>
    </row>
    <row r="105" spans="1:17" x14ac:dyDescent="0.25">
      <c r="A105" s="179" t="s">
        <v>75</v>
      </c>
      <c r="B105" s="1">
        <v>2898099.37</v>
      </c>
      <c r="C105" s="1">
        <v>2610105.7200000002</v>
      </c>
      <c r="D105" s="1">
        <v>622399.88</v>
      </c>
      <c r="E105" s="1">
        <v>1945746.84</v>
      </c>
      <c r="F105" s="1">
        <v>1927944.8</v>
      </c>
      <c r="G105" s="1">
        <v>474866.98</v>
      </c>
      <c r="H105" s="1"/>
      <c r="I105" s="1"/>
      <c r="J105" s="1"/>
      <c r="K105" s="1"/>
      <c r="L105" s="1"/>
      <c r="M105" s="1"/>
      <c r="N105" s="1">
        <f t="shared" si="64"/>
        <v>10479163.59</v>
      </c>
      <c r="P105" s="1">
        <f t="shared" si="47"/>
        <v>952651.23545454547</v>
      </c>
      <c r="Q105" s="1">
        <f t="shared" si="48"/>
        <v>-952651.23545454547</v>
      </c>
    </row>
    <row r="106" spans="1:17" x14ac:dyDescent="0.25">
      <c r="A106" s="179" t="s">
        <v>76</v>
      </c>
      <c r="B106" s="1">
        <v>3238349</v>
      </c>
      <c r="C106" s="1">
        <v>1478660.42</v>
      </c>
      <c r="D106" s="1">
        <v>1427673</v>
      </c>
      <c r="E106" s="1">
        <v>2167697.4500000002</v>
      </c>
      <c r="F106" s="1">
        <v>847867.6</v>
      </c>
      <c r="G106" s="1">
        <v>844240.5</v>
      </c>
      <c r="H106" s="1"/>
      <c r="I106" s="1"/>
      <c r="J106" s="1"/>
      <c r="K106" s="1"/>
      <c r="L106" s="1"/>
      <c r="M106" s="1"/>
      <c r="N106" s="1">
        <f t="shared" si="64"/>
        <v>10004487.970000001</v>
      </c>
      <c r="P106" s="1">
        <f t="shared" si="47"/>
        <v>909498.90636363637</v>
      </c>
      <c r="Q106" s="1">
        <f t="shared" si="48"/>
        <v>-909498.90636363637</v>
      </c>
    </row>
    <row r="107" spans="1:17" x14ac:dyDescent="0.25">
      <c r="A107" s="179" t="s">
        <v>77</v>
      </c>
      <c r="B107" s="1">
        <v>0</v>
      </c>
      <c r="C107" s="1">
        <v>0</v>
      </c>
      <c r="D107" s="1">
        <v>0</v>
      </c>
      <c r="E107" s="1">
        <v>0</v>
      </c>
      <c r="F107" s="1">
        <v>100</v>
      </c>
      <c r="G107" s="1">
        <v>0</v>
      </c>
      <c r="H107" s="1"/>
      <c r="I107" s="1"/>
      <c r="J107" s="1"/>
      <c r="K107" s="1"/>
      <c r="L107" s="1"/>
      <c r="M107" s="1"/>
      <c r="N107" s="1">
        <f t="shared" si="64"/>
        <v>100</v>
      </c>
      <c r="P107" s="1">
        <f t="shared" si="47"/>
        <v>9.0909090909090917</v>
      </c>
      <c r="Q107" s="1">
        <f t="shared" si="48"/>
        <v>-9.0909090909090917</v>
      </c>
    </row>
    <row r="108" spans="1:17" x14ac:dyDescent="0.25">
      <c r="A108" s="179" t="s">
        <v>78</v>
      </c>
      <c r="B108" s="1">
        <v>44174.48</v>
      </c>
      <c r="C108" s="1">
        <v>37026.959999999999</v>
      </c>
      <c r="D108" s="1">
        <v>50952.97</v>
      </c>
      <c r="E108" s="1">
        <v>17383</v>
      </c>
      <c r="F108" s="1">
        <v>6537.5</v>
      </c>
      <c r="G108" s="1">
        <v>12690.5</v>
      </c>
      <c r="H108" s="1"/>
      <c r="I108" s="1"/>
      <c r="J108" s="1"/>
      <c r="K108" s="1"/>
      <c r="L108" s="1"/>
      <c r="M108" s="1"/>
      <c r="N108" s="1">
        <f t="shared" si="64"/>
        <v>168765.41</v>
      </c>
      <c r="P108" s="1">
        <f t="shared" si="47"/>
        <v>15342.31</v>
      </c>
      <c r="Q108" s="1">
        <f t="shared" si="48"/>
        <v>-15342.31</v>
      </c>
    </row>
    <row r="109" spans="1:17" x14ac:dyDescent="0.25">
      <c r="A109" s="179" t="s">
        <v>79</v>
      </c>
      <c r="B109" s="1">
        <v>0</v>
      </c>
      <c r="C109" s="1">
        <v>40000</v>
      </c>
      <c r="D109" s="1">
        <v>0</v>
      </c>
      <c r="E109" s="1">
        <v>0</v>
      </c>
      <c r="F109" s="1">
        <v>0</v>
      </c>
      <c r="G109" s="1">
        <v>0</v>
      </c>
      <c r="H109" s="1"/>
      <c r="I109" s="1"/>
      <c r="J109" s="1"/>
      <c r="K109" s="1"/>
      <c r="L109" s="1"/>
      <c r="M109" s="1"/>
      <c r="N109" s="1">
        <f t="shared" si="64"/>
        <v>40000</v>
      </c>
      <c r="P109" s="1">
        <f t="shared" si="47"/>
        <v>3636.3636363636365</v>
      </c>
      <c r="Q109" s="1">
        <f t="shared" si="48"/>
        <v>-3636.3636363636365</v>
      </c>
    </row>
    <row r="110" spans="1:17" x14ac:dyDescent="0.25">
      <c r="A110" s="179" t="s">
        <v>80</v>
      </c>
      <c r="B110" s="1">
        <v>85825</v>
      </c>
      <c r="C110" s="1">
        <v>579872.5</v>
      </c>
      <c r="D110" s="1">
        <v>108078.75</v>
      </c>
      <c r="E110" s="1">
        <v>961999.14</v>
      </c>
      <c r="F110" s="1">
        <v>349854.6</v>
      </c>
      <c r="G110" s="1">
        <v>1360150.98</v>
      </c>
      <c r="H110" s="1"/>
      <c r="I110" s="1"/>
      <c r="J110" s="1"/>
      <c r="K110" s="1"/>
      <c r="L110" s="1"/>
      <c r="M110" s="1"/>
      <c r="N110" s="1">
        <f t="shared" si="64"/>
        <v>3445780.97</v>
      </c>
      <c r="P110" s="1">
        <f t="shared" si="47"/>
        <v>313252.81545454549</v>
      </c>
      <c r="Q110" s="1">
        <f t="shared" si="48"/>
        <v>-313252.81545454549</v>
      </c>
    </row>
    <row r="111" spans="1:17" x14ac:dyDescent="0.25">
      <c r="A111" s="179" t="s">
        <v>81</v>
      </c>
      <c r="B111" s="1">
        <v>26781.78</v>
      </c>
      <c r="C111" s="1">
        <v>27848.98</v>
      </c>
      <c r="D111" s="1">
        <v>17975.66</v>
      </c>
      <c r="E111" s="1">
        <v>19219.95</v>
      </c>
      <c r="F111" s="1">
        <v>22546.73</v>
      </c>
      <c r="G111" s="1">
        <v>22323.95</v>
      </c>
      <c r="H111" s="1"/>
      <c r="I111" s="1"/>
      <c r="J111" s="1"/>
      <c r="K111" s="1"/>
      <c r="L111" s="1"/>
      <c r="M111" s="1"/>
      <c r="N111" s="1">
        <f t="shared" si="64"/>
        <v>136697.04999999999</v>
      </c>
      <c r="P111" s="1">
        <f t="shared" si="47"/>
        <v>12427.004545454545</v>
      </c>
      <c r="Q111" s="1">
        <f t="shared" si="48"/>
        <v>-12427.004545454545</v>
      </c>
    </row>
    <row r="112" spans="1:17" x14ac:dyDescent="0.25">
      <c r="A112" s="179" t="s">
        <v>82</v>
      </c>
      <c r="B112" s="1">
        <v>5348.08</v>
      </c>
      <c r="C112" s="1">
        <v>3319.45</v>
      </c>
      <c r="D112" s="1">
        <v>4134.66</v>
      </c>
      <c r="E112" s="1">
        <v>2672.3</v>
      </c>
      <c r="F112" s="1">
        <v>3055.3</v>
      </c>
      <c r="G112" s="1">
        <v>3045.54</v>
      </c>
      <c r="H112" s="1"/>
      <c r="I112" s="1"/>
      <c r="J112" s="1"/>
      <c r="K112" s="1"/>
      <c r="L112" s="1"/>
      <c r="M112" s="1"/>
      <c r="N112" s="1">
        <f t="shared" si="64"/>
        <v>21575.329999999998</v>
      </c>
      <c r="P112" s="1">
        <f t="shared" si="47"/>
        <v>1961.3936363636362</v>
      </c>
      <c r="Q112" s="1">
        <f t="shared" si="48"/>
        <v>-1961.3936363636362</v>
      </c>
    </row>
    <row r="113" spans="1:17" x14ac:dyDescent="0.25">
      <c r="A113" s="179" t="s">
        <v>83</v>
      </c>
      <c r="B113" s="1">
        <v>11966.67</v>
      </c>
      <c r="C113" s="1">
        <v>6875.97</v>
      </c>
      <c r="D113" s="1">
        <v>42473.86</v>
      </c>
      <c r="E113" s="1">
        <v>8332.3799999999992</v>
      </c>
      <c r="F113" s="1">
        <v>47717.82</v>
      </c>
      <c r="G113" s="1">
        <v>14103.21</v>
      </c>
      <c r="H113" s="1"/>
      <c r="I113" s="1"/>
      <c r="J113" s="1"/>
      <c r="K113" s="1"/>
      <c r="L113" s="1"/>
      <c r="M113" s="1"/>
      <c r="N113" s="1">
        <f t="shared" si="64"/>
        <v>131469.91</v>
      </c>
      <c r="P113" s="1">
        <f t="shared" si="47"/>
        <v>11951.81</v>
      </c>
      <c r="Q113" s="1">
        <f t="shared" si="48"/>
        <v>-11951.81</v>
      </c>
    </row>
    <row r="114" spans="1:17" x14ac:dyDescent="0.25">
      <c r="A114" s="179" t="s">
        <v>84</v>
      </c>
      <c r="B114" s="1">
        <v>-181274.6</v>
      </c>
      <c r="C114" s="1">
        <v>-14353247.48</v>
      </c>
      <c r="D114" s="1">
        <v>-865145</v>
      </c>
      <c r="E114" s="1">
        <v>-191768.9</v>
      </c>
      <c r="F114" s="1">
        <v>0</v>
      </c>
      <c r="G114" s="1">
        <v>-4824560.62</v>
      </c>
      <c r="H114" s="1"/>
      <c r="I114" s="1"/>
      <c r="J114" s="1"/>
      <c r="K114" s="1"/>
      <c r="L114" s="1"/>
      <c r="M114" s="1"/>
      <c r="N114" s="1">
        <f t="shared" si="64"/>
        <v>-20415996.600000001</v>
      </c>
      <c r="P114" s="1">
        <f t="shared" si="47"/>
        <v>-1855999.6909090912</v>
      </c>
      <c r="Q114" s="1">
        <f t="shared" si="48"/>
        <v>1855999.6909090912</v>
      </c>
    </row>
    <row r="115" spans="1:17" x14ac:dyDescent="0.25">
      <c r="A115" s="179" t="s">
        <v>85</v>
      </c>
      <c r="B115" s="1">
        <v>-49890630.729999997</v>
      </c>
      <c r="C115" s="1">
        <v>-60452389.869999997</v>
      </c>
      <c r="D115" s="1">
        <v>-214404.86</v>
      </c>
      <c r="E115" s="1"/>
      <c r="F115" s="1">
        <v>-57992.4</v>
      </c>
      <c r="G115" s="1">
        <v>-225137.37</v>
      </c>
      <c r="H115" s="1"/>
      <c r="I115" s="1"/>
      <c r="J115" s="1"/>
      <c r="K115" s="1"/>
      <c r="L115" s="1"/>
      <c r="M115" s="1"/>
      <c r="N115" s="1">
        <f t="shared" si="64"/>
        <v>-110840555.23</v>
      </c>
      <c r="P115" s="1">
        <f t="shared" si="47"/>
        <v>-10076414.111818181</v>
      </c>
      <c r="Q115" s="1">
        <f t="shared" si="48"/>
        <v>10076414.111818181</v>
      </c>
    </row>
    <row r="116" spans="1:17" x14ac:dyDescent="0.25">
      <c r="A116" s="179" t="s">
        <v>86</v>
      </c>
      <c r="B116" s="1">
        <v>-13395</v>
      </c>
      <c r="C116" s="1">
        <v>-13570</v>
      </c>
      <c r="D116" s="1">
        <v>0</v>
      </c>
      <c r="E116" s="1"/>
      <c r="F116" s="1">
        <v>0</v>
      </c>
      <c r="G116" s="1">
        <v>0</v>
      </c>
      <c r="H116" s="1"/>
      <c r="I116" s="1"/>
      <c r="J116" s="1"/>
      <c r="K116" s="1"/>
      <c r="L116" s="1"/>
      <c r="M116" s="1"/>
      <c r="N116" s="1">
        <f t="shared" si="64"/>
        <v>-26965</v>
      </c>
      <c r="P116" s="1">
        <f t="shared" si="47"/>
        <v>-2451.3636363636365</v>
      </c>
      <c r="Q116" s="1">
        <f t="shared" si="48"/>
        <v>2451.3636363636365</v>
      </c>
    </row>
    <row r="117" spans="1:17" x14ac:dyDescent="0.25">
      <c r="A117" s="179" t="s">
        <v>87</v>
      </c>
      <c r="B117" s="1">
        <v>0</v>
      </c>
      <c r="C117" s="1">
        <v>0</v>
      </c>
      <c r="D117" s="1">
        <v>0</v>
      </c>
      <c r="E117" s="1"/>
      <c r="F117" s="1">
        <v>0</v>
      </c>
      <c r="G117" s="1">
        <v>-59280</v>
      </c>
      <c r="H117" s="1"/>
      <c r="I117" s="1"/>
      <c r="J117" s="1"/>
      <c r="K117" s="1"/>
      <c r="L117" s="1"/>
      <c r="M117" s="1"/>
      <c r="N117" s="1">
        <f t="shared" si="64"/>
        <v>-59280</v>
      </c>
      <c r="P117" s="1">
        <f t="shared" si="47"/>
        <v>-5389.090909090909</v>
      </c>
      <c r="Q117" s="1">
        <f t="shared" si="48"/>
        <v>5389.090909090909</v>
      </c>
    </row>
    <row r="118" spans="1:17" x14ac:dyDescent="0.25">
      <c r="A118" s="179" t="s">
        <v>88</v>
      </c>
      <c r="B118" s="1">
        <v>0</v>
      </c>
      <c r="C118" s="1">
        <v>0</v>
      </c>
      <c r="D118" s="1">
        <v>0</v>
      </c>
      <c r="E118" s="1"/>
      <c r="F118" s="1">
        <v>0</v>
      </c>
      <c r="G118" s="1">
        <v>0</v>
      </c>
      <c r="H118" s="1"/>
      <c r="I118" s="1"/>
      <c r="J118" s="1"/>
      <c r="K118" s="1"/>
      <c r="L118" s="1"/>
      <c r="M118" s="1"/>
      <c r="N118" s="1">
        <f t="shared" si="64"/>
        <v>0</v>
      </c>
      <c r="P118" s="1">
        <f t="shared" si="47"/>
        <v>0</v>
      </c>
      <c r="Q118" s="1">
        <f t="shared" si="48"/>
        <v>0</v>
      </c>
    </row>
    <row r="119" spans="1:17" x14ac:dyDescent="0.25">
      <c r="A119" s="179" t="s">
        <v>89</v>
      </c>
      <c r="B119" s="1">
        <v>0</v>
      </c>
      <c r="C119" s="1">
        <v>0</v>
      </c>
      <c r="D119" s="1">
        <v>0</v>
      </c>
      <c r="E119" s="1"/>
      <c r="F119" s="1">
        <v>0</v>
      </c>
      <c r="G119" s="1">
        <v>0</v>
      </c>
      <c r="H119" s="1"/>
      <c r="I119" s="1"/>
      <c r="J119" s="1"/>
      <c r="K119" s="1"/>
      <c r="L119" s="1"/>
      <c r="M119" s="1"/>
      <c r="N119" s="1">
        <f t="shared" si="64"/>
        <v>0</v>
      </c>
      <c r="P119" s="1">
        <f t="shared" si="47"/>
        <v>0</v>
      </c>
      <c r="Q119" s="1">
        <f t="shared" si="48"/>
        <v>0</v>
      </c>
    </row>
    <row r="120" spans="1:17" x14ac:dyDescent="0.25">
      <c r="A120" s="179" t="s">
        <v>90</v>
      </c>
      <c r="B120" s="1">
        <v>0</v>
      </c>
      <c r="C120" s="1">
        <v>0</v>
      </c>
      <c r="D120" s="1">
        <v>0</v>
      </c>
      <c r="E120" s="1">
        <v>-58450</v>
      </c>
      <c r="F120" s="1">
        <v>-38855</v>
      </c>
      <c r="G120" s="1">
        <v>-113930</v>
      </c>
      <c r="H120" s="1"/>
      <c r="I120" s="1"/>
      <c r="J120" s="1"/>
      <c r="K120" s="1"/>
      <c r="L120" s="1"/>
      <c r="M120" s="1"/>
      <c r="N120" s="1">
        <f t="shared" si="64"/>
        <v>-211235</v>
      </c>
      <c r="P120" s="1">
        <f t="shared" si="47"/>
        <v>-19203.18181818182</v>
      </c>
      <c r="Q120" s="1">
        <f t="shared" si="48"/>
        <v>19203.18181818182</v>
      </c>
    </row>
    <row r="121" spans="1:17" x14ac:dyDescent="0.25">
      <c r="A121" s="179" t="s">
        <v>91</v>
      </c>
      <c r="B121" s="1">
        <v>0</v>
      </c>
      <c r="C121" s="1">
        <v>0</v>
      </c>
      <c r="D121" s="1">
        <v>0</v>
      </c>
      <c r="E121" s="1">
        <v>279000</v>
      </c>
      <c r="F121" s="1"/>
      <c r="G121" s="1">
        <v>1845</v>
      </c>
      <c r="H121" s="1"/>
      <c r="I121" s="1"/>
      <c r="J121" s="1"/>
      <c r="K121" s="1"/>
      <c r="L121" s="1"/>
      <c r="M121" s="1"/>
      <c r="N121" s="1">
        <f t="shared" si="64"/>
        <v>280845</v>
      </c>
      <c r="P121" s="1"/>
      <c r="Q121" s="1"/>
    </row>
    <row r="122" spans="1:17" x14ac:dyDescent="0.25">
      <c r="A122" s="179" t="s">
        <v>92</v>
      </c>
      <c r="B122" s="1">
        <v>0</v>
      </c>
      <c r="C122" s="1">
        <v>0</v>
      </c>
      <c r="D122" s="1">
        <v>0</v>
      </c>
      <c r="E122" s="1">
        <v>13312.5</v>
      </c>
      <c r="F122" s="1"/>
      <c r="G122" s="1">
        <v>0</v>
      </c>
      <c r="H122" s="1"/>
      <c r="I122" s="1"/>
      <c r="J122" s="1"/>
      <c r="K122" s="1"/>
      <c r="L122" s="1"/>
      <c r="M122" s="1"/>
      <c r="N122" s="1">
        <f t="shared" si="64"/>
        <v>13312.5</v>
      </c>
      <c r="P122" s="1"/>
      <c r="Q122" s="1"/>
    </row>
    <row r="123" spans="1:17" s="39" customFormat="1" ht="15.75" thickBot="1" x14ac:dyDescent="0.3">
      <c r="A123" s="189" t="s">
        <v>93</v>
      </c>
      <c r="B123" s="40">
        <f>SUM(B102:B122)</f>
        <v>585390331.26999998</v>
      </c>
      <c r="C123" s="40">
        <f t="shared" ref="C123:M123" si="65">SUM(C102:C122)</f>
        <v>1326689266.1400003</v>
      </c>
      <c r="D123" s="40">
        <f t="shared" si="65"/>
        <v>408656079.10000008</v>
      </c>
      <c r="E123" s="40">
        <f t="shared" si="65"/>
        <v>144970183.93999997</v>
      </c>
      <c r="F123" s="40">
        <f t="shared" si="65"/>
        <v>212486331.58999997</v>
      </c>
      <c r="G123" s="40">
        <f t="shared" si="65"/>
        <v>356304878.60000002</v>
      </c>
      <c r="H123" s="40">
        <f t="shared" si="65"/>
        <v>0</v>
      </c>
      <c r="I123" s="40">
        <f t="shared" si="65"/>
        <v>0</v>
      </c>
      <c r="J123" s="40">
        <f t="shared" si="65"/>
        <v>0</v>
      </c>
      <c r="K123" s="40">
        <f t="shared" si="65"/>
        <v>0</v>
      </c>
      <c r="L123" s="40">
        <f t="shared" si="65"/>
        <v>0</v>
      </c>
      <c r="M123" s="40">
        <f t="shared" si="65"/>
        <v>0</v>
      </c>
      <c r="N123" s="40">
        <f>SUM(N102:N122)</f>
        <v>3034497070.6399994</v>
      </c>
      <c r="P123" s="40">
        <f t="shared" si="47"/>
        <v>275863370.05818176</v>
      </c>
      <c r="Q123" s="40">
        <f t="shared" si="48"/>
        <v>-275863370.05818176</v>
      </c>
    </row>
    <row r="124" spans="1:17" ht="15.75" thickTop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P124" s="1">
        <f t="shared" si="47"/>
        <v>0</v>
      </c>
      <c r="Q124" s="1">
        <f t="shared" si="48"/>
        <v>0</v>
      </c>
    </row>
    <row r="125" spans="1:17" x14ac:dyDescent="0.25">
      <c r="A125" s="179" t="s">
        <v>94</v>
      </c>
      <c r="B125" s="1">
        <v>-3595.4</v>
      </c>
      <c r="C125" s="1">
        <v>-2471.31</v>
      </c>
      <c r="D125" s="5">
        <v>-4621.22</v>
      </c>
      <c r="E125" s="1">
        <v>-5799.91</v>
      </c>
      <c r="F125" s="1">
        <v>-1360.64</v>
      </c>
      <c r="G125" s="1">
        <v>-1536.21</v>
      </c>
      <c r="H125" s="1"/>
      <c r="I125" s="1"/>
      <c r="J125" s="1"/>
      <c r="K125" s="1"/>
      <c r="L125" s="1"/>
      <c r="M125" s="1"/>
      <c r="N125" s="1">
        <f t="shared" ref="N125:N157" si="66">SUM(B125:M125)</f>
        <v>-19384.689999999999</v>
      </c>
      <c r="P125" s="1">
        <f t="shared" si="47"/>
        <v>-1762.2445454545452</v>
      </c>
      <c r="Q125" s="1">
        <f t="shared" si="48"/>
        <v>1762.2445454545452</v>
      </c>
    </row>
    <row r="126" spans="1:17" x14ac:dyDescent="0.25">
      <c r="A126" s="179" t="s">
        <v>95</v>
      </c>
      <c r="B126" s="1">
        <v>0</v>
      </c>
      <c r="C126" s="1">
        <v>0</v>
      </c>
      <c r="D126" s="5">
        <v>0</v>
      </c>
      <c r="E126" s="1"/>
      <c r="F126" s="1">
        <v>0</v>
      </c>
      <c r="G126" s="1">
        <v>0</v>
      </c>
      <c r="H126" s="1"/>
      <c r="I126" s="1"/>
      <c r="J126" s="1"/>
      <c r="K126" s="1"/>
      <c r="L126" s="1"/>
      <c r="M126" s="1"/>
      <c r="N126" s="1">
        <f t="shared" si="66"/>
        <v>0</v>
      </c>
      <c r="P126" s="1">
        <f t="shared" si="47"/>
        <v>0</v>
      </c>
      <c r="Q126" s="1">
        <f t="shared" si="48"/>
        <v>0</v>
      </c>
    </row>
    <row r="127" spans="1:17" x14ac:dyDescent="0.25">
      <c r="A127" s="179" t="s">
        <v>96</v>
      </c>
      <c r="B127" s="1">
        <v>155441266.31</v>
      </c>
      <c r="C127" s="1">
        <v>109044152.26000001</v>
      </c>
      <c r="D127" s="5">
        <v>100539266.20999999</v>
      </c>
      <c r="E127" s="1">
        <v>91915243.909999996</v>
      </c>
      <c r="F127" s="1">
        <v>94245288.590000004</v>
      </c>
      <c r="G127" s="1">
        <v>92942665.650000006</v>
      </c>
      <c r="H127" s="1"/>
      <c r="I127" s="1"/>
      <c r="J127" s="1"/>
      <c r="K127" s="1"/>
      <c r="L127" s="1"/>
      <c r="M127" s="1"/>
      <c r="N127" s="1">
        <f t="shared" si="66"/>
        <v>644127882.92999995</v>
      </c>
      <c r="P127" s="1">
        <f t="shared" si="47"/>
        <v>58557080.266363628</v>
      </c>
      <c r="Q127" s="1">
        <f t="shared" si="48"/>
        <v>-58557080.266363628</v>
      </c>
    </row>
    <row r="128" spans="1:17" x14ac:dyDescent="0.25">
      <c r="A128" s="179" t="s">
        <v>97</v>
      </c>
      <c r="B128" s="1">
        <v>422458884.52999997</v>
      </c>
      <c r="C128" s="1">
        <v>1215702481.6500001</v>
      </c>
      <c r="D128" s="5">
        <v>305866481.80000001</v>
      </c>
      <c r="E128" s="1">
        <v>46984540.060000002</v>
      </c>
      <c r="F128" s="1">
        <v>116527400.42</v>
      </c>
      <c r="G128" s="1">
        <v>262829543.78999999</v>
      </c>
      <c r="H128" s="1"/>
      <c r="I128" s="1"/>
      <c r="J128" s="1"/>
      <c r="K128" s="1"/>
      <c r="L128" s="1"/>
      <c r="M128" s="1"/>
      <c r="N128" s="1">
        <f t="shared" si="66"/>
        <v>2370369332.25</v>
      </c>
      <c r="P128" s="1">
        <f t="shared" si="47"/>
        <v>215488121.11363637</v>
      </c>
      <c r="Q128" s="1">
        <f t="shared" si="48"/>
        <v>-215488121.11363637</v>
      </c>
    </row>
    <row r="129" spans="1:17" x14ac:dyDescent="0.25">
      <c r="A129" s="179" t="s">
        <v>98</v>
      </c>
      <c r="B129" s="1">
        <v>2776246.68</v>
      </c>
      <c r="C129" s="1">
        <v>2484320.38</v>
      </c>
      <c r="D129" s="5">
        <v>617771.9</v>
      </c>
      <c r="E129" s="1">
        <v>1936970.97</v>
      </c>
      <c r="F129" s="1">
        <v>2008716.84</v>
      </c>
      <c r="G129" s="1">
        <v>489895.91</v>
      </c>
      <c r="H129" s="1"/>
      <c r="I129" s="1"/>
      <c r="J129" s="1"/>
      <c r="K129" s="1"/>
      <c r="L129" s="1"/>
      <c r="M129" s="1"/>
      <c r="N129" s="1">
        <f t="shared" si="66"/>
        <v>10313922.680000002</v>
      </c>
      <c r="P129" s="1">
        <f t="shared" si="47"/>
        <v>937629.33454545471</v>
      </c>
      <c r="Q129" s="1">
        <f t="shared" si="48"/>
        <v>-937629.33454545471</v>
      </c>
    </row>
    <row r="130" spans="1:17" x14ac:dyDescent="0.25">
      <c r="A130" s="179" t="s">
        <v>99</v>
      </c>
      <c r="B130" s="1">
        <v>3078499.21</v>
      </c>
      <c r="C130" s="1">
        <v>1513901.47</v>
      </c>
      <c r="D130" s="5">
        <v>1441767.82</v>
      </c>
      <c r="E130" s="1">
        <v>2113636.39</v>
      </c>
      <c r="F130" s="1">
        <v>844764.25</v>
      </c>
      <c r="G130" s="1">
        <v>760350.9</v>
      </c>
      <c r="H130" s="1"/>
      <c r="I130" s="1"/>
      <c r="J130" s="1"/>
      <c r="K130" s="1"/>
      <c r="L130" s="1"/>
      <c r="M130" s="1"/>
      <c r="N130" s="1">
        <f t="shared" si="66"/>
        <v>9752920.040000001</v>
      </c>
      <c r="P130" s="1">
        <f t="shared" si="47"/>
        <v>886629.0945454546</v>
      </c>
      <c r="Q130" s="1">
        <f t="shared" si="48"/>
        <v>-886629.0945454546</v>
      </c>
    </row>
    <row r="131" spans="1:17" x14ac:dyDescent="0.25">
      <c r="A131" s="179" t="s">
        <v>100</v>
      </c>
      <c r="B131" s="1">
        <v>0</v>
      </c>
      <c r="C131" s="1">
        <v>0</v>
      </c>
      <c r="D131" s="5">
        <v>0</v>
      </c>
      <c r="E131" s="1">
        <v>0</v>
      </c>
      <c r="F131" s="1">
        <v>72</v>
      </c>
      <c r="G131" s="1">
        <v>0</v>
      </c>
      <c r="H131" s="1"/>
      <c r="I131" s="1"/>
      <c r="J131" s="1"/>
      <c r="K131" s="1"/>
      <c r="L131" s="1"/>
      <c r="M131" s="1"/>
      <c r="N131" s="1">
        <f>SUM(B131:M131)</f>
        <v>72</v>
      </c>
      <c r="P131" s="1">
        <f t="shared" si="47"/>
        <v>6.5454545454545459</v>
      </c>
      <c r="Q131" s="1">
        <f t="shared" si="48"/>
        <v>-6.5454545454545459</v>
      </c>
    </row>
    <row r="132" spans="1:17" x14ac:dyDescent="0.25">
      <c r="A132" s="179" t="s">
        <v>101</v>
      </c>
      <c r="B132" s="1">
        <v>47744.73</v>
      </c>
      <c r="C132" s="1">
        <v>40318.61</v>
      </c>
      <c r="D132" s="5">
        <v>53566.29</v>
      </c>
      <c r="E132" s="1">
        <v>-3427.84</v>
      </c>
      <c r="F132" s="1">
        <v>5808.03</v>
      </c>
      <c r="G132" s="1">
        <v>11225.63</v>
      </c>
      <c r="H132" s="1"/>
      <c r="I132" s="1"/>
      <c r="J132" s="1"/>
      <c r="K132" s="1"/>
      <c r="L132" s="1"/>
      <c r="M132" s="1"/>
      <c r="N132" s="1">
        <f t="shared" si="66"/>
        <v>155235.45000000001</v>
      </c>
      <c r="P132" s="1">
        <f t="shared" si="47"/>
        <v>14112.313636363637</v>
      </c>
      <c r="Q132" s="1">
        <f t="shared" si="48"/>
        <v>-14112.313636363637</v>
      </c>
    </row>
    <row r="133" spans="1:17" x14ac:dyDescent="0.25">
      <c r="A133" s="179" t="s">
        <v>102</v>
      </c>
      <c r="B133" s="1">
        <v>82580.429999999993</v>
      </c>
      <c r="C133" s="1">
        <v>556415.63</v>
      </c>
      <c r="D133" s="5">
        <v>104546.19</v>
      </c>
      <c r="E133" s="1">
        <v>891459.31</v>
      </c>
      <c r="F133" s="1">
        <v>309417.95</v>
      </c>
      <c r="G133" s="1">
        <v>1066421.99</v>
      </c>
      <c r="H133" s="1"/>
      <c r="I133" s="1"/>
      <c r="J133" s="1"/>
      <c r="K133" s="1"/>
      <c r="L133" s="1"/>
      <c r="M133" s="1"/>
      <c r="N133" s="1">
        <f t="shared" si="66"/>
        <v>3010841.5</v>
      </c>
      <c r="P133" s="1">
        <f t="shared" si="47"/>
        <v>273712.86363636365</v>
      </c>
      <c r="Q133" s="1">
        <f t="shared" si="48"/>
        <v>-273712.86363636365</v>
      </c>
    </row>
    <row r="134" spans="1:17" x14ac:dyDescent="0.25">
      <c r="A134" s="179" t="s">
        <v>103</v>
      </c>
      <c r="B134" s="1">
        <v>162526.82</v>
      </c>
      <c r="C134" s="1">
        <v>186551.2</v>
      </c>
      <c r="D134" s="5">
        <f>120971.26+500</f>
        <v>121471.26</v>
      </c>
      <c r="E134" s="1">
        <v>104538.95</v>
      </c>
      <c r="F134" s="1">
        <f>108837.33+3500</f>
        <v>112337.33</v>
      </c>
      <c r="G134" s="1">
        <v>58522.59</v>
      </c>
      <c r="H134" s="1"/>
      <c r="I134" s="1"/>
      <c r="J134" s="1"/>
      <c r="K134" s="1"/>
      <c r="L134" s="1"/>
      <c r="M134" s="1"/>
      <c r="N134" s="1">
        <f t="shared" si="66"/>
        <v>745948.14999999991</v>
      </c>
      <c r="P134" s="1">
        <f t="shared" ref="P134:P198" si="67">(N134-M134)/11</f>
        <v>67813.468181818171</v>
      </c>
      <c r="Q134" s="1">
        <f t="shared" ref="Q134:Q198" si="68">M134-P134</f>
        <v>-67813.468181818171</v>
      </c>
    </row>
    <row r="135" spans="1:17" x14ac:dyDescent="0.25">
      <c r="A135" s="179" t="s">
        <v>104</v>
      </c>
      <c r="B135" s="1">
        <v>0</v>
      </c>
      <c r="C135" s="1">
        <v>0</v>
      </c>
      <c r="D135" s="5">
        <v>0</v>
      </c>
      <c r="E135" s="1">
        <v>0</v>
      </c>
      <c r="F135" s="1">
        <v>0</v>
      </c>
      <c r="G135" s="1">
        <v>0</v>
      </c>
      <c r="H135" s="1"/>
      <c r="I135" s="1"/>
      <c r="J135" s="1"/>
      <c r="K135" s="1"/>
      <c r="L135" s="1"/>
      <c r="M135" s="1"/>
      <c r="N135" s="1">
        <f t="shared" si="66"/>
        <v>0</v>
      </c>
      <c r="P135" s="1">
        <f t="shared" si="67"/>
        <v>0</v>
      </c>
      <c r="Q135" s="1">
        <f t="shared" si="68"/>
        <v>0</v>
      </c>
    </row>
    <row r="136" spans="1:17" x14ac:dyDescent="0.25">
      <c r="A136" s="179" t="s">
        <v>105</v>
      </c>
      <c r="B136" s="1">
        <v>0</v>
      </c>
      <c r="C136" s="1">
        <v>0</v>
      </c>
      <c r="D136" s="5">
        <v>0</v>
      </c>
      <c r="E136" s="1">
        <v>0</v>
      </c>
      <c r="F136" s="1">
        <v>0</v>
      </c>
      <c r="G136" s="1">
        <v>0</v>
      </c>
      <c r="H136" s="1"/>
      <c r="I136" s="1"/>
      <c r="J136" s="1"/>
      <c r="K136" s="1"/>
      <c r="L136" s="1"/>
      <c r="M136" s="1"/>
      <c r="N136" s="1">
        <f t="shared" si="66"/>
        <v>0</v>
      </c>
      <c r="P136" s="1">
        <f t="shared" si="67"/>
        <v>0</v>
      </c>
      <c r="Q136" s="1">
        <f t="shared" si="68"/>
        <v>0</v>
      </c>
    </row>
    <row r="137" spans="1:17" x14ac:dyDescent="0.25">
      <c r="A137" s="179" t="s">
        <v>106</v>
      </c>
      <c r="B137" s="1">
        <v>9335.48</v>
      </c>
      <c r="C137" s="1">
        <v>703.97</v>
      </c>
      <c r="D137" s="5">
        <v>6224.3</v>
      </c>
      <c r="E137" s="1">
        <v>4346.05</v>
      </c>
      <c r="F137" s="1">
        <v>1861.52</v>
      </c>
      <c r="G137" s="1">
        <v>2668.53</v>
      </c>
      <c r="H137" s="1"/>
      <c r="I137" s="1"/>
      <c r="J137" s="1"/>
      <c r="K137" s="1"/>
      <c r="L137" s="1"/>
      <c r="M137" s="1"/>
      <c r="N137" s="1">
        <f t="shared" si="66"/>
        <v>25139.85</v>
      </c>
      <c r="P137" s="1">
        <f t="shared" si="67"/>
        <v>2285.4409090909089</v>
      </c>
      <c r="Q137" s="1">
        <f t="shared" si="68"/>
        <v>-2285.4409090909089</v>
      </c>
    </row>
    <row r="138" spans="1:17" x14ac:dyDescent="0.25">
      <c r="A138" s="179" t="s">
        <v>107</v>
      </c>
      <c r="B138" s="1">
        <v>0</v>
      </c>
      <c r="C138" s="1">
        <v>1250</v>
      </c>
      <c r="D138" s="5">
        <v>0</v>
      </c>
      <c r="E138" s="1">
        <v>0</v>
      </c>
      <c r="F138" s="1">
        <v>0</v>
      </c>
      <c r="G138" s="1">
        <v>0</v>
      </c>
      <c r="H138" s="1"/>
      <c r="I138" s="1"/>
      <c r="J138" s="1"/>
      <c r="K138" s="1"/>
      <c r="L138" s="1"/>
      <c r="M138" s="1"/>
      <c r="N138" s="1">
        <f t="shared" si="66"/>
        <v>1250</v>
      </c>
      <c r="P138" s="1">
        <f t="shared" si="67"/>
        <v>113.63636363636364</v>
      </c>
      <c r="Q138" s="1">
        <f t="shared" si="68"/>
        <v>-113.63636363636364</v>
      </c>
    </row>
    <row r="139" spans="1:17" x14ac:dyDescent="0.25">
      <c r="A139" s="179" t="s">
        <v>108</v>
      </c>
      <c r="B139" s="1">
        <v>93164865.799999997</v>
      </c>
      <c r="C139" s="1">
        <v>43694992.5</v>
      </c>
      <c r="D139" s="5">
        <v>49872500</v>
      </c>
      <c r="E139" s="1">
        <v>37423820</v>
      </c>
      <c r="F139" s="1">
        <v>33390470</v>
      </c>
      <c r="G139" s="1">
        <v>18213000</v>
      </c>
      <c r="H139" s="1"/>
      <c r="I139" s="1"/>
      <c r="J139" s="1"/>
      <c r="K139" s="1"/>
      <c r="L139" s="1"/>
      <c r="M139" s="1"/>
      <c r="N139" s="1">
        <f t="shared" si="66"/>
        <v>275759648.30000001</v>
      </c>
      <c r="P139" s="1">
        <f t="shared" si="67"/>
        <v>25069058.936363637</v>
      </c>
      <c r="Q139" s="1">
        <f t="shared" si="68"/>
        <v>-25069058.936363637</v>
      </c>
    </row>
    <row r="140" spans="1:17" x14ac:dyDescent="0.25">
      <c r="A140" s="179" t="s">
        <v>109</v>
      </c>
      <c r="B140" s="1">
        <v>39860269.659999996</v>
      </c>
      <c r="C140" s="1">
        <v>50039912.299999997</v>
      </c>
      <c r="D140" s="5">
        <v>119070965.51000001</v>
      </c>
      <c r="E140" s="1">
        <v>32569174</v>
      </c>
      <c r="F140" s="1">
        <v>104415723.54000001</v>
      </c>
      <c r="G140" s="1">
        <v>53384233</v>
      </c>
      <c r="H140" s="1"/>
      <c r="I140" s="1"/>
      <c r="J140" s="1"/>
      <c r="K140" s="1"/>
      <c r="L140" s="1"/>
      <c r="M140" s="1"/>
      <c r="N140" s="1">
        <f t="shared" si="66"/>
        <v>399340278.00999999</v>
      </c>
      <c r="P140" s="1">
        <f t="shared" si="67"/>
        <v>36303661.637272723</v>
      </c>
      <c r="Q140" s="1">
        <f t="shared" si="68"/>
        <v>-36303661.637272723</v>
      </c>
    </row>
    <row r="141" spans="1:17" x14ac:dyDescent="0.25">
      <c r="A141" s="179" t="s">
        <v>110</v>
      </c>
      <c r="B141" s="1">
        <v>0</v>
      </c>
      <c r="C141" s="1">
        <v>252635</v>
      </c>
      <c r="D141" s="5">
        <v>333245</v>
      </c>
      <c r="E141" s="1">
        <v>95125</v>
      </c>
      <c r="F141" s="1">
        <v>0</v>
      </c>
      <c r="G141" s="1">
        <v>45375</v>
      </c>
      <c r="H141" s="1"/>
      <c r="I141" s="1"/>
      <c r="J141" s="1"/>
      <c r="K141" s="1"/>
      <c r="L141" s="1"/>
      <c r="M141" s="1"/>
      <c r="N141" s="1">
        <f t="shared" si="66"/>
        <v>726380</v>
      </c>
      <c r="P141" s="1">
        <f t="shared" si="67"/>
        <v>66034.545454545456</v>
      </c>
      <c r="Q141" s="1">
        <f t="shared" si="68"/>
        <v>-66034.545454545456</v>
      </c>
    </row>
    <row r="142" spans="1:17" x14ac:dyDescent="0.25">
      <c r="A142" s="188" t="s">
        <v>111</v>
      </c>
      <c r="B142" s="1">
        <v>0</v>
      </c>
      <c r="C142" s="1">
        <v>0</v>
      </c>
      <c r="D142" s="5">
        <v>0</v>
      </c>
      <c r="E142" s="1">
        <v>0</v>
      </c>
      <c r="F142" s="1">
        <v>0</v>
      </c>
      <c r="G142" s="1">
        <v>0</v>
      </c>
      <c r="H142" s="1"/>
      <c r="I142" s="1"/>
      <c r="J142" s="1"/>
      <c r="K142" s="1"/>
      <c r="L142" s="1"/>
      <c r="M142" s="1"/>
      <c r="N142" s="1">
        <f t="shared" si="66"/>
        <v>0</v>
      </c>
      <c r="P142" s="1">
        <f t="shared" si="67"/>
        <v>0</v>
      </c>
      <c r="Q142" s="1">
        <f t="shared" si="68"/>
        <v>0</v>
      </c>
    </row>
    <row r="143" spans="1:17" x14ac:dyDescent="0.25">
      <c r="A143" s="179" t="s">
        <v>112</v>
      </c>
      <c r="B143" s="1">
        <v>-250773118.75999999</v>
      </c>
      <c r="C143" s="1">
        <v>-106292010.51000001</v>
      </c>
      <c r="D143" s="5">
        <v>-199926459.47999999</v>
      </c>
      <c r="E143" s="1">
        <v>-102886856.97</v>
      </c>
      <c r="F143" s="1">
        <v>-60969608.149999999</v>
      </c>
      <c r="G143" s="1">
        <v>-168909239.22</v>
      </c>
      <c r="H143" s="1"/>
      <c r="I143" s="1"/>
      <c r="J143" s="1"/>
      <c r="K143" s="1"/>
      <c r="L143" s="1"/>
      <c r="M143" s="1"/>
      <c r="N143" s="1">
        <f t="shared" si="66"/>
        <v>-889757293.09000003</v>
      </c>
      <c r="P143" s="1">
        <f t="shared" si="67"/>
        <v>-80887026.644545451</v>
      </c>
      <c r="Q143" s="1">
        <f t="shared" si="68"/>
        <v>80887026.644545451</v>
      </c>
    </row>
    <row r="144" spans="1:17" x14ac:dyDescent="0.25">
      <c r="A144" s="179" t="s">
        <v>113</v>
      </c>
      <c r="B144" s="1">
        <v>-94616255.870000005</v>
      </c>
      <c r="C144" s="1">
        <v>-43709010</v>
      </c>
      <c r="D144" s="5">
        <v>-50522100</v>
      </c>
      <c r="E144" s="1">
        <v>-37084810</v>
      </c>
      <c r="F144" s="1">
        <v>-33297790</v>
      </c>
      <c r="G144" s="1">
        <v>-17687220</v>
      </c>
      <c r="H144" s="1"/>
      <c r="I144" s="1"/>
      <c r="J144" s="1"/>
      <c r="K144" s="1"/>
      <c r="L144" s="1"/>
      <c r="M144" s="1"/>
      <c r="N144" s="1">
        <f t="shared" si="66"/>
        <v>-276917185.87</v>
      </c>
      <c r="P144" s="1">
        <f t="shared" si="67"/>
        <v>-25174289.624545455</v>
      </c>
      <c r="Q144" s="1">
        <f t="shared" si="68"/>
        <v>25174289.624545455</v>
      </c>
    </row>
    <row r="145" spans="1:17" x14ac:dyDescent="0.25">
      <c r="A145" s="179" t="s">
        <v>114</v>
      </c>
      <c r="B145" s="1">
        <v>-39572318.009999998</v>
      </c>
      <c r="C145" s="1">
        <v>-54501789.609999999</v>
      </c>
      <c r="D145" s="5">
        <v>-119003409.98</v>
      </c>
      <c r="E145" s="1">
        <v>-35983600</v>
      </c>
      <c r="F145" s="1">
        <v>-104443889</v>
      </c>
      <c r="G145" s="1">
        <v>-60159775</v>
      </c>
      <c r="H145" s="1"/>
      <c r="I145" s="1"/>
      <c r="J145" s="1"/>
      <c r="K145" s="1"/>
      <c r="L145" s="1"/>
      <c r="M145" s="1"/>
      <c r="N145" s="1">
        <f t="shared" si="66"/>
        <v>-413664781.60000002</v>
      </c>
      <c r="P145" s="1">
        <f t="shared" si="67"/>
        <v>-37605889.236363642</v>
      </c>
      <c r="Q145" s="1">
        <f t="shared" si="68"/>
        <v>37605889.236363642</v>
      </c>
    </row>
    <row r="146" spans="1:17" x14ac:dyDescent="0.25">
      <c r="A146" s="179" t="s">
        <v>115</v>
      </c>
      <c r="B146" s="1">
        <v>0</v>
      </c>
      <c r="C146" s="1">
        <v>-248100</v>
      </c>
      <c r="D146" s="5">
        <v>-337135</v>
      </c>
      <c r="E146" s="1">
        <v>-95680</v>
      </c>
      <c r="F146" s="1">
        <v>0</v>
      </c>
      <c r="G146" s="1">
        <v>-43600</v>
      </c>
      <c r="H146" s="1"/>
      <c r="I146" s="1"/>
      <c r="J146" s="1"/>
      <c r="K146" s="1"/>
      <c r="L146" s="1"/>
      <c r="M146" s="1"/>
      <c r="N146" s="1">
        <f t="shared" si="66"/>
        <v>-724515</v>
      </c>
      <c r="P146" s="1">
        <f t="shared" si="67"/>
        <v>-65865</v>
      </c>
      <c r="Q146" s="1">
        <f t="shared" si="68"/>
        <v>65865</v>
      </c>
    </row>
    <row r="147" spans="1:17" x14ac:dyDescent="0.25">
      <c r="A147" s="188" t="s">
        <v>116</v>
      </c>
      <c r="B147" s="1">
        <v>0</v>
      </c>
      <c r="C147" s="1">
        <v>0</v>
      </c>
      <c r="D147" s="5">
        <v>0</v>
      </c>
      <c r="E147" s="1">
        <v>0</v>
      </c>
      <c r="F147" s="1">
        <v>0</v>
      </c>
      <c r="G147" s="1">
        <v>0</v>
      </c>
      <c r="H147" s="1"/>
      <c r="I147" s="1"/>
      <c r="J147" s="1"/>
      <c r="K147" s="1"/>
      <c r="L147" s="1"/>
      <c r="M147" s="1"/>
      <c r="N147" s="1">
        <f t="shared" si="66"/>
        <v>0</v>
      </c>
      <c r="P147" s="1">
        <f t="shared" si="67"/>
        <v>0</v>
      </c>
      <c r="Q147" s="1">
        <f t="shared" si="68"/>
        <v>0</v>
      </c>
    </row>
    <row r="148" spans="1:17" x14ac:dyDescent="0.25">
      <c r="A148" s="179" t="s">
        <v>117</v>
      </c>
      <c r="B148" s="1">
        <v>246469534.72</v>
      </c>
      <c r="C148" s="1">
        <v>106061841.73</v>
      </c>
      <c r="D148" s="5">
        <v>199824413.44</v>
      </c>
      <c r="E148" s="1">
        <v>102901638.84999999</v>
      </c>
      <c r="F148" s="1">
        <v>61067887.670000002</v>
      </c>
      <c r="G148" s="1">
        <v>169335911.84</v>
      </c>
      <c r="H148" s="1"/>
      <c r="I148" s="1"/>
      <c r="J148" s="1"/>
      <c r="K148" s="1"/>
      <c r="L148" s="1"/>
      <c r="M148" s="1"/>
      <c r="N148" s="1">
        <f t="shared" si="66"/>
        <v>885661228.25</v>
      </c>
      <c r="P148" s="1">
        <f t="shared" si="67"/>
        <v>80514657.11363636</v>
      </c>
      <c r="Q148" s="1">
        <f t="shared" si="68"/>
        <v>-80514657.11363636</v>
      </c>
    </row>
    <row r="149" spans="1:17" x14ac:dyDescent="0.25">
      <c r="A149" s="179" t="s">
        <v>118</v>
      </c>
      <c r="B149" s="1">
        <v>57035597.560000002</v>
      </c>
      <c r="C149" s="1">
        <v>15207183.189999999</v>
      </c>
      <c r="D149" s="5">
        <v>56539241.420000002</v>
      </c>
      <c r="E149" s="1">
        <v>530220449.82999998</v>
      </c>
      <c r="F149" s="1">
        <v>504763748.92000002</v>
      </c>
      <c r="G149" s="1">
        <v>868361816.95000005</v>
      </c>
      <c r="H149" s="1"/>
      <c r="I149" s="1"/>
      <c r="J149" s="1"/>
      <c r="K149" s="1"/>
      <c r="L149" s="1"/>
      <c r="M149" s="1"/>
      <c r="N149" s="1">
        <f t="shared" si="66"/>
        <v>2032128037.8700001</v>
      </c>
      <c r="P149" s="1">
        <f t="shared" si="67"/>
        <v>184738912.53363636</v>
      </c>
      <c r="Q149" s="1">
        <f t="shared" si="68"/>
        <v>-184738912.53363636</v>
      </c>
    </row>
    <row r="150" spans="1:17" x14ac:dyDescent="0.25">
      <c r="A150" s="179" t="s">
        <v>119</v>
      </c>
      <c r="B150" s="1">
        <v>598572.09</v>
      </c>
      <c r="C150" s="1">
        <v>1754577.38</v>
      </c>
      <c r="D150" s="5">
        <v>588811.42000000004</v>
      </c>
      <c r="E150" s="1">
        <v>283948.55</v>
      </c>
      <c r="F150" s="1">
        <v>707796.87</v>
      </c>
      <c r="G150" s="1">
        <v>1284752.46</v>
      </c>
      <c r="H150" s="1"/>
      <c r="I150" s="1"/>
      <c r="J150" s="1"/>
      <c r="K150" s="1"/>
      <c r="L150" s="1"/>
      <c r="M150" s="1"/>
      <c r="N150" s="1">
        <f t="shared" si="66"/>
        <v>5218458.7699999996</v>
      </c>
      <c r="P150" s="1">
        <f t="shared" si="67"/>
        <v>474405.34272727271</v>
      </c>
      <c r="Q150" s="1">
        <f t="shared" si="68"/>
        <v>-474405.34272727271</v>
      </c>
    </row>
    <row r="151" spans="1:17" x14ac:dyDescent="0.25">
      <c r="A151" s="179" t="s">
        <v>120</v>
      </c>
      <c r="B151" s="1">
        <v>223864.49</v>
      </c>
      <c r="C151" s="1">
        <v>0</v>
      </c>
      <c r="D151" s="5">
        <v>6537.06</v>
      </c>
      <c r="E151" s="1">
        <v>918411.8</v>
      </c>
      <c r="F151" s="1">
        <v>48550</v>
      </c>
      <c r="G151" s="1">
        <v>0</v>
      </c>
      <c r="H151" s="1"/>
      <c r="I151" s="1"/>
      <c r="J151" s="1"/>
      <c r="K151" s="1"/>
      <c r="L151" s="1"/>
      <c r="M151" s="1"/>
      <c r="N151" s="1">
        <f t="shared" si="66"/>
        <v>1197363.3500000001</v>
      </c>
      <c r="P151" s="1">
        <f t="shared" si="67"/>
        <v>108851.21363636364</v>
      </c>
      <c r="Q151" s="1">
        <f t="shared" si="68"/>
        <v>-108851.21363636364</v>
      </c>
    </row>
    <row r="152" spans="1:17" x14ac:dyDescent="0.25">
      <c r="A152" s="179" t="s">
        <v>121</v>
      </c>
      <c r="B152" s="1">
        <v>170622.29</v>
      </c>
      <c r="C152" s="1">
        <v>-355074.95</v>
      </c>
      <c r="D152" s="5">
        <v>93202.33</v>
      </c>
      <c r="E152" s="1">
        <v>151429.5</v>
      </c>
      <c r="F152" s="1">
        <v>472954.71</v>
      </c>
      <c r="G152" s="1">
        <v>-437756.06</v>
      </c>
      <c r="H152" s="1"/>
      <c r="I152" s="1"/>
      <c r="J152" s="1"/>
      <c r="K152" s="1"/>
      <c r="L152" s="1"/>
      <c r="M152" s="1"/>
      <c r="N152" s="1">
        <f t="shared" si="66"/>
        <v>95377.82</v>
      </c>
      <c r="P152" s="1">
        <f t="shared" si="67"/>
        <v>8670.7109090909089</v>
      </c>
      <c r="Q152" s="1">
        <f t="shared" si="68"/>
        <v>-8670.7109090909089</v>
      </c>
    </row>
    <row r="153" spans="1:17" x14ac:dyDescent="0.25">
      <c r="A153" s="179" t="s">
        <v>122</v>
      </c>
      <c r="B153" s="1">
        <v>-126361.61</v>
      </c>
      <c r="C153" s="1">
        <v>-158081.74</v>
      </c>
      <c r="D153" s="5">
        <v>-293026.18</v>
      </c>
      <c r="E153" s="1">
        <v>10452.620000000001</v>
      </c>
      <c r="F153" s="1">
        <v>175404.24</v>
      </c>
      <c r="G153" s="1">
        <v>14443.59</v>
      </c>
      <c r="H153" s="1"/>
      <c r="I153" s="1"/>
      <c r="J153" s="1"/>
      <c r="K153" s="1"/>
      <c r="L153" s="1"/>
      <c r="M153" s="1"/>
      <c r="N153" s="1">
        <f t="shared" si="66"/>
        <v>-377169.08</v>
      </c>
      <c r="P153" s="1">
        <f t="shared" si="67"/>
        <v>-34288.098181818183</v>
      </c>
      <c r="Q153" s="1">
        <f t="shared" si="68"/>
        <v>34288.098181818183</v>
      </c>
    </row>
    <row r="154" spans="1:17" x14ac:dyDescent="0.25">
      <c r="A154" s="179" t="s">
        <v>123</v>
      </c>
      <c r="B154" s="1">
        <v>18221.580000000002</v>
      </c>
      <c r="C154" s="1">
        <v>-143.22</v>
      </c>
      <c r="D154" s="5">
        <v>554.66999999999996</v>
      </c>
      <c r="E154" s="1">
        <v>-4571.0200000000004</v>
      </c>
      <c r="F154" s="1">
        <v>42.88</v>
      </c>
      <c r="G154" s="1">
        <v>-5187.8100000000004</v>
      </c>
      <c r="H154" s="1"/>
      <c r="I154" s="1"/>
      <c r="J154" s="1"/>
      <c r="K154" s="1"/>
      <c r="L154" s="1"/>
      <c r="M154" s="1"/>
      <c r="N154" s="1">
        <f t="shared" si="66"/>
        <v>8917.0799999999981</v>
      </c>
      <c r="P154" s="1">
        <f t="shared" si="67"/>
        <v>810.64363636363623</v>
      </c>
      <c r="Q154" s="1">
        <f t="shared" si="68"/>
        <v>-810.64363636363623</v>
      </c>
    </row>
    <row r="155" spans="1:17" x14ac:dyDescent="0.25">
      <c r="A155" s="179" t="s">
        <v>124</v>
      </c>
      <c r="B155" s="1">
        <v>5399.7</v>
      </c>
      <c r="C155" s="1">
        <v>-3149.21</v>
      </c>
      <c r="D155" s="5">
        <v>6568.13</v>
      </c>
      <c r="E155" s="1">
        <v>405.19</v>
      </c>
      <c r="F155" s="1">
        <v>-182869.11</v>
      </c>
      <c r="G155" s="1">
        <v>-387.53</v>
      </c>
      <c r="H155" s="1"/>
      <c r="I155" s="1"/>
      <c r="J155" s="1"/>
      <c r="K155" s="1"/>
      <c r="L155" s="1"/>
      <c r="M155" s="1"/>
      <c r="N155" s="1">
        <f t="shared" si="66"/>
        <v>-174032.83</v>
      </c>
      <c r="P155" s="1">
        <f t="shared" si="67"/>
        <v>-15821.166363636363</v>
      </c>
      <c r="Q155" s="1">
        <f t="shared" si="68"/>
        <v>15821.166363636363</v>
      </c>
    </row>
    <row r="156" spans="1:17" x14ac:dyDescent="0.25">
      <c r="A156" s="179" t="s">
        <v>125</v>
      </c>
      <c r="B156" s="1">
        <v>-57233909.109999999</v>
      </c>
      <c r="C156" s="1">
        <v>-15348255</v>
      </c>
      <c r="D156" s="5">
        <v>-56465326.530000001</v>
      </c>
      <c r="E156" s="1">
        <v>-529777770.38</v>
      </c>
      <c r="F156" s="1">
        <v>-504081581.20999998</v>
      </c>
      <c r="G156" s="1">
        <v>-867014981.53999996</v>
      </c>
      <c r="H156" s="1"/>
      <c r="I156" s="1"/>
      <c r="J156" s="1"/>
      <c r="K156" s="1"/>
      <c r="L156" s="1"/>
      <c r="M156" s="1"/>
      <c r="N156" s="1">
        <f t="shared" si="66"/>
        <v>-2029921823.77</v>
      </c>
      <c r="P156" s="1">
        <f t="shared" si="67"/>
        <v>-184538347.61545455</v>
      </c>
      <c r="Q156" s="1">
        <f t="shared" si="68"/>
        <v>184538347.61545455</v>
      </c>
    </row>
    <row r="157" spans="1:17" x14ac:dyDescent="0.25">
      <c r="A157" s="179" t="s">
        <v>471</v>
      </c>
      <c r="C157" s="1"/>
      <c r="D157" s="5"/>
      <c r="E157" s="1"/>
      <c r="F157" s="1"/>
      <c r="G157" s="1">
        <v>-3537.84</v>
      </c>
      <c r="H157" s="1"/>
      <c r="I157" s="1"/>
      <c r="J157" s="1"/>
      <c r="K157" s="1"/>
      <c r="L157" s="1"/>
      <c r="M157" s="1"/>
      <c r="N157" s="1">
        <f t="shared" si="66"/>
        <v>-3537.84</v>
      </c>
      <c r="P157" s="1"/>
      <c r="Q157" s="1"/>
    </row>
    <row r="158" spans="1:17" x14ac:dyDescent="0.25">
      <c r="A158" s="179" t="s">
        <v>126</v>
      </c>
      <c r="B158" s="1">
        <v>-626650</v>
      </c>
      <c r="C158" s="1">
        <v>-1795920</v>
      </c>
      <c r="D158" s="5">
        <v>-616939.36</v>
      </c>
      <c r="E158" s="1">
        <v>-282900</v>
      </c>
      <c r="F158" s="1">
        <v>-694270</v>
      </c>
      <c r="G158" s="1">
        <v>-1256000</v>
      </c>
      <c r="H158" s="1"/>
      <c r="I158" s="1"/>
      <c r="J158" s="1"/>
      <c r="K158" s="1"/>
      <c r="L158" s="1"/>
      <c r="M158" s="1"/>
      <c r="N158" s="1">
        <f t="shared" ref="N158:N182" si="69">SUM(B158:M158)</f>
        <v>-5272679.3599999994</v>
      </c>
      <c r="P158" s="1">
        <f t="shared" si="67"/>
        <v>-479334.48727272724</v>
      </c>
      <c r="Q158" s="1">
        <f t="shared" si="68"/>
        <v>479334.48727272724</v>
      </c>
    </row>
    <row r="159" spans="1:17" x14ac:dyDescent="0.25">
      <c r="A159" s="179" t="s">
        <v>127</v>
      </c>
      <c r="B159" s="1">
        <v>2230495.09</v>
      </c>
      <c r="C159" s="1">
        <v>157077.15</v>
      </c>
      <c r="D159" s="5">
        <v>273729.07</v>
      </c>
      <c r="E159" s="1">
        <v>307005.37</v>
      </c>
      <c r="F159" s="1">
        <v>-462524.73</v>
      </c>
      <c r="G159" s="1">
        <v>-239021.09</v>
      </c>
      <c r="H159" s="1"/>
      <c r="I159" s="1"/>
      <c r="J159" s="1"/>
      <c r="K159" s="1"/>
      <c r="L159" s="1"/>
      <c r="M159" s="1"/>
      <c r="N159" s="1">
        <f t="shared" si="69"/>
        <v>2266760.86</v>
      </c>
      <c r="P159" s="1">
        <f t="shared" si="67"/>
        <v>206069.16909090907</v>
      </c>
      <c r="Q159" s="1">
        <f t="shared" si="68"/>
        <v>-206069.16909090907</v>
      </c>
    </row>
    <row r="160" spans="1:17" x14ac:dyDescent="0.25">
      <c r="A160" s="179" t="s">
        <v>128</v>
      </c>
      <c r="B160" s="1">
        <v>132999.03</v>
      </c>
      <c r="C160" s="1">
        <v>1861.72</v>
      </c>
      <c r="D160" s="5">
        <v>104613.37</v>
      </c>
      <c r="E160" s="1">
        <v>1487036.54</v>
      </c>
      <c r="F160" s="1">
        <v>-195552.97</v>
      </c>
      <c r="G160" s="1">
        <v>-463703.41</v>
      </c>
      <c r="H160" s="1"/>
      <c r="I160" s="1"/>
      <c r="J160" s="1"/>
      <c r="K160" s="1"/>
      <c r="L160" s="1"/>
      <c r="M160" s="1"/>
      <c r="N160" s="1">
        <f t="shared" si="69"/>
        <v>1067254.2800000003</v>
      </c>
      <c r="P160" s="1">
        <f t="shared" si="67"/>
        <v>97023.116363636393</v>
      </c>
      <c r="Q160" s="1">
        <f t="shared" si="68"/>
        <v>-97023.116363636393</v>
      </c>
    </row>
    <row r="161" spans="1:17" x14ac:dyDescent="0.25">
      <c r="A161" s="179" t="s">
        <v>129</v>
      </c>
      <c r="B161" s="1">
        <v>48155.93</v>
      </c>
      <c r="C161" s="1">
        <v>51045.58</v>
      </c>
      <c r="D161" s="5">
        <v>0</v>
      </c>
      <c r="E161" s="1">
        <v>12980.84</v>
      </c>
      <c r="F161" s="1">
        <v>75.5</v>
      </c>
      <c r="G161" s="1">
        <v>0</v>
      </c>
      <c r="H161" s="1"/>
      <c r="I161" s="1"/>
      <c r="J161" s="1"/>
      <c r="K161" s="1"/>
      <c r="L161" s="1"/>
      <c r="M161" s="1"/>
      <c r="N161" s="1">
        <f t="shared" si="69"/>
        <v>112257.85</v>
      </c>
      <c r="P161" s="1">
        <f t="shared" si="67"/>
        <v>10205.259090909092</v>
      </c>
      <c r="Q161" s="1">
        <f t="shared" si="68"/>
        <v>-10205.259090909092</v>
      </c>
    </row>
    <row r="162" spans="1:17" x14ac:dyDescent="0.25">
      <c r="A162" s="179" t="s">
        <v>130</v>
      </c>
      <c r="B162" s="1">
        <v>888979.59</v>
      </c>
      <c r="C162" s="1">
        <v>5499.6</v>
      </c>
      <c r="D162" s="5">
        <v>-2025.65</v>
      </c>
      <c r="E162" s="1">
        <v>-2516.61</v>
      </c>
      <c r="F162" s="1">
        <v>174609.93</v>
      </c>
      <c r="G162" s="1">
        <v>-356.02</v>
      </c>
      <c r="H162" s="1"/>
      <c r="I162" s="1"/>
      <c r="J162" s="1"/>
      <c r="K162" s="1"/>
      <c r="L162" s="1"/>
      <c r="M162" s="1"/>
      <c r="N162" s="1">
        <f t="shared" si="69"/>
        <v>1064190.8399999999</v>
      </c>
      <c r="P162" s="1">
        <f t="shared" si="67"/>
        <v>96744.621818181811</v>
      </c>
      <c r="Q162" s="1">
        <f t="shared" si="68"/>
        <v>-96744.621818181811</v>
      </c>
    </row>
    <row r="163" spans="1:17" x14ac:dyDescent="0.25">
      <c r="A163" s="179" t="s">
        <v>131</v>
      </c>
      <c r="B163" s="1">
        <v>-241780</v>
      </c>
      <c r="C163" s="1">
        <v>0</v>
      </c>
      <c r="D163" s="5">
        <v>-42034.45</v>
      </c>
      <c r="E163" s="1">
        <f>-916350</f>
        <v>-916350</v>
      </c>
      <c r="F163" s="1">
        <v>-48550</v>
      </c>
      <c r="G163" s="1">
        <v>0</v>
      </c>
      <c r="H163" s="1"/>
      <c r="I163" s="1"/>
      <c r="J163" s="1"/>
      <c r="K163" s="1"/>
      <c r="L163" s="1"/>
      <c r="M163" s="1"/>
      <c r="N163" s="1">
        <f t="shared" si="69"/>
        <v>-1248714.45</v>
      </c>
      <c r="P163" s="1">
        <f t="shared" si="67"/>
        <v>-113519.49545454545</v>
      </c>
      <c r="Q163" s="1">
        <f t="shared" si="68"/>
        <v>113519.49545454545</v>
      </c>
    </row>
    <row r="164" spans="1:17" x14ac:dyDescent="0.25">
      <c r="A164" s="179" t="s">
        <v>132</v>
      </c>
      <c r="B164" s="1">
        <v>0</v>
      </c>
      <c r="C164" s="1">
        <v>800</v>
      </c>
      <c r="D164" s="5">
        <v>0</v>
      </c>
      <c r="E164" s="1">
        <v>0</v>
      </c>
      <c r="F164" s="1">
        <v>0</v>
      </c>
      <c r="G164" s="1">
        <v>0</v>
      </c>
      <c r="H164" s="1"/>
      <c r="I164" s="1"/>
      <c r="J164" s="1"/>
      <c r="K164" s="1"/>
      <c r="L164" s="1"/>
      <c r="M164" s="1"/>
      <c r="N164" s="1">
        <f t="shared" si="69"/>
        <v>800</v>
      </c>
      <c r="P164" s="1">
        <f t="shared" si="67"/>
        <v>72.727272727272734</v>
      </c>
      <c r="Q164" s="1">
        <f t="shared" si="68"/>
        <v>-72.727272727272734</v>
      </c>
    </row>
    <row r="165" spans="1:17" x14ac:dyDescent="0.25">
      <c r="A165" s="179" t="s">
        <v>133</v>
      </c>
      <c r="B165" s="1">
        <v>2682.05</v>
      </c>
      <c r="C165" s="1">
        <v>-1617.38</v>
      </c>
      <c r="D165" s="5">
        <v>5756.07</v>
      </c>
      <c r="E165" s="1">
        <v>9048.32</v>
      </c>
      <c r="F165" s="1">
        <v>11168.19</v>
      </c>
      <c r="G165" s="1">
        <v>3721.59</v>
      </c>
      <c r="H165" s="1"/>
      <c r="I165" s="1"/>
      <c r="J165" s="1"/>
      <c r="K165" s="1"/>
      <c r="L165" s="1"/>
      <c r="M165" s="1"/>
      <c r="N165" s="1">
        <f t="shared" si="69"/>
        <v>30758.84</v>
      </c>
      <c r="P165" s="1">
        <f t="shared" si="67"/>
        <v>2796.258181818182</v>
      </c>
      <c r="Q165" s="1">
        <f t="shared" si="68"/>
        <v>-2796.258181818182</v>
      </c>
    </row>
    <row r="166" spans="1:17" x14ac:dyDescent="0.25">
      <c r="A166" s="179" t="s">
        <v>134</v>
      </c>
      <c r="B166" s="1">
        <v>5000</v>
      </c>
      <c r="C166" s="1">
        <v>16772.5</v>
      </c>
      <c r="D166" s="5">
        <v>-6772.5</v>
      </c>
      <c r="E166" s="1">
        <v>5000</v>
      </c>
      <c r="F166" s="1">
        <v>5000</v>
      </c>
      <c r="G166" s="1">
        <v>5000</v>
      </c>
      <c r="H166" s="1"/>
      <c r="I166" s="1"/>
      <c r="J166" s="1"/>
      <c r="K166" s="1"/>
      <c r="L166" s="1"/>
      <c r="M166" s="1"/>
      <c r="N166" s="1">
        <f t="shared" si="69"/>
        <v>30000</v>
      </c>
      <c r="P166" s="1">
        <f t="shared" si="67"/>
        <v>2727.2727272727275</v>
      </c>
      <c r="Q166" s="1">
        <f t="shared" si="68"/>
        <v>-2727.2727272727275</v>
      </c>
    </row>
    <row r="167" spans="1:17" x14ac:dyDescent="0.25">
      <c r="A167" s="179" t="s">
        <v>135</v>
      </c>
      <c r="B167" s="1">
        <v>0</v>
      </c>
      <c r="C167" s="1">
        <v>0</v>
      </c>
      <c r="D167" s="5">
        <v>0</v>
      </c>
      <c r="E167" s="1">
        <v>0</v>
      </c>
      <c r="F167" s="1">
        <v>0</v>
      </c>
      <c r="G167" s="1">
        <v>0</v>
      </c>
      <c r="H167" s="1"/>
      <c r="I167" s="1"/>
      <c r="J167" s="1"/>
      <c r="K167" s="1"/>
      <c r="L167" s="1"/>
      <c r="M167" s="1"/>
      <c r="N167" s="1">
        <f t="shared" si="69"/>
        <v>0</v>
      </c>
      <c r="P167" s="1">
        <f t="shared" si="67"/>
        <v>0</v>
      </c>
      <c r="Q167" s="1">
        <f t="shared" si="68"/>
        <v>0</v>
      </c>
    </row>
    <row r="168" spans="1:17" x14ac:dyDescent="0.25">
      <c r="A168" s="179" t="s">
        <v>136</v>
      </c>
      <c r="B168" s="1">
        <v>20620</v>
      </c>
      <c r="C168" s="1">
        <v>1150</v>
      </c>
      <c r="D168" s="5">
        <v>0</v>
      </c>
      <c r="E168" s="1">
        <v>0</v>
      </c>
      <c r="F168" s="1">
        <v>158944.68</v>
      </c>
      <c r="G168" s="1">
        <v>1357.06</v>
      </c>
      <c r="H168" s="1"/>
      <c r="I168" s="1"/>
      <c r="J168" s="1"/>
      <c r="K168" s="1"/>
      <c r="L168" s="1"/>
      <c r="M168" s="1"/>
      <c r="N168" s="1">
        <f t="shared" si="69"/>
        <v>182071.74</v>
      </c>
      <c r="P168" s="1">
        <f t="shared" si="67"/>
        <v>16551.976363636364</v>
      </c>
      <c r="Q168" s="1">
        <f t="shared" si="68"/>
        <v>-16551.976363636364</v>
      </c>
    </row>
    <row r="169" spans="1:17" x14ac:dyDescent="0.25">
      <c r="A169" s="190" t="s">
        <v>137</v>
      </c>
      <c r="B169" s="41">
        <v>2910296.13</v>
      </c>
      <c r="C169" s="41">
        <v>1651163.39</v>
      </c>
      <c r="D169" s="42">
        <v>-414097.59</v>
      </c>
      <c r="E169" s="43">
        <v>959937.83</v>
      </c>
      <c r="F169" s="43">
        <v>-3014399.59</v>
      </c>
      <c r="G169" s="1">
        <v>3160990.11</v>
      </c>
      <c r="H169" s="41"/>
      <c r="I169" s="41"/>
      <c r="J169" s="41"/>
      <c r="K169" s="41"/>
      <c r="L169" s="41"/>
      <c r="M169" s="41"/>
      <c r="N169" s="44">
        <f t="shared" si="69"/>
        <v>5253890.2799999993</v>
      </c>
      <c r="P169" s="44">
        <f t="shared" si="67"/>
        <v>477626.38909090904</v>
      </c>
      <c r="Q169" s="44">
        <f t="shared" si="68"/>
        <v>-477626.38909090904</v>
      </c>
    </row>
    <row r="170" spans="1:17" x14ac:dyDescent="0.25">
      <c r="A170" s="179" t="s">
        <v>138</v>
      </c>
      <c r="B170" s="1">
        <v>28233.33</v>
      </c>
      <c r="C170" s="1">
        <v>28233.33</v>
      </c>
      <c r="D170" s="5">
        <v>28595.83</v>
      </c>
      <c r="E170" s="1">
        <v>28233.33</v>
      </c>
      <c r="F170" s="1">
        <v>28233.33</v>
      </c>
      <c r="G170" s="1">
        <v>7627.91</v>
      </c>
      <c r="H170" s="1"/>
      <c r="I170" s="1"/>
      <c r="J170" s="1"/>
      <c r="K170" s="1"/>
      <c r="L170" s="1"/>
      <c r="M170" s="1"/>
      <c r="N170" s="1">
        <f t="shared" si="69"/>
        <v>149157.06000000003</v>
      </c>
      <c r="P170" s="1">
        <f t="shared" si="67"/>
        <v>13559.732727272729</v>
      </c>
      <c r="Q170" s="1">
        <f t="shared" si="68"/>
        <v>-13559.732727272729</v>
      </c>
    </row>
    <row r="171" spans="1:17" x14ac:dyDescent="0.25">
      <c r="A171" s="179" t="s">
        <v>139</v>
      </c>
      <c r="B171" s="1">
        <v>0</v>
      </c>
      <c r="C171" s="1">
        <v>878</v>
      </c>
      <c r="D171" s="5">
        <v>0</v>
      </c>
      <c r="E171" s="1">
        <v>0</v>
      </c>
      <c r="F171" s="1">
        <v>620</v>
      </c>
      <c r="G171" s="1">
        <v>0</v>
      </c>
      <c r="H171" s="1"/>
      <c r="I171" s="1"/>
      <c r="J171" s="1"/>
      <c r="K171" s="1"/>
      <c r="L171" s="1"/>
      <c r="M171" s="1"/>
      <c r="N171" s="1">
        <f t="shared" si="69"/>
        <v>1498</v>
      </c>
      <c r="P171" s="1">
        <f t="shared" si="67"/>
        <v>136.18181818181819</v>
      </c>
      <c r="Q171" s="1">
        <f t="shared" si="68"/>
        <v>-136.18181818181819</v>
      </c>
    </row>
    <row r="172" spans="1:17" x14ac:dyDescent="0.25">
      <c r="A172" s="179" t="s">
        <v>140</v>
      </c>
      <c r="B172" s="1">
        <v>935.34</v>
      </c>
      <c r="C172" s="1">
        <v>6097.82</v>
      </c>
      <c r="D172" s="5">
        <v>0</v>
      </c>
      <c r="E172" s="1">
        <v>924</v>
      </c>
      <c r="F172" s="1">
        <v>0</v>
      </c>
      <c r="G172" s="1">
        <v>0</v>
      </c>
      <c r="H172" s="1"/>
      <c r="I172" s="1"/>
      <c r="J172" s="1"/>
      <c r="K172" s="1"/>
      <c r="L172" s="1"/>
      <c r="M172" s="1"/>
      <c r="N172" s="1">
        <f t="shared" si="69"/>
        <v>7957.16</v>
      </c>
      <c r="P172" s="1">
        <f t="shared" si="67"/>
        <v>723.37818181818182</v>
      </c>
      <c r="Q172" s="1">
        <f t="shared" si="68"/>
        <v>-723.37818181818182</v>
      </c>
    </row>
    <row r="173" spans="1:17" x14ac:dyDescent="0.25">
      <c r="A173" s="179" t="s">
        <v>141</v>
      </c>
      <c r="B173" s="1">
        <v>13984.01</v>
      </c>
      <c r="C173" s="1">
        <v>16090.71</v>
      </c>
      <c r="D173" s="5">
        <v>17832.23</v>
      </c>
      <c r="E173" s="1">
        <v>16363.64</v>
      </c>
      <c r="F173" s="1">
        <v>18902.009999999998</v>
      </c>
      <c r="G173" s="1">
        <v>15846.75</v>
      </c>
      <c r="H173" s="1"/>
      <c r="I173" s="1"/>
      <c r="J173" s="1"/>
      <c r="K173" s="1"/>
      <c r="L173" s="1"/>
      <c r="M173" s="1"/>
      <c r="N173" s="1">
        <f t="shared" si="69"/>
        <v>99019.349999999991</v>
      </c>
      <c r="P173" s="1">
        <f t="shared" si="67"/>
        <v>9001.7590909090904</v>
      </c>
      <c r="Q173" s="1">
        <f t="shared" si="68"/>
        <v>-9001.7590909090904</v>
      </c>
    </row>
    <row r="174" spans="1:17" x14ac:dyDescent="0.25">
      <c r="A174" s="179" t="s">
        <v>142</v>
      </c>
      <c r="B174" s="1">
        <v>0</v>
      </c>
      <c r="C174" s="1">
        <v>2779.92</v>
      </c>
      <c r="D174" s="5">
        <v>3901.48</v>
      </c>
      <c r="E174" s="1">
        <v>3738.32</v>
      </c>
      <c r="F174" s="1">
        <v>2514.86</v>
      </c>
      <c r="G174" s="1">
        <v>3378.54</v>
      </c>
      <c r="H174" s="1"/>
      <c r="I174" s="1"/>
      <c r="J174" s="1"/>
      <c r="K174" s="1"/>
      <c r="L174" s="1"/>
      <c r="M174" s="1"/>
      <c r="N174" s="1">
        <f t="shared" si="69"/>
        <v>16313.119999999999</v>
      </c>
      <c r="P174" s="1">
        <f t="shared" si="67"/>
        <v>1483.0109090909091</v>
      </c>
      <c r="Q174" s="1">
        <f t="shared" si="68"/>
        <v>-1483.0109090909091</v>
      </c>
    </row>
    <row r="175" spans="1:17" x14ac:dyDescent="0.25">
      <c r="A175" s="179" t="s">
        <v>143</v>
      </c>
      <c r="B175" s="1">
        <v>0</v>
      </c>
      <c r="C175" s="1"/>
      <c r="D175" s="5">
        <v>0</v>
      </c>
      <c r="E175" s="1">
        <v>0</v>
      </c>
      <c r="F175" s="1">
        <v>-72</v>
      </c>
      <c r="G175" s="1">
        <v>0</v>
      </c>
      <c r="H175" s="1"/>
      <c r="I175" s="1"/>
      <c r="J175" s="1"/>
      <c r="K175" s="1"/>
      <c r="L175" s="1"/>
      <c r="M175" s="1"/>
      <c r="N175" s="1">
        <f t="shared" si="69"/>
        <v>-72</v>
      </c>
      <c r="P175" s="1">
        <f t="shared" si="67"/>
        <v>-6.5454545454545459</v>
      </c>
      <c r="Q175" s="1">
        <f t="shared" si="68"/>
        <v>6.5454545454545459</v>
      </c>
    </row>
    <row r="176" spans="1:17" x14ac:dyDescent="0.25">
      <c r="A176" s="179" t="s">
        <v>144</v>
      </c>
      <c r="B176" s="1">
        <v>1.87</v>
      </c>
      <c r="C176" s="1">
        <v>0</v>
      </c>
      <c r="D176" s="1">
        <v>-115.12</v>
      </c>
      <c r="E176" s="1">
        <v>3216.06</v>
      </c>
      <c r="F176" s="1">
        <v>-2308</v>
      </c>
      <c r="G176" s="1">
        <v>0</v>
      </c>
      <c r="H176" s="1"/>
      <c r="I176" s="1"/>
      <c r="J176" s="1"/>
      <c r="K176" s="1"/>
      <c r="L176" s="1"/>
      <c r="M176" s="1"/>
      <c r="N176" s="1">
        <f t="shared" si="69"/>
        <v>794.81</v>
      </c>
      <c r="P176" s="1">
        <f t="shared" si="67"/>
        <v>72.25545454545454</v>
      </c>
      <c r="Q176" s="1">
        <f t="shared" si="68"/>
        <v>-72.25545454545454</v>
      </c>
    </row>
    <row r="177" spans="1:17" x14ac:dyDescent="0.25">
      <c r="A177" s="179" t="s">
        <v>145</v>
      </c>
      <c r="B177" s="1">
        <v>655.42</v>
      </c>
      <c r="C177" s="1">
        <v>-345.3</v>
      </c>
      <c r="D177" s="1">
        <v>-1325.46</v>
      </c>
      <c r="E177" s="1">
        <v>-3163.28</v>
      </c>
      <c r="F177" s="1">
        <v>-3813.42</v>
      </c>
      <c r="G177" s="1">
        <v>-5151.74</v>
      </c>
      <c r="H177" s="1"/>
      <c r="I177" s="1"/>
      <c r="J177" s="1"/>
      <c r="K177" s="1"/>
      <c r="L177" s="1"/>
      <c r="M177" s="1"/>
      <c r="N177" s="1">
        <f t="shared" si="69"/>
        <v>-13143.78</v>
      </c>
      <c r="P177" s="1">
        <f t="shared" si="67"/>
        <v>-1194.889090909091</v>
      </c>
      <c r="Q177" s="1">
        <f t="shared" si="68"/>
        <v>1194.889090909091</v>
      </c>
    </row>
    <row r="178" spans="1:17" ht="15.6" customHeight="1" x14ac:dyDescent="0.25">
      <c r="A178" s="179" t="s">
        <v>146</v>
      </c>
      <c r="B178" s="1">
        <v>-260</v>
      </c>
      <c r="C178" s="1">
        <v>0</v>
      </c>
      <c r="D178" s="1">
        <v>-15</v>
      </c>
      <c r="E178" s="1">
        <f>-15</f>
        <v>-15</v>
      </c>
      <c r="F178" s="1">
        <v>0</v>
      </c>
      <c r="G178" s="1">
        <v>0</v>
      </c>
      <c r="H178" s="1"/>
      <c r="I178" s="1"/>
      <c r="J178" s="1"/>
      <c r="K178" s="1"/>
      <c r="L178" s="1"/>
      <c r="M178" s="1"/>
      <c r="N178" s="1">
        <f t="shared" si="69"/>
        <v>-290</v>
      </c>
      <c r="P178" s="1">
        <f t="shared" si="67"/>
        <v>-26.363636363636363</v>
      </c>
      <c r="Q178" s="1">
        <f t="shared" si="68"/>
        <v>26.363636363636363</v>
      </c>
    </row>
    <row r="179" spans="1:17" ht="15.6" customHeight="1" x14ac:dyDescent="0.25">
      <c r="A179" s="179" t="s">
        <v>147</v>
      </c>
      <c r="C179" s="1"/>
      <c r="D179" s="1"/>
      <c r="E179" s="1">
        <v>168314.67</v>
      </c>
      <c r="F179" s="1">
        <v>0</v>
      </c>
      <c r="G179" s="1">
        <v>1178.56</v>
      </c>
      <c r="H179" s="1"/>
      <c r="I179" s="1"/>
      <c r="J179" s="1"/>
      <c r="K179" s="1"/>
      <c r="L179" s="1"/>
      <c r="M179" s="1"/>
      <c r="N179" s="1">
        <f t="shared" si="69"/>
        <v>169493.23</v>
      </c>
      <c r="P179" s="1"/>
      <c r="Q179" s="1"/>
    </row>
    <row r="180" spans="1:17" ht="15.6" customHeight="1" x14ac:dyDescent="0.25">
      <c r="A180" s="179" t="s">
        <v>148</v>
      </c>
      <c r="C180" s="1"/>
      <c r="D180" s="1"/>
      <c r="E180" s="1">
        <v>12675.04</v>
      </c>
      <c r="F180" s="1">
        <v>-0.02</v>
      </c>
      <c r="G180" s="1">
        <v>0</v>
      </c>
      <c r="H180" s="1"/>
      <c r="I180" s="1"/>
      <c r="J180" s="1"/>
      <c r="K180" s="1"/>
      <c r="L180" s="1"/>
      <c r="M180" s="1"/>
      <c r="N180" s="1">
        <f t="shared" si="69"/>
        <v>12675.02</v>
      </c>
      <c r="P180" s="1"/>
      <c r="Q180" s="1"/>
    </row>
    <row r="181" spans="1:17" ht="15.6" customHeight="1" x14ac:dyDescent="0.25">
      <c r="A181" s="179" t="s">
        <v>469</v>
      </c>
      <c r="C181" s="1"/>
      <c r="D181" s="1"/>
      <c r="E181" s="1"/>
      <c r="F181" s="1"/>
      <c r="G181" s="1">
        <v>29.46</v>
      </c>
      <c r="H181" s="1"/>
      <c r="I181" s="1"/>
      <c r="J181" s="1"/>
      <c r="K181" s="1"/>
      <c r="L181" s="1"/>
      <c r="M181" s="1"/>
      <c r="N181" s="1">
        <f t="shared" si="69"/>
        <v>29.46</v>
      </c>
      <c r="P181" s="1"/>
      <c r="Q181" s="1"/>
    </row>
    <row r="182" spans="1:17" ht="15.6" customHeight="1" x14ac:dyDescent="0.25">
      <c r="A182" s="179" t="s">
        <v>470</v>
      </c>
      <c r="C182" s="1"/>
      <c r="D182" s="1"/>
      <c r="E182" s="1"/>
      <c r="F182" s="1"/>
      <c r="G182" s="1">
        <v>0</v>
      </c>
      <c r="H182" s="1"/>
      <c r="I182" s="1"/>
      <c r="J182" s="1"/>
      <c r="K182" s="1"/>
      <c r="L182" s="1"/>
      <c r="M182" s="1"/>
      <c r="N182" s="1">
        <f t="shared" si="69"/>
        <v>0</v>
      </c>
      <c r="P182" s="1"/>
      <c r="Q182" s="1"/>
    </row>
    <row r="183" spans="1:17" s="39" customFormat="1" x14ac:dyDescent="0.25">
      <c r="A183" s="189" t="s">
        <v>149</v>
      </c>
      <c r="B183" s="45">
        <f t="shared" ref="B183:G183" si="70">SUM(B125:B182)</f>
        <v>584692821.1099999</v>
      </c>
      <c r="C183" s="45">
        <f t="shared" si="70"/>
        <v>1326064718.7600005</v>
      </c>
      <c r="D183" s="45">
        <f t="shared" si="70"/>
        <v>407886159.28000009</v>
      </c>
      <c r="E183" s="45">
        <f t="shared" si="70"/>
        <v>144492603.92999986</v>
      </c>
      <c r="F183" s="45">
        <f t="shared" si="70"/>
        <v>212099725.4200002</v>
      </c>
      <c r="G183" s="45">
        <f t="shared" si="70"/>
        <v>355772504.34000009</v>
      </c>
      <c r="H183" s="45">
        <f t="shared" ref="H183:M183" si="71">SUM(H125:H178)</f>
        <v>0</v>
      </c>
      <c r="I183" s="45">
        <f t="shared" si="71"/>
        <v>0</v>
      </c>
      <c r="J183" s="45">
        <f t="shared" si="71"/>
        <v>0</v>
      </c>
      <c r="K183" s="45">
        <f t="shared" si="71"/>
        <v>0</v>
      </c>
      <c r="L183" s="45">
        <f t="shared" si="71"/>
        <v>0</v>
      </c>
      <c r="M183" s="45">
        <f t="shared" si="71"/>
        <v>0</v>
      </c>
      <c r="N183" s="45">
        <f>SUM(N125:N182)</f>
        <v>3031008532.8400002</v>
      </c>
      <c r="P183" s="45">
        <f t="shared" si="67"/>
        <v>275546230.25818181</v>
      </c>
      <c r="Q183" s="45">
        <f t="shared" si="68"/>
        <v>-275546230.25818181</v>
      </c>
    </row>
    <row r="184" spans="1:17" s="39" customFormat="1" ht="15.75" thickBot="1" x14ac:dyDescent="0.3">
      <c r="A184" s="189" t="s">
        <v>150</v>
      </c>
      <c r="B184" s="40">
        <f t="shared" ref="B184:M184" si="72">B123-B183</f>
        <v>697510.16000008583</v>
      </c>
      <c r="C184" s="40">
        <f t="shared" si="72"/>
        <v>624547.37999987602</v>
      </c>
      <c r="D184" s="40">
        <f t="shared" si="72"/>
        <v>769919.81999999285</v>
      </c>
      <c r="E184" s="40">
        <f t="shared" si="72"/>
        <v>477580.01000010967</v>
      </c>
      <c r="F184" s="40">
        <f t="shared" si="72"/>
        <v>386606.16999977827</v>
      </c>
      <c r="G184" s="40">
        <f t="shared" si="72"/>
        <v>532374.25999993086</v>
      </c>
      <c r="H184" s="40">
        <f t="shared" si="72"/>
        <v>0</v>
      </c>
      <c r="I184" s="40">
        <f t="shared" si="72"/>
        <v>0</v>
      </c>
      <c r="J184" s="40">
        <f t="shared" si="72"/>
        <v>0</v>
      </c>
      <c r="K184" s="40">
        <f t="shared" si="72"/>
        <v>0</v>
      </c>
      <c r="L184" s="40">
        <f t="shared" si="72"/>
        <v>0</v>
      </c>
      <c r="M184" s="40">
        <f t="shared" si="72"/>
        <v>0</v>
      </c>
      <c r="N184" s="40">
        <f>SUM(B184:M184)</f>
        <v>3488537.7999997735</v>
      </c>
      <c r="P184" s="40">
        <f t="shared" si="67"/>
        <v>317139.79999997938</v>
      </c>
      <c r="Q184" s="40">
        <f t="shared" si="68"/>
        <v>-317139.79999997938</v>
      </c>
    </row>
    <row r="185" spans="1:17" ht="15.75" thickTop="1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P185" s="1">
        <f t="shared" si="67"/>
        <v>0</v>
      </c>
      <c r="Q185" s="1">
        <f t="shared" si="68"/>
        <v>0</v>
      </c>
    </row>
    <row r="186" spans="1:17" x14ac:dyDescent="0.25">
      <c r="A186" s="179" t="s">
        <v>151</v>
      </c>
      <c r="B186" s="1">
        <v>321540.08</v>
      </c>
      <c r="C186" s="1">
        <v>265057.82</v>
      </c>
      <c r="D186" s="1">
        <v>284816.11</v>
      </c>
      <c r="E186" s="1">
        <v>286945.63</v>
      </c>
      <c r="F186" s="1">
        <v>338930.51</v>
      </c>
      <c r="G186" s="1">
        <v>336452.67</v>
      </c>
      <c r="H186" s="1"/>
      <c r="I186" s="1"/>
      <c r="J186" s="1"/>
      <c r="K186" s="1"/>
      <c r="L186" s="1"/>
      <c r="M186" s="1"/>
      <c r="N186" s="1">
        <f t="shared" ref="N186:N196" si="73">SUM(B186:M186)</f>
        <v>1833742.82</v>
      </c>
      <c r="P186" s="1">
        <f t="shared" si="67"/>
        <v>166703.89272727273</v>
      </c>
      <c r="Q186" s="1">
        <f t="shared" si="68"/>
        <v>-166703.89272727273</v>
      </c>
    </row>
    <row r="187" spans="1:17" x14ac:dyDescent="0.25">
      <c r="A187" s="179" t="s">
        <v>152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/>
      <c r="I187" s="1"/>
      <c r="J187" s="1"/>
      <c r="K187" s="1"/>
      <c r="L187" s="1"/>
      <c r="M187" s="1"/>
      <c r="N187" s="1">
        <f t="shared" si="73"/>
        <v>0</v>
      </c>
      <c r="P187" s="1">
        <f t="shared" si="67"/>
        <v>0</v>
      </c>
      <c r="Q187" s="1">
        <f t="shared" si="68"/>
        <v>0</v>
      </c>
    </row>
    <row r="188" spans="1:17" x14ac:dyDescent="0.25">
      <c r="A188" s="179" t="s">
        <v>153</v>
      </c>
      <c r="B188" s="1">
        <v>0</v>
      </c>
      <c r="C188" s="1">
        <v>4088</v>
      </c>
      <c r="D188" s="5">
        <v>4088</v>
      </c>
      <c r="E188" s="1">
        <v>4088</v>
      </c>
      <c r="F188" s="1">
        <v>4088</v>
      </c>
      <c r="G188" s="1">
        <v>-2599</v>
      </c>
      <c r="H188" s="1"/>
      <c r="I188" s="1"/>
      <c r="J188" s="1"/>
      <c r="K188" s="1"/>
      <c r="L188" s="1"/>
      <c r="M188" s="1"/>
      <c r="N188" s="1">
        <f t="shared" si="73"/>
        <v>13753</v>
      </c>
      <c r="P188" s="1">
        <f t="shared" si="67"/>
        <v>1250.2727272727273</v>
      </c>
      <c r="Q188" s="1">
        <f t="shared" si="68"/>
        <v>-1250.2727272727273</v>
      </c>
    </row>
    <row r="189" spans="1:17" x14ac:dyDescent="0.25">
      <c r="A189" s="179" t="s">
        <v>154</v>
      </c>
      <c r="B189" s="1">
        <v>34485.919999999998</v>
      </c>
      <c r="C189" s="1">
        <v>25848.55</v>
      </c>
      <c r="D189" s="5">
        <v>25451.64</v>
      </c>
      <c r="E189" s="1">
        <v>26482.85</v>
      </c>
      <c r="F189" s="1">
        <v>27594.59</v>
      </c>
      <c r="G189" s="1">
        <v>26155.119999999999</v>
      </c>
      <c r="H189" s="1"/>
      <c r="I189" s="1"/>
      <c r="J189" s="1"/>
      <c r="K189" s="1"/>
      <c r="L189" s="1"/>
      <c r="M189" s="1"/>
      <c r="N189" s="1">
        <f t="shared" si="73"/>
        <v>166018.66999999998</v>
      </c>
      <c r="P189" s="1">
        <f t="shared" si="67"/>
        <v>15092.606363636361</v>
      </c>
      <c r="Q189" s="1">
        <f t="shared" si="68"/>
        <v>-15092.606363636361</v>
      </c>
    </row>
    <row r="190" spans="1:17" x14ac:dyDescent="0.25">
      <c r="A190" s="179" t="s">
        <v>155</v>
      </c>
      <c r="B190" s="1">
        <v>34701.300000000003</v>
      </c>
      <c r="C190" s="1">
        <v>29078.31</v>
      </c>
      <c r="D190" s="5">
        <v>14776.7</v>
      </c>
      <c r="E190" s="1">
        <v>22093.19</v>
      </c>
      <c r="F190" s="1">
        <v>36544.94</v>
      </c>
      <c r="G190" s="1">
        <v>29148.65</v>
      </c>
      <c r="H190" s="1"/>
      <c r="I190" s="1"/>
      <c r="J190" s="1"/>
      <c r="K190" s="1"/>
      <c r="L190" s="1"/>
      <c r="M190" s="1"/>
      <c r="N190" s="1">
        <f t="shared" si="73"/>
        <v>166343.09</v>
      </c>
      <c r="P190" s="1">
        <f t="shared" si="67"/>
        <v>15122.099090909091</v>
      </c>
      <c r="Q190" s="1">
        <f t="shared" si="68"/>
        <v>-15122.099090909091</v>
      </c>
    </row>
    <row r="191" spans="1:17" x14ac:dyDescent="0.25">
      <c r="A191" s="179" t="s">
        <v>156</v>
      </c>
      <c r="B191" s="1">
        <v>3985.86</v>
      </c>
      <c r="C191" s="1">
        <v>4106.21</v>
      </c>
      <c r="D191" s="5">
        <v>4155.76</v>
      </c>
      <c r="E191" s="1">
        <v>3572.78</v>
      </c>
      <c r="F191" s="1">
        <v>2661.9</v>
      </c>
      <c r="G191" s="1">
        <v>4701.25</v>
      </c>
      <c r="H191" s="1"/>
      <c r="I191" s="1"/>
      <c r="J191" s="1"/>
      <c r="K191" s="1"/>
      <c r="L191" s="1"/>
      <c r="M191" s="1"/>
      <c r="N191" s="1">
        <f t="shared" si="73"/>
        <v>23183.760000000002</v>
      </c>
      <c r="P191" s="1">
        <f t="shared" si="67"/>
        <v>2107.6145454545458</v>
      </c>
      <c r="Q191" s="1">
        <f t="shared" si="68"/>
        <v>-2107.6145454545458</v>
      </c>
    </row>
    <row r="192" spans="1:17" x14ac:dyDescent="0.25">
      <c r="A192" s="179" t="s">
        <v>157</v>
      </c>
      <c r="B192" s="1">
        <v>9167</v>
      </c>
      <c r="C192" s="1">
        <v>9167</v>
      </c>
      <c r="D192" s="5">
        <v>9167</v>
      </c>
      <c r="E192" s="1">
        <v>9167</v>
      </c>
      <c r="F192" s="1">
        <v>9167</v>
      </c>
      <c r="G192" s="1">
        <v>8600</v>
      </c>
      <c r="H192" s="1"/>
      <c r="I192" s="1"/>
      <c r="J192" s="1"/>
      <c r="K192" s="1"/>
      <c r="L192" s="1"/>
      <c r="M192" s="1"/>
      <c r="N192" s="1">
        <f t="shared" si="73"/>
        <v>54435</v>
      </c>
      <c r="P192" s="1">
        <f t="shared" si="67"/>
        <v>4948.636363636364</v>
      </c>
      <c r="Q192" s="1">
        <f t="shared" si="68"/>
        <v>-4948.636363636364</v>
      </c>
    </row>
    <row r="193" spans="1:17" x14ac:dyDescent="0.25">
      <c r="A193" s="179" t="s">
        <v>158</v>
      </c>
      <c r="B193" s="1">
        <v>116.2</v>
      </c>
      <c r="C193" s="1">
        <v>164.9</v>
      </c>
      <c r="D193" s="5">
        <v>55.05</v>
      </c>
      <c r="E193" s="1">
        <v>59.95</v>
      </c>
      <c r="F193" s="1">
        <v>100</v>
      </c>
      <c r="G193" s="1">
        <v>59.95</v>
      </c>
      <c r="H193" s="1"/>
      <c r="I193" s="1"/>
      <c r="J193" s="1"/>
      <c r="K193" s="1"/>
      <c r="L193" s="1"/>
      <c r="M193" s="1"/>
      <c r="N193" s="1">
        <f t="shared" si="73"/>
        <v>556.05000000000007</v>
      </c>
      <c r="P193" s="1">
        <f t="shared" si="67"/>
        <v>50.550000000000004</v>
      </c>
      <c r="Q193" s="1">
        <f t="shared" si="68"/>
        <v>-50.550000000000004</v>
      </c>
    </row>
    <row r="194" spans="1:17" x14ac:dyDescent="0.25">
      <c r="A194" s="179" t="s">
        <v>159</v>
      </c>
      <c r="B194" s="1">
        <v>1196.75</v>
      </c>
      <c r="C194" s="1">
        <v>1627.2</v>
      </c>
      <c r="D194" s="5">
        <v>1115.29</v>
      </c>
      <c r="E194" s="1">
        <v>1152.68</v>
      </c>
      <c r="F194" s="1">
        <v>1252.42</v>
      </c>
      <c r="G194" s="1">
        <v>1063.43</v>
      </c>
      <c r="H194" s="1"/>
      <c r="I194" s="1"/>
      <c r="J194" s="1"/>
      <c r="K194" s="1"/>
      <c r="L194" s="1"/>
      <c r="M194" s="1"/>
      <c r="N194" s="1">
        <f t="shared" si="73"/>
        <v>7407.77</v>
      </c>
      <c r="P194" s="1">
        <f t="shared" si="67"/>
        <v>673.43363636363642</v>
      </c>
      <c r="Q194" s="1">
        <f t="shared" si="68"/>
        <v>-673.43363636363642</v>
      </c>
    </row>
    <row r="195" spans="1:17" x14ac:dyDescent="0.25">
      <c r="A195" s="179" t="s">
        <v>160</v>
      </c>
      <c r="B195" s="1">
        <v>0</v>
      </c>
      <c r="C195" s="1">
        <v>2800</v>
      </c>
      <c r="D195" s="5">
        <v>0</v>
      </c>
      <c r="E195" s="1">
        <v>0</v>
      </c>
      <c r="F195" s="1">
        <v>0</v>
      </c>
      <c r="G195" s="1">
        <v>220</v>
      </c>
      <c r="H195" s="1"/>
      <c r="I195" s="1"/>
      <c r="J195" s="1"/>
      <c r="K195" s="1"/>
      <c r="L195" s="1"/>
      <c r="M195" s="1"/>
      <c r="N195" s="1">
        <f t="shared" si="73"/>
        <v>3020</v>
      </c>
      <c r="P195" s="1">
        <f t="shared" si="67"/>
        <v>274.54545454545456</v>
      </c>
      <c r="Q195" s="1">
        <f t="shared" si="68"/>
        <v>-274.54545454545456</v>
      </c>
    </row>
    <row r="196" spans="1:17" x14ac:dyDescent="0.25">
      <c r="A196" s="179" t="s">
        <v>161</v>
      </c>
      <c r="B196" s="1">
        <v>0</v>
      </c>
      <c r="C196" s="1">
        <v>0</v>
      </c>
      <c r="D196" s="5">
        <v>0</v>
      </c>
      <c r="E196" s="1">
        <v>309.48</v>
      </c>
      <c r="F196" s="1">
        <v>0</v>
      </c>
      <c r="G196" s="1">
        <v>0</v>
      </c>
      <c r="H196" s="1"/>
      <c r="I196" s="1"/>
      <c r="J196" s="1"/>
      <c r="K196" s="1"/>
      <c r="L196" s="1"/>
      <c r="M196" s="1"/>
      <c r="N196" s="1">
        <f t="shared" si="73"/>
        <v>309.48</v>
      </c>
      <c r="P196" s="1">
        <f t="shared" si="67"/>
        <v>28.134545454545457</v>
      </c>
      <c r="Q196" s="1">
        <f t="shared" si="68"/>
        <v>-28.134545454545457</v>
      </c>
    </row>
    <row r="197" spans="1:17" ht="15.75" thickBot="1" x14ac:dyDescent="0.3">
      <c r="A197" s="189" t="s">
        <v>162</v>
      </c>
      <c r="B197" s="40">
        <f>SUM(B186:B196)</f>
        <v>405193.11</v>
      </c>
      <c r="C197" s="40">
        <f>SUM(C186:C196)</f>
        <v>341937.99000000005</v>
      </c>
      <c r="D197" s="40">
        <f>SUM(D186:D196)</f>
        <v>343625.55</v>
      </c>
      <c r="E197" s="40">
        <f>SUM(E186:E196)</f>
        <v>353871.56</v>
      </c>
      <c r="F197" s="40">
        <f>SUM(F186:F196)</f>
        <v>420339.36000000004</v>
      </c>
      <c r="G197" s="40">
        <f>SUM(G186:M196)</f>
        <v>403802.07</v>
      </c>
      <c r="H197" s="40">
        <f t="shared" ref="H197:M197" si="74">SUM(H186:H194)</f>
        <v>0</v>
      </c>
      <c r="I197" s="40">
        <f t="shared" si="74"/>
        <v>0</v>
      </c>
      <c r="J197" s="40">
        <f t="shared" si="74"/>
        <v>0</v>
      </c>
      <c r="K197" s="40">
        <f t="shared" si="74"/>
        <v>0</v>
      </c>
      <c r="L197" s="40">
        <f t="shared" si="74"/>
        <v>0</v>
      </c>
      <c r="M197" s="40">
        <f t="shared" si="74"/>
        <v>0</v>
      </c>
      <c r="N197" s="40">
        <f>SUM(N186:T196)</f>
        <v>2268769.6399999997</v>
      </c>
      <c r="P197" s="40">
        <f t="shared" si="67"/>
        <v>206251.78545454543</v>
      </c>
      <c r="Q197" s="40">
        <f t="shared" si="68"/>
        <v>-206251.78545454543</v>
      </c>
    </row>
    <row r="198" spans="1:17" ht="15.75" thickTop="1" x14ac:dyDescent="0.25">
      <c r="C198" s="1"/>
      <c r="D198" s="1"/>
      <c r="E198" s="123"/>
      <c r="F198" s="123"/>
      <c r="G198" s="1"/>
      <c r="H198" s="1"/>
      <c r="I198" s="1"/>
      <c r="J198" s="1"/>
      <c r="K198" s="1"/>
      <c r="L198" s="1"/>
      <c r="M198" s="1"/>
      <c r="N198" s="1"/>
      <c r="P198" s="1">
        <f t="shared" si="67"/>
        <v>0</v>
      </c>
      <c r="Q198" s="1">
        <f t="shared" si="68"/>
        <v>0</v>
      </c>
    </row>
    <row r="199" spans="1:17" x14ac:dyDescent="0.25">
      <c r="A199" s="179" t="s">
        <v>163</v>
      </c>
      <c r="B199" s="1">
        <v>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/>
      <c r="I199" s="1"/>
      <c r="J199" s="1"/>
      <c r="K199" s="1"/>
      <c r="L199" s="1"/>
      <c r="M199" s="1"/>
      <c r="N199" s="1">
        <f t="shared" ref="N199:N215" si="75">SUM(B199:M199)</f>
        <v>0</v>
      </c>
      <c r="P199" s="1"/>
      <c r="Q199" s="1"/>
    </row>
    <row r="200" spans="1:17" x14ac:dyDescent="0.25">
      <c r="A200" s="179" t="s">
        <v>164</v>
      </c>
      <c r="B200" s="1">
        <v>34200</v>
      </c>
      <c r="C200" s="1">
        <v>34200</v>
      </c>
      <c r="D200" s="5">
        <v>34200</v>
      </c>
      <c r="E200" s="1">
        <v>34200</v>
      </c>
      <c r="F200" s="1">
        <v>34200</v>
      </c>
      <c r="G200" s="1">
        <v>34200</v>
      </c>
      <c r="H200" s="1"/>
      <c r="I200" s="1"/>
      <c r="J200" s="1"/>
      <c r="K200" s="1"/>
      <c r="L200" s="1"/>
      <c r="M200" s="1"/>
      <c r="N200" s="1">
        <f t="shared" si="75"/>
        <v>205200</v>
      </c>
      <c r="P200" s="1">
        <f t="shared" ref="P200:P251" si="76">(N200-M200)/11</f>
        <v>18654.545454545456</v>
      </c>
      <c r="Q200" s="1">
        <f t="shared" ref="Q200:Q251" si="77">M200-P200</f>
        <v>-18654.545454545456</v>
      </c>
    </row>
    <row r="201" spans="1:17" x14ac:dyDescent="0.25">
      <c r="A201" s="179" t="s">
        <v>165</v>
      </c>
      <c r="B201" s="1">
        <v>8503.81</v>
      </c>
      <c r="C201" s="1">
        <v>5315.92</v>
      </c>
      <c r="D201" s="5">
        <v>5721.77</v>
      </c>
      <c r="E201" s="1">
        <v>1979.68</v>
      </c>
      <c r="F201" s="1">
        <v>-5668.03</v>
      </c>
      <c r="G201" s="1">
        <v>-5550.91</v>
      </c>
      <c r="H201" s="1"/>
      <c r="I201" s="1"/>
      <c r="J201" s="1"/>
      <c r="K201" s="1"/>
      <c r="L201" s="1"/>
      <c r="M201" s="1"/>
      <c r="N201" s="1">
        <f t="shared" si="75"/>
        <v>10302.240000000002</v>
      </c>
      <c r="P201" s="1">
        <f t="shared" si="76"/>
        <v>936.56727272727289</v>
      </c>
      <c r="Q201" s="1">
        <f t="shared" si="77"/>
        <v>-936.56727272727289</v>
      </c>
    </row>
    <row r="202" spans="1:17" x14ac:dyDescent="0.25">
      <c r="A202" s="179" t="s">
        <v>166</v>
      </c>
      <c r="B202" s="1">
        <v>812.13</v>
      </c>
      <c r="C202" s="1">
        <v>2889.41</v>
      </c>
      <c r="D202" s="5">
        <v>2880.16</v>
      </c>
      <c r="E202" s="1">
        <v>1338.1</v>
      </c>
      <c r="F202" s="1">
        <v>587.38</v>
      </c>
      <c r="G202" s="1">
        <v>168.44</v>
      </c>
      <c r="H202" s="1"/>
      <c r="I202" s="1"/>
      <c r="J202" s="1"/>
      <c r="K202" s="1"/>
      <c r="L202" s="1"/>
      <c r="M202" s="1"/>
      <c r="N202" s="1">
        <f t="shared" si="75"/>
        <v>8675.619999999999</v>
      </c>
      <c r="P202" s="1">
        <f t="shared" si="76"/>
        <v>788.69272727272721</v>
      </c>
      <c r="Q202" s="1">
        <f t="shared" si="77"/>
        <v>-788.69272727272721</v>
      </c>
    </row>
    <row r="203" spans="1:17" x14ac:dyDescent="0.25">
      <c r="A203" s="179" t="s">
        <v>167</v>
      </c>
      <c r="B203" s="1">
        <v>0</v>
      </c>
      <c r="C203" s="1">
        <v>0</v>
      </c>
      <c r="D203" s="5">
        <v>0</v>
      </c>
      <c r="E203" s="1">
        <v>0</v>
      </c>
      <c r="F203" s="1">
        <v>579.03</v>
      </c>
      <c r="G203" s="1">
        <v>0</v>
      </c>
      <c r="H203" s="1"/>
      <c r="I203" s="1"/>
      <c r="J203" s="1"/>
      <c r="K203" s="1"/>
      <c r="L203" s="1"/>
      <c r="M203" s="1"/>
      <c r="N203" s="1">
        <f t="shared" si="75"/>
        <v>579.03</v>
      </c>
      <c r="P203" s="1">
        <f t="shared" si="76"/>
        <v>52.639090909090903</v>
      </c>
      <c r="Q203" s="1">
        <f t="shared" si="77"/>
        <v>-52.639090909090903</v>
      </c>
    </row>
    <row r="204" spans="1:17" x14ac:dyDescent="0.25">
      <c r="A204" s="179" t="s">
        <v>168</v>
      </c>
      <c r="B204" s="1">
        <v>6595</v>
      </c>
      <c r="C204" s="1">
        <v>2825</v>
      </c>
      <c r="D204" s="5">
        <v>4805</v>
      </c>
      <c r="E204" s="1">
        <v>0</v>
      </c>
      <c r="F204" s="1">
        <v>0</v>
      </c>
      <c r="G204" s="1">
        <v>0</v>
      </c>
      <c r="H204" s="1"/>
      <c r="I204" s="1"/>
      <c r="J204" s="1"/>
      <c r="K204" s="1"/>
      <c r="L204" s="1"/>
      <c r="M204" s="1"/>
      <c r="N204" s="1">
        <f t="shared" si="75"/>
        <v>14225</v>
      </c>
      <c r="P204" s="1">
        <f t="shared" si="76"/>
        <v>1293.1818181818182</v>
      </c>
      <c r="Q204" s="1">
        <f t="shared" si="77"/>
        <v>-1293.1818181818182</v>
      </c>
    </row>
    <row r="205" spans="1:17" x14ac:dyDescent="0.25">
      <c r="A205" s="179" t="s">
        <v>169</v>
      </c>
      <c r="B205" s="1">
        <v>11843.29</v>
      </c>
      <c r="C205" s="1">
        <v>5450.87</v>
      </c>
      <c r="D205" s="5">
        <v>12040.98</v>
      </c>
      <c r="E205" s="1">
        <v>8053.61</v>
      </c>
      <c r="F205" s="1">
        <v>16912.45</v>
      </c>
      <c r="G205" s="1">
        <v>6944.38</v>
      </c>
      <c r="H205" s="1"/>
      <c r="I205" s="1"/>
      <c r="J205" s="1"/>
      <c r="K205" s="1"/>
      <c r="L205" s="1"/>
      <c r="M205" s="1"/>
      <c r="N205" s="1">
        <f t="shared" si="75"/>
        <v>61245.579999999994</v>
      </c>
      <c r="P205" s="1">
        <f t="shared" si="76"/>
        <v>5567.78</v>
      </c>
      <c r="Q205" s="1">
        <f t="shared" si="77"/>
        <v>-5567.78</v>
      </c>
    </row>
    <row r="206" spans="1:17" x14ac:dyDescent="0.25">
      <c r="A206" s="179" t="s">
        <v>170</v>
      </c>
      <c r="B206" s="1">
        <v>8676.52</v>
      </c>
      <c r="C206" s="1">
        <v>8676.52</v>
      </c>
      <c r="D206" s="5">
        <v>8676.51</v>
      </c>
      <c r="E206" s="1">
        <v>8676.52</v>
      </c>
      <c r="F206" s="1">
        <v>8676.52</v>
      </c>
      <c r="G206" s="1">
        <v>8676.51</v>
      </c>
      <c r="H206" s="1"/>
      <c r="I206" s="1"/>
      <c r="J206" s="1"/>
      <c r="K206" s="1"/>
      <c r="L206" s="1"/>
      <c r="M206" s="1"/>
      <c r="N206" s="1">
        <f t="shared" si="75"/>
        <v>52059.100000000013</v>
      </c>
      <c r="P206" s="1">
        <f t="shared" si="76"/>
        <v>4732.6454545454553</v>
      </c>
      <c r="Q206" s="1">
        <f t="shared" si="77"/>
        <v>-4732.6454545454553</v>
      </c>
    </row>
    <row r="207" spans="1:17" x14ac:dyDescent="0.25">
      <c r="A207" s="179" t="s">
        <v>171</v>
      </c>
      <c r="B207" s="1">
        <v>3100</v>
      </c>
      <c r="C207" s="1">
        <v>3100</v>
      </c>
      <c r="D207" s="5">
        <v>3100</v>
      </c>
      <c r="E207" s="1">
        <v>3100</v>
      </c>
      <c r="F207" s="1">
        <v>3100</v>
      </c>
      <c r="G207" s="1">
        <v>4500</v>
      </c>
      <c r="H207" s="1"/>
      <c r="I207" s="1"/>
      <c r="J207" s="1"/>
      <c r="K207" s="1"/>
      <c r="L207" s="1"/>
      <c r="M207" s="1"/>
      <c r="N207" s="1">
        <f t="shared" si="75"/>
        <v>20000</v>
      </c>
      <c r="P207" s="1">
        <f t="shared" si="76"/>
        <v>1818.1818181818182</v>
      </c>
      <c r="Q207" s="1">
        <f t="shared" si="77"/>
        <v>-1818.1818181818182</v>
      </c>
    </row>
    <row r="208" spans="1:17" x14ac:dyDescent="0.25">
      <c r="A208" s="179" t="s">
        <v>172</v>
      </c>
      <c r="B208" s="1">
        <v>5157.18</v>
      </c>
      <c r="C208" s="1">
        <v>5157.18</v>
      </c>
      <c r="D208" s="5">
        <v>5023.41</v>
      </c>
      <c r="E208" s="1">
        <v>5123.42</v>
      </c>
      <c r="F208" s="1">
        <v>5023.42</v>
      </c>
      <c r="G208" s="1">
        <v>5023.42</v>
      </c>
      <c r="H208" s="1"/>
      <c r="I208" s="1"/>
      <c r="J208" s="1"/>
      <c r="K208" s="1"/>
      <c r="L208" s="1"/>
      <c r="M208" s="1"/>
      <c r="N208" s="1">
        <f t="shared" si="75"/>
        <v>30508.03</v>
      </c>
      <c r="P208" s="1">
        <f t="shared" si="76"/>
        <v>2773.4572727272725</v>
      </c>
      <c r="Q208" s="1">
        <f t="shared" si="77"/>
        <v>-2773.4572727272725</v>
      </c>
    </row>
    <row r="209" spans="1:17" x14ac:dyDescent="0.25">
      <c r="A209" s="179" t="s">
        <v>173</v>
      </c>
      <c r="B209" s="1">
        <v>781.02</v>
      </c>
      <c r="C209" s="1">
        <v>3798.75</v>
      </c>
      <c r="D209" s="5">
        <v>1347.95</v>
      </c>
      <c r="E209" s="1">
        <v>606.57000000000005</v>
      </c>
      <c r="F209" s="1">
        <v>716.17</v>
      </c>
      <c r="G209" s="1">
        <v>506.25</v>
      </c>
      <c r="H209" s="1"/>
      <c r="I209" s="1"/>
      <c r="J209" s="1"/>
      <c r="K209" s="1"/>
      <c r="L209" s="1"/>
      <c r="M209" s="1"/>
      <c r="N209" s="1">
        <f t="shared" si="75"/>
        <v>7756.71</v>
      </c>
      <c r="O209" s="1"/>
      <c r="P209" s="1">
        <f t="shared" si="76"/>
        <v>705.15545454545452</v>
      </c>
      <c r="Q209" s="1">
        <f t="shared" si="77"/>
        <v>-705.15545454545452</v>
      </c>
    </row>
    <row r="210" spans="1:17" x14ac:dyDescent="0.25">
      <c r="A210" s="179" t="s">
        <v>174</v>
      </c>
      <c r="B210" s="1">
        <v>740.6</v>
      </c>
      <c r="C210" s="1">
        <v>321.60000000000002</v>
      </c>
      <c r="D210" s="5">
        <v>321.60000000000002</v>
      </c>
      <c r="E210" s="1">
        <v>419.18</v>
      </c>
      <c r="F210" s="1">
        <v>439.52</v>
      </c>
      <c r="G210" s="1">
        <v>321.60000000000002</v>
      </c>
      <c r="H210" s="1"/>
      <c r="I210" s="1"/>
      <c r="J210" s="1"/>
      <c r="K210" s="1"/>
      <c r="L210" s="1"/>
      <c r="M210" s="1"/>
      <c r="N210" s="1">
        <f t="shared" si="75"/>
        <v>2564.1</v>
      </c>
      <c r="P210" s="1">
        <f t="shared" si="76"/>
        <v>233.1</v>
      </c>
      <c r="Q210" s="1">
        <f t="shared" si="77"/>
        <v>-233.1</v>
      </c>
    </row>
    <row r="211" spans="1:17" x14ac:dyDescent="0.25">
      <c r="A211" s="179" t="s">
        <v>175</v>
      </c>
      <c r="B211" s="1">
        <v>333.33</v>
      </c>
      <c r="C211" s="1">
        <v>333.33</v>
      </c>
      <c r="D211" s="5">
        <v>333.33</v>
      </c>
      <c r="E211" s="1">
        <v>333.33</v>
      </c>
      <c r="F211" s="1">
        <v>333.33</v>
      </c>
      <c r="G211" s="1">
        <v>333.33</v>
      </c>
      <c r="H211" s="1"/>
      <c r="I211" s="1"/>
      <c r="J211" s="1"/>
      <c r="K211" s="1"/>
      <c r="L211" s="1"/>
      <c r="M211" s="1"/>
      <c r="N211" s="1">
        <f t="shared" si="75"/>
        <v>1999.9799999999998</v>
      </c>
      <c r="P211" s="1">
        <f t="shared" si="76"/>
        <v>181.8163636363636</v>
      </c>
      <c r="Q211" s="1">
        <f t="shared" si="77"/>
        <v>-181.8163636363636</v>
      </c>
    </row>
    <row r="212" spans="1:17" x14ac:dyDescent="0.25">
      <c r="A212" s="179" t="s">
        <v>176</v>
      </c>
      <c r="B212" s="1">
        <v>115897.3</v>
      </c>
      <c r="C212" s="1">
        <v>117313.31</v>
      </c>
      <c r="D212" s="5">
        <v>117313.31</v>
      </c>
      <c r="E212" s="1">
        <v>69868.929999999993</v>
      </c>
      <c r="F212" s="1">
        <v>62865.39</v>
      </c>
      <c r="G212" s="1">
        <v>89768.53</v>
      </c>
      <c r="H212" s="1"/>
      <c r="I212" s="1"/>
      <c r="J212" s="1"/>
      <c r="K212" s="1"/>
      <c r="L212" s="1"/>
      <c r="M212" s="1"/>
      <c r="N212" s="1">
        <f t="shared" si="75"/>
        <v>573026.77</v>
      </c>
      <c r="P212" s="1">
        <f t="shared" si="76"/>
        <v>52093.342727272728</v>
      </c>
      <c r="Q212" s="1">
        <f t="shared" si="77"/>
        <v>-52093.342727272728</v>
      </c>
    </row>
    <row r="213" spans="1:17" x14ac:dyDescent="0.25">
      <c r="A213" s="179" t="s">
        <v>177</v>
      </c>
      <c r="B213" s="1">
        <v>0</v>
      </c>
      <c r="C213" s="1">
        <v>0</v>
      </c>
      <c r="D213" s="5">
        <v>0</v>
      </c>
      <c r="E213" s="1">
        <v>1820.4</v>
      </c>
      <c r="F213" s="1">
        <v>0</v>
      </c>
      <c r="G213" s="1">
        <v>5256.73</v>
      </c>
      <c r="H213" s="1"/>
      <c r="I213" s="1"/>
      <c r="J213" s="1"/>
      <c r="K213" s="1"/>
      <c r="L213" s="1"/>
      <c r="M213" s="1"/>
      <c r="N213" s="1">
        <f t="shared" si="75"/>
        <v>7077.1299999999992</v>
      </c>
      <c r="P213" s="1">
        <f t="shared" si="76"/>
        <v>643.37545454545443</v>
      </c>
      <c r="Q213" s="1">
        <f t="shared" si="77"/>
        <v>-643.37545454545443</v>
      </c>
    </row>
    <row r="214" spans="1:17" x14ac:dyDescent="0.25">
      <c r="A214" s="179" t="s">
        <v>178</v>
      </c>
      <c r="B214" s="1">
        <v>0</v>
      </c>
      <c r="C214" s="1">
        <v>0</v>
      </c>
      <c r="D214" s="5">
        <v>0</v>
      </c>
      <c r="E214" s="1">
        <v>390</v>
      </c>
      <c r="F214" s="1">
        <v>390</v>
      </c>
      <c r="G214" s="1">
        <v>390</v>
      </c>
      <c r="H214" s="1"/>
      <c r="I214" s="1"/>
      <c r="J214" s="1"/>
      <c r="K214" s="1"/>
      <c r="L214" s="1"/>
      <c r="M214" s="1"/>
      <c r="N214" s="1">
        <f t="shared" si="75"/>
        <v>1170</v>
      </c>
      <c r="P214" s="1">
        <f t="shared" si="76"/>
        <v>106.36363636363636</v>
      </c>
      <c r="Q214" s="1">
        <f t="shared" si="77"/>
        <v>-106.36363636363636</v>
      </c>
    </row>
    <row r="215" spans="1:17" x14ac:dyDescent="0.25">
      <c r="A215" s="179" t="s">
        <v>426</v>
      </c>
      <c r="C215" s="1"/>
      <c r="D215" s="5"/>
      <c r="E215" s="1">
        <v>51803</v>
      </c>
      <c r="F215" s="1">
        <v>58244.6</v>
      </c>
      <c r="G215" s="1">
        <v>55745.919999999998</v>
      </c>
      <c r="H215" s="1"/>
      <c r="I215" s="1"/>
      <c r="J215" s="1"/>
      <c r="K215" s="1"/>
      <c r="L215" s="1"/>
      <c r="M215" s="1"/>
      <c r="N215" s="1">
        <f t="shared" si="75"/>
        <v>165793.52000000002</v>
      </c>
      <c r="P215" s="1"/>
      <c r="Q215" s="1"/>
    </row>
    <row r="216" spans="1:17" ht="15.75" thickBot="1" x14ac:dyDescent="0.3">
      <c r="A216" s="189" t="s">
        <v>179</v>
      </c>
      <c r="B216" s="40">
        <f t="shared" ref="B216:G216" si="78">SUM(B200:B215)</f>
        <v>196640.18</v>
      </c>
      <c r="C216" s="40">
        <f t="shared" si="78"/>
        <v>189381.89</v>
      </c>
      <c r="D216" s="40">
        <f t="shared" si="78"/>
        <v>195764.02000000002</v>
      </c>
      <c r="E216" s="40">
        <f t="shared" si="78"/>
        <v>187712.74</v>
      </c>
      <c r="F216" s="40">
        <f t="shared" si="78"/>
        <v>186399.78</v>
      </c>
      <c r="G216" s="40">
        <f t="shared" si="78"/>
        <v>206284.2</v>
      </c>
      <c r="H216" s="40">
        <f t="shared" ref="H216:M216" si="79">SUM(H200:H212)</f>
        <v>0</v>
      </c>
      <c r="I216" s="40">
        <f t="shared" si="79"/>
        <v>0</v>
      </c>
      <c r="J216" s="40">
        <f t="shared" si="79"/>
        <v>0</v>
      </c>
      <c r="K216" s="40">
        <f t="shared" si="79"/>
        <v>0</v>
      </c>
      <c r="L216" s="40">
        <f t="shared" si="79"/>
        <v>0</v>
      </c>
      <c r="M216" s="40">
        <f t="shared" si="79"/>
        <v>0</v>
      </c>
      <c r="N216" s="40">
        <f>SUM(N200:N215)</f>
        <v>1162182.81</v>
      </c>
      <c r="P216" s="40">
        <f t="shared" si="76"/>
        <v>105652.98272727273</v>
      </c>
      <c r="Q216" s="40">
        <f t="shared" si="77"/>
        <v>-105652.98272727273</v>
      </c>
    </row>
    <row r="217" spans="1:17" ht="15.75" thickTop="1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P217" s="1">
        <f t="shared" si="76"/>
        <v>0</v>
      </c>
      <c r="Q217" s="1">
        <f t="shared" si="77"/>
        <v>0</v>
      </c>
    </row>
    <row r="218" spans="1:17" x14ac:dyDescent="0.25">
      <c r="A218" s="179" t="s">
        <v>180</v>
      </c>
      <c r="B218" s="1">
        <v>0</v>
      </c>
      <c r="C218" s="1">
        <v>0</v>
      </c>
      <c r="D218" s="1">
        <v>0</v>
      </c>
      <c r="E218" s="1"/>
      <c r="F218" s="1">
        <v>0</v>
      </c>
      <c r="G218" s="1">
        <v>2500</v>
      </c>
      <c r="H218" s="1"/>
      <c r="I218" s="1"/>
      <c r="J218" s="1"/>
      <c r="K218" s="1"/>
      <c r="L218" s="1"/>
      <c r="M218" s="1"/>
      <c r="N218" s="1">
        <f t="shared" ref="N218:N246" si="80">SUM(B218:M218)</f>
        <v>2500</v>
      </c>
      <c r="P218" s="1">
        <f t="shared" si="76"/>
        <v>227.27272727272728</v>
      </c>
      <c r="Q218" s="1">
        <f t="shared" si="77"/>
        <v>-227.27272727272728</v>
      </c>
    </row>
    <row r="219" spans="1:17" x14ac:dyDescent="0.25">
      <c r="A219" s="179" t="s">
        <v>181</v>
      </c>
      <c r="B219" s="1">
        <v>5835.67</v>
      </c>
      <c r="C219" s="1">
        <v>5000</v>
      </c>
      <c r="D219" s="5">
        <v>4813.05</v>
      </c>
      <c r="E219" s="1">
        <v>5000</v>
      </c>
      <c r="F219" s="1">
        <v>5000</v>
      </c>
      <c r="G219" s="1">
        <v>5000</v>
      </c>
      <c r="H219" s="1"/>
      <c r="I219" s="1"/>
      <c r="J219" s="1"/>
      <c r="K219" s="1"/>
      <c r="L219" s="1"/>
      <c r="M219" s="1"/>
      <c r="N219" s="1">
        <f t="shared" si="80"/>
        <v>30648.720000000001</v>
      </c>
      <c r="P219" s="1">
        <f t="shared" si="76"/>
        <v>2786.247272727273</v>
      </c>
      <c r="Q219" s="1">
        <f t="shared" si="77"/>
        <v>-2786.247272727273</v>
      </c>
    </row>
    <row r="220" spans="1:17" x14ac:dyDescent="0.25">
      <c r="A220" s="179" t="s">
        <v>182</v>
      </c>
      <c r="B220" s="1">
        <v>815.83</v>
      </c>
      <c r="C220" s="1">
        <v>1293.81</v>
      </c>
      <c r="D220" s="5">
        <v>863.73</v>
      </c>
      <c r="E220" s="1">
        <v>836.51</v>
      </c>
      <c r="F220" s="1">
        <v>838.95</v>
      </c>
      <c r="G220" s="1">
        <v>838.95</v>
      </c>
      <c r="H220" s="1"/>
      <c r="I220" s="1"/>
      <c r="J220" s="1"/>
      <c r="K220" s="1"/>
      <c r="L220" s="1"/>
      <c r="M220" s="1"/>
      <c r="N220" s="1">
        <f t="shared" si="80"/>
        <v>5487.78</v>
      </c>
      <c r="P220" s="1">
        <f t="shared" si="76"/>
        <v>498.8890909090909</v>
      </c>
      <c r="Q220" s="1">
        <f t="shared" si="77"/>
        <v>-498.8890909090909</v>
      </c>
    </row>
    <row r="221" spans="1:17" x14ac:dyDescent="0.25">
      <c r="A221" s="179" t="s">
        <v>183</v>
      </c>
      <c r="B221" s="1">
        <v>11891.59</v>
      </c>
      <c r="C221" s="1">
        <v>11089.07</v>
      </c>
      <c r="D221" s="5">
        <v>11189.22</v>
      </c>
      <c r="E221" s="1">
        <v>11179.32</v>
      </c>
      <c r="F221" s="1">
        <v>10355.59</v>
      </c>
      <c r="G221" s="1">
        <v>2547</v>
      </c>
      <c r="H221" s="1"/>
      <c r="I221" s="1"/>
      <c r="J221" s="1"/>
      <c r="K221" s="1"/>
      <c r="L221" s="1"/>
      <c r="M221" s="1"/>
      <c r="N221" s="1">
        <f t="shared" si="80"/>
        <v>58251.789999999994</v>
      </c>
      <c r="P221" s="1">
        <f t="shared" si="76"/>
        <v>5295.6172727272724</v>
      </c>
      <c r="Q221" s="1">
        <f t="shared" si="77"/>
        <v>-5295.6172727272724</v>
      </c>
    </row>
    <row r="222" spans="1:17" x14ac:dyDescent="0.25">
      <c r="A222" s="179" t="s">
        <v>184</v>
      </c>
      <c r="B222" s="1">
        <v>0</v>
      </c>
      <c r="C222" s="1">
        <v>0</v>
      </c>
      <c r="D222" s="5">
        <v>0</v>
      </c>
      <c r="E222" s="1">
        <v>0</v>
      </c>
      <c r="F222" s="1">
        <v>0</v>
      </c>
      <c r="G222" s="1">
        <v>0</v>
      </c>
      <c r="H222" s="1"/>
      <c r="I222" s="1"/>
      <c r="J222" s="1"/>
      <c r="K222" s="1"/>
      <c r="L222" s="1"/>
      <c r="M222" s="1"/>
      <c r="N222" s="1">
        <f t="shared" si="80"/>
        <v>0</v>
      </c>
      <c r="P222" s="1">
        <f t="shared" si="76"/>
        <v>0</v>
      </c>
      <c r="Q222" s="1">
        <f t="shared" si="77"/>
        <v>0</v>
      </c>
    </row>
    <row r="223" spans="1:17" x14ac:dyDescent="0.25">
      <c r="A223" s="179" t="s">
        <v>185</v>
      </c>
      <c r="B223" s="1">
        <v>2200</v>
      </c>
      <c r="C223" s="1">
        <v>545.54</v>
      </c>
      <c r="D223" s="5">
        <v>774.24</v>
      </c>
      <c r="E223" s="1">
        <v>36.65</v>
      </c>
      <c r="F223" s="1">
        <v>22.4</v>
      </c>
      <c r="G223" s="1">
        <v>149.9</v>
      </c>
      <c r="H223" s="1"/>
      <c r="I223" s="1"/>
      <c r="J223" s="1"/>
      <c r="K223" s="1"/>
      <c r="L223" s="1"/>
      <c r="M223" s="1"/>
      <c r="N223" s="1">
        <f t="shared" si="80"/>
        <v>3728.73</v>
      </c>
      <c r="P223" s="1">
        <f t="shared" si="76"/>
        <v>338.97545454545457</v>
      </c>
      <c r="Q223" s="1">
        <f t="shared" si="77"/>
        <v>-338.97545454545457</v>
      </c>
    </row>
    <row r="224" spans="1:17" x14ac:dyDescent="0.25">
      <c r="A224" s="179" t="s">
        <v>186</v>
      </c>
      <c r="B224" s="1">
        <v>0</v>
      </c>
      <c r="C224" s="1">
        <v>0</v>
      </c>
      <c r="D224" s="5">
        <v>0</v>
      </c>
      <c r="E224" s="1">
        <v>0</v>
      </c>
      <c r="F224" s="1">
        <v>0</v>
      </c>
      <c r="G224" s="1">
        <v>0</v>
      </c>
      <c r="H224" s="1"/>
      <c r="I224" s="1"/>
      <c r="J224" s="1"/>
      <c r="K224" s="1"/>
      <c r="L224" s="1"/>
      <c r="M224" s="1"/>
      <c r="N224" s="1">
        <f t="shared" si="80"/>
        <v>0</v>
      </c>
      <c r="O224" s="1"/>
      <c r="P224" s="1">
        <f t="shared" si="76"/>
        <v>0</v>
      </c>
      <c r="Q224" s="1">
        <f t="shared" si="77"/>
        <v>0</v>
      </c>
    </row>
    <row r="225" spans="1:17" x14ac:dyDescent="0.25">
      <c r="A225" s="179" t="s">
        <v>187</v>
      </c>
      <c r="B225" s="1">
        <v>0</v>
      </c>
      <c r="C225" s="1">
        <v>0</v>
      </c>
      <c r="D225" s="5">
        <v>0</v>
      </c>
      <c r="E225" s="1">
        <v>0</v>
      </c>
      <c r="F225" s="1"/>
      <c r="G225" s="1">
        <v>0</v>
      </c>
      <c r="H225" s="1"/>
      <c r="I225" s="1"/>
      <c r="J225" s="1"/>
      <c r="K225" s="1"/>
      <c r="L225" s="1"/>
      <c r="M225" s="1"/>
      <c r="N225" s="1">
        <f t="shared" si="80"/>
        <v>0</v>
      </c>
      <c r="P225" s="1">
        <f t="shared" si="76"/>
        <v>0</v>
      </c>
      <c r="Q225" s="1">
        <f t="shared" si="77"/>
        <v>0</v>
      </c>
    </row>
    <row r="226" spans="1:17" x14ac:dyDescent="0.25">
      <c r="A226" s="179" t="s">
        <v>188</v>
      </c>
      <c r="B226" s="1">
        <v>0</v>
      </c>
      <c r="C226" s="1">
        <v>0</v>
      </c>
      <c r="D226" s="5">
        <v>0</v>
      </c>
      <c r="E226" s="1">
        <v>0</v>
      </c>
      <c r="F226" s="1"/>
      <c r="G226" s="1">
        <v>0</v>
      </c>
      <c r="H226" s="1"/>
      <c r="I226" s="1"/>
      <c r="J226" s="1"/>
      <c r="K226" s="1"/>
      <c r="L226" s="1"/>
      <c r="M226" s="1"/>
      <c r="N226" s="1">
        <f t="shared" si="80"/>
        <v>0</v>
      </c>
      <c r="P226" s="1">
        <f t="shared" si="76"/>
        <v>0</v>
      </c>
      <c r="Q226" s="1">
        <f t="shared" si="77"/>
        <v>0</v>
      </c>
    </row>
    <row r="227" spans="1:17" x14ac:dyDescent="0.25">
      <c r="A227" s="179" t="s">
        <v>189</v>
      </c>
      <c r="B227" s="1">
        <v>0</v>
      </c>
      <c r="C227" s="1">
        <v>0</v>
      </c>
      <c r="D227" s="5">
        <v>0</v>
      </c>
      <c r="E227" s="1">
        <v>3888.88</v>
      </c>
      <c r="F227" s="1">
        <v>3888.88</v>
      </c>
      <c r="G227" s="1">
        <v>13152.25</v>
      </c>
      <c r="H227" s="1"/>
      <c r="I227" s="1"/>
      <c r="J227" s="1"/>
      <c r="K227" s="1"/>
      <c r="L227" s="1"/>
      <c r="M227" s="1"/>
      <c r="N227" s="1">
        <f t="shared" si="80"/>
        <v>20930.010000000002</v>
      </c>
      <c r="P227" s="1">
        <f t="shared" si="76"/>
        <v>1902.7281818181821</v>
      </c>
      <c r="Q227" s="1">
        <f t="shared" si="77"/>
        <v>-1902.7281818181821</v>
      </c>
    </row>
    <row r="228" spans="1:17" x14ac:dyDescent="0.25">
      <c r="A228" s="179" t="s">
        <v>190</v>
      </c>
      <c r="B228" s="1">
        <v>0</v>
      </c>
      <c r="C228" s="1">
        <v>0</v>
      </c>
      <c r="D228" s="5">
        <v>0</v>
      </c>
      <c r="E228" s="1">
        <v>0</v>
      </c>
      <c r="F228" s="1"/>
      <c r="G228" s="1">
        <v>234.03</v>
      </c>
      <c r="H228" s="1"/>
      <c r="I228" s="1"/>
      <c r="J228" s="1"/>
      <c r="K228" s="1"/>
      <c r="L228" s="1"/>
      <c r="M228" s="1"/>
      <c r="N228" s="1">
        <f t="shared" si="80"/>
        <v>234.03</v>
      </c>
      <c r="O228" s="1"/>
      <c r="P228" s="1">
        <f t="shared" si="76"/>
        <v>21.275454545454547</v>
      </c>
      <c r="Q228" s="1">
        <f t="shared" si="77"/>
        <v>-21.275454545454547</v>
      </c>
    </row>
    <row r="229" spans="1:17" x14ac:dyDescent="0.25">
      <c r="A229" s="179" t="s">
        <v>191</v>
      </c>
      <c r="B229" s="1">
        <v>-1079.68</v>
      </c>
      <c r="C229" s="1">
        <v>2431.7199999999998</v>
      </c>
      <c r="D229" s="5">
        <v>1397.5</v>
      </c>
      <c r="E229" s="1">
        <f>1455.94+540.08</f>
        <v>1996.02</v>
      </c>
      <c r="F229" s="1">
        <v>4141.2299999999996</v>
      </c>
      <c r="G229" s="1">
        <v>1897.43</v>
      </c>
      <c r="H229" s="1"/>
      <c r="I229" s="1"/>
      <c r="J229" s="1"/>
      <c r="K229" s="1"/>
      <c r="L229" s="1"/>
      <c r="M229" s="1"/>
      <c r="N229" s="1">
        <f t="shared" si="80"/>
        <v>10784.22</v>
      </c>
      <c r="P229" s="1">
        <f t="shared" si="76"/>
        <v>980.38363636363636</v>
      </c>
      <c r="Q229" s="1">
        <f t="shared" si="77"/>
        <v>-980.38363636363636</v>
      </c>
    </row>
    <row r="230" spans="1:17" x14ac:dyDescent="0.25">
      <c r="A230" s="179" t="s">
        <v>192</v>
      </c>
      <c r="B230" s="1">
        <v>369.62</v>
      </c>
      <c r="C230" s="1">
        <v>337.5</v>
      </c>
      <c r="D230" s="5">
        <v>0</v>
      </c>
      <c r="E230" s="1">
        <v>269.62</v>
      </c>
      <c r="F230" s="1">
        <v>0</v>
      </c>
      <c r="G230" s="1">
        <v>0</v>
      </c>
      <c r="H230" s="1"/>
      <c r="I230" s="1"/>
      <c r="J230" s="1"/>
      <c r="K230" s="1"/>
      <c r="L230" s="1"/>
      <c r="M230" s="1"/>
      <c r="N230" s="1">
        <f t="shared" si="80"/>
        <v>976.74</v>
      </c>
      <c r="P230" s="1">
        <f t="shared" si="76"/>
        <v>88.794545454545457</v>
      </c>
      <c r="Q230" s="1">
        <f t="shared" si="77"/>
        <v>-88.794545454545457</v>
      </c>
    </row>
    <row r="231" spans="1:17" x14ac:dyDescent="0.25">
      <c r="A231" s="179" t="s">
        <v>193</v>
      </c>
      <c r="B231" s="1">
        <v>5036.3900000000003</v>
      </c>
      <c r="C231" s="1">
        <v>4091.87</v>
      </c>
      <c r="D231" s="5">
        <v>4231.8500000000004</v>
      </c>
      <c r="E231" s="1">
        <v>1960.99</v>
      </c>
      <c r="F231" s="1">
        <v>3137.77</v>
      </c>
      <c r="G231" s="1">
        <v>2373.7600000000002</v>
      </c>
      <c r="H231" s="1"/>
      <c r="I231" s="1"/>
      <c r="J231" s="1"/>
      <c r="K231" s="1"/>
      <c r="L231" s="1"/>
      <c r="M231" s="1"/>
      <c r="N231" s="1">
        <f t="shared" si="80"/>
        <v>20832.629999999997</v>
      </c>
      <c r="P231" s="1">
        <f t="shared" si="76"/>
        <v>1893.8754545454542</v>
      </c>
      <c r="Q231" s="1">
        <f t="shared" si="77"/>
        <v>-1893.8754545454542</v>
      </c>
    </row>
    <row r="232" spans="1:17" x14ac:dyDescent="0.25">
      <c r="A232" s="179" t="s">
        <v>194</v>
      </c>
      <c r="B232" s="1">
        <v>2582.41</v>
      </c>
      <c r="C232" s="1">
        <v>2701.31</v>
      </c>
      <c r="D232" s="5">
        <v>3298.35</v>
      </c>
      <c r="E232" s="1">
        <v>2350.81</v>
      </c>
      <c r="F232" s="1">
        <v>2499.0500000000002</v>
      </c>
      <c r="G232" s="1">
        <v>3334.89</v>
      </c>
      <c r="H232" s="1"/>
      <c r="I232" s="1"/>
      <c r="J232" s="1"/>
      <c r="K232" s="1"/>
      <c r="L232" s="1"/>
      <c r="M232" s="1"/>
      <c r="N232" s="1">
        <f t="shared" si="80"/>
        <v>16766.82</v>
      </c>
      <c r="P232" s="1">
        <f t="shared" si="76"/>
        <v>1524.2563636363636</v>
      </c>
      <c r="Q232" s="1">
        <f t="shared" si="77"/>
        <v>-1524.2563636363636</v>
      </c>
    </row>
    <row r="233" spans="1:17" x14ac:dyDescent="0.25">
      <c r="A233" s="179" t="s">
        <v>195</v>
      </c>
      <c r="B233" s="1">
        <v>20798</v>
      </c>
      <c r="C233" s="1">
        <v>19135.740000000002</v>
      </c>
      <c r="D233" s="1">
        <v>17216.87</v>
      </c>
      <c r="E233" s="1">
        <v>10016.870000000001</v>
      </c>
      <c r="F233" s="1">
        <v>10016.870000000001</v>
      </c>
      <c r="G233" s="1">
        <v>10168.870000000001</v>
      </c>
      <c r="H233" s="1"/>
      <c r="I233" s="1"/>
      <c r="J233" s="1"/>
      <c r="K233" s="1"/>
      <c r="L233" s="1"/>
      <c r="M233" s="1"/>
      <c r="N233" s="1">
        <f t="shared" si="80"/>
        <v>87353.219999999987</v>
      </c>
      <c r="P233" s="1">
        <f>(N233-M233)/11</f>
        <v>7941.2018181818166</v>
      </c>
      <c r="Q233" s="1">
        <f>M233-P233</f>
        <v>-7941.2018181818166</v>
      </c>
    </row>
    <row r="234" spans="1:17" x14ac:dyDescent="0.25">
      <c r="A234" s="179" t="s">
        <v>196</v>
      </c>
      <c r="B234" s="1">
        <v>3253.33</v>
      </c>
      <c r="C234" s="1">
        <v>2533.33</v>
      </c>
      <c r="D234" s="5">
        <v>2533.33</v>
      </c>
      <c r="E234" s="1">
        <v>2533.33</v>
      </c>
      <c r="F234" s="1">
        <v>2533.33</v>
      </c>
      <c r="G234" s="1">
        <v>2533.33</v>
      </c>
      <c r="H234" s="1"/>
      <c r="I234" s="1"/>
      <c r="J234" s="1"/>
      <c r="K234" s="1"/>
      <c r="L234" s="1"/>
      <c r="M234" s="1"/>
      <c r="N234" s="1">
        <f t="shared" si="80"/>
        <v>15919.98</v>
      </c>
      <c r="P234" s="1">
        <f t="shared" si="76"/>
        <v>1447.2709090909091</v>
      </c>
      <c r="Q234" s="1">
        <f t="shared" si="77"/>
        <v>-1447.2709090909091</v>
      </c>
    </row>
    <row r="235" spans="1:17" x14ac:dyDescent="0.25">
      <c r="A235" s="179" t="s">
        <v>197</v>
      </c>
      <c r="B235" s="1">
        <v>1266.67</v>
      </c>
      <c r="C235" s="1">
        <v>1266.67</v>
      </c>
      <c r="D235" s="5">
        <v>6536.01</v>
      </c>
      <c r="E235" s="1">
        <v>3238.1</v>
      </c>
      <c r="F235" s="1">
        <v>3238.1</v>
      </c>
      <c r="G235" s="1">
        <v>-3590.69</v>
      </c>
      <c r="H235" s="1"/>
      <c r="I235" s="1"/>
      <c r="J235" s="1"/>
      <c r="K235" s="1"/>
      <c r="L235" s="1"/>
      <c r="M235" s="1"/>
      <c r="N235" s="1">
        <f t="shared" si="80"/>
        <v>11954.86</v>
      </c>
      <c r="P235" s="1">
        <f t="shared" si="76"/>
        <v>1086.8054545454545</v>
      </c>
      <c r="Q235" s="1">
        <f t="shared" si="77"/>
        <v>-1086.8054545454545</v>
      </c>
    </row>
    <row r="236" spans="1:17" x14ac:dyDescent="0.25">
      <c r="A236" s="179" t="s">
        <v>198</v>
      </c>
      <c r="B236" s="1">
        <v>428.57</v>
      </c>
      <c r="C236" s="1">
        <v>428.57</v>
      </c>
      <c r="D236" s="5">
        <v>428.57</v>
      </c>
      <c r="E236" s="1">
        <v>428.57</v>
      </c>
      <c r="F236" s="1">
        <v>1580.99</v>
      </c>
      <c r="G236" s="1">
        <v>-895.84</v>
      </c>
      <c r="H236" s="1"/>
      <c r="I236" s="1"/>
      <c r="J236" s="1"/>
      <c r="K236" s="1"/>
      <c r="L236" s="1"/>
      <c r="M236" s="1"/>
      <c r="N236" s="1">
        <f t="shared" si="80"/>
        <v>2399.4299999999998</v>
      </c>
      <c r="P236" s="1">
        <f t="shared" si="76"/>
        <v>218.13</v>
      </c>
      <c r="Q236" s="1">
        <f t="shared" si="77"/>
        <v>-218.13</v>
      </c>
    </row>
    <row r="237" spans="1:17" x14ac:dyDescent="0.25">
      <c r="A237" s="179" t="s">
        <v>199</v>
      </c>
      <c r="B237" s="1">
        <v>2451.4299999999998</v>
      </c>
      <c r="C237" s="1">
        <v>2673.97</v>
      </c>
      <c r="D237" s="5">
        <v>2254.42</v>
      </c>
      <c r="E237" s="1">
        <v>0</v>
      </c>
      <c r="F237" s="1">
        <v>865.5</v>
      </c>
      <c r="G237" s="1">
        <v>3530.1</v>
      </c>
      <c r="H237" s="1"/>
      <c r="I237" s="1"/>
      <c r="J237" s="1"/>
      <c r="K237" s="1"/>
      <c r="L237" s="1"/>
      <c r="M237" s="1"/>
      <c r="N237" s="1">
        <f t="shared" si="80"/>
        <v>11775.42</v>
      </c>
      <c r="P237" s="1">
        <f t="shared" si="76"/>
        <v>1070.4927272727273</v>
      </c>
      <c r="Q237" s="1">
        <f t="shared" si="77"/>
        <v>-1070.4927272727273</v>
      </c>
    </row>
    <row r="238" spans="1:17" x14ac:dyDescent="0.25">
      <c r="A238" s="179" t="s">
        <v>200</v>
      </c>
      <c r="B238" s="1">
        <v>0</v>
      </c>
      <c r="C238" s="1">
        <v>680.88</v>
      </c>
      <c r="D238" s="5">
        <v>4256.26</v>
      </c>
      <c r="E238" s="1">
        <v>998.65</v>
      </c>
      <c r="F238" s="1">
        <v>3059.3</v>
      </c>
      <c r="G238" s="1">
        <v>2520.4299999999998</v>
      </c>
      <c r="H238" s="1"/>
      <c r="I238" s="1"/>
      <c r="J238" s="1"/>
      <c r="K238" s="1"/>
      <c r="L238" s="1"/>
      <c r="M238" s="1"/>
      <c r="N238" s="1">
        <f t="shared" si="80"/>
        <v>11515.52</v>
      </c>
      <c r="P238" s="1">
        <f t="shared" si="76"/>
        <v>1046.8654545454547</v>
      </c>
      <c r="Q238" s="1">
        <f t="shared" si="77"/>
        <v>-1046.8654545454547</v>
      </c>
    </row>
    <row r="239" spans="1:17" x14ac:dyDescent="0.25">
      <c r="A239" s="179" t="s">
        <v>477</v>
      </c>
      <c r="C239" s="1"/>
      <c r="D239" s="5"/>
      <c r="E239" s="1"/>
      <c r="F239" s="1"/>
      <c r="G239" s="1">
        <v>3196.84</v>
      </c>
      <c r="H239" s="1"/>
      <c r="I239" s="1"/>
      <c r="J239" s="1"/>
      <c r="K239" s="1"/>
      <c r="L239" s="1"/>
      <c r="M239" s="1"/>
      <c r="N239" s="1">
        <f t="shared" si="80"/>
        <v>3196.84</v>
      </c>
      <c r="P239" s="1"/>
      <c r="Q239" s="1"/>
    </row>
    <row r="240" spans="1:17" x14ac:dyDescent="0.25">
      <c r="A240" s="179" t="s">
        <v>427</v>
      </c>
      <c r="B240" s="1">
        <v>3782</v>
      </c>
      <c r="C240" s="1">
        <v>3307.08</v>
      </c>
      <c r="D240" s="5">
        <v>1484.08</v>
      </c>
      <c r="E240" s="1">
        <v>3120.16</v>
      </c>
      <c r="F240" s="1">
        <v>1484.08</v>
      </c>
      <c r="G240" s="1">
        <v>10055.51</v>
      </c>
      <c r="H240" s="1"/>
      <c r="I240" s="1"/>
      <c r="J240" s="1"/>
      <c r="K240" s="1"/>
      <c r="L240" s="1"/>
      <c r="M240" s="1"/>
      <c r="N240" s="1">
        <f t="shared" si="80"/>
        <v>23232.91</v>
      </c>
      <c r="P240" s="1"/>
      <c r="Q240" s="1"/>
    </row>
    <row r="241" spans="1:17" x14ac:dyDescent="0.25">
      <c r="A241" s="179" t="s">
        <v>472</v>
      </c>
      <c r="B241" s="1">
        <v>44000</v>
      </c>
      <c r="C241" s="1">
        <v>25000</v>
      </c>
      <c r="D241" s="5">
        <v>25000</v>
      </c>
      <c r="E241" s="1">
        <v>25000</v>
      </c>
      <c r="F241" s="1">
        <v>25000</v>
      </c>
      <c r="G241" s="1">
        <v>29428.57</v>
      </c>
      <c r="H241" s="1"/>
      <c r="I241" s="1"/>
      <c r="J241" s="1"/>
      <c r="K241" s="1"/>
      <c r="L241" s="1"/>
      <c r="M241" s="1"/>
      <c r="N241" s="1">
        <f t="shared" si="80"/>
        <v>173428.57</v>
      </c>
      <c r="P241" s="1"/>
      <c r="Q241" s="1"/>
    </row>
    <row r="242" spans="1:17" x14ac:dyDescent="0.25">
      <c r="A242" s="179" t="s">
        <v>428</v>
      </c>
      <c r="B242" s="1">
        <v>7500</v>
      </c>
      <c r="C242" s="1">
        <v>7500</v>
      </c>
      <c r="D242" s="5">
        <v>8000</v>
      </c>
      <c r="E242" s="1">
        <v>7500</v>
      </c>
      <c r="F242" s="1">
        <v>7500</v>
      </c>
      <c r="G242" s="1">
        <v>7500</v>
      </c>
      <c r="H242" s="1"/>
      <c r="I242" s="1"/>
      <c r="J242" s="1"/>
      <c r="K242" s="1"/>
      <c r="L242" s="1"/>
      <c r="M242" s="1"/>
      <c r="N242" s="1">
        <f t="shared" si="80"/>
        <v>45500</v>
      </c>
      <c r="P242" s="1"/>
      <c r="Q242" s="1"/>
    </row>
    <row r="243" spans="1:17" x14ac:dyDescent="0.25">
      <c r="A243" s="179" t="s">
        <v>473</v>
      </c>
      <c r="B243" s="1">
        <v>0</v>
      </c>
      <c r="C243" s="1">
        <v>1215</v>
      </c>
      <c r="D243" s="5">
        <v>0</v>
      </c>
      <c r="E243" s="1">
        <v>8257.5</v>
      </c>
      <c r="F243" s="1">
        <v>3982.5</v>
      </c>
      <c r="G243" s="1">
        <v>6097.5</v>
      </c>
      <c r="H243" s="1"/>
      <c r="I243" s="1"/>
      <c r="J243" s="1"/>
      <c r="K243" s="1"/>
      <c r="L243" s="1"/>
      <c r="M243" s="1"/>
      <c r="N243" s="1">
        <f t="shared" si="80"/>
        <v>19552.5</v>
      </c>
      <c r="P243" s="1"/>
      <c r="Q243" s="1"/>
    </row>
    <row r="244" spans="1:17" x14ac:dyDescent="0.25">
      <c r="A244" s="179" t="s">
        <v>474</v>
      </c>
      <c r="B244" s="1">
        <v>109</v>
      </c>
      <c r="C244" s="1">
        <v>0</v>
      </c>
      <c r="D244" s="5">
        <v>0</v>
      </c>
      <c r="E244" s="1">
        <v>0</v>
      </c>
      <c r="F244" s="1">
        <v>0</v>
      </c>
      <c r="G244" s="1">
        <v>0</v>
      </c>
      <c r="H244" s="1"/>
      <c r="I244" s="1"/>
      <c r="J244" s="1"/>
      <c r="K244" s="1"/>
      <c r="L244" s="1"/>
      <c r="M244" s="1"/>
      <c r="N244" s="1">
        <f t="shared" si="80"/>
        <v>109</v>
      </c>
      <c r="P244" s="1"/>
      <c r="Q244" s="1"/>
    </row>
    <row r="245" spans="1:17" x14ac:dyDescent="0.25">
      <c r="A245" s="179" t="s">
        <v>475</v>
      </c>
      <c r="B245" s="1">
        <v>0</v>
      </c>
      <c r="C245" s="1">
        <v>0</v>
      </c>
      <c r="D245" s="5">
        <v>0</v>
      </c>
      <c r="E245" s="1">
        <v>0</v>
      </c>
      <c r="F245" s="1">
        <v>300</v>
      </c>
      <c r="G245" s="1">
        <v>0</v>
      </c>
      <c r="H245" s="1"/>
      <c r="I245" s="1"/>
      <c r="J245" s="1"/>
      <c r="K245" s="1"/>
      <c r="L245" s="1"/>
      <c r="M245" s="1"/>
      <c r="N245" s="1">
        <f t="shared" si="80"/>
        <v>300</v>
      </c>
      <c r="P245" s="1"/>
      <c r="Q245" s="1"/>
    </row>
    <row r="246" spans="1:17" x14ac:dyDescent="0.25">
      <c r="A246" s="179" t="s">
        <v>476</v>
      </c>
      <c r="C246" s="1"/>
      <c r="D246" s="5"/>
      <c r="E246" s="1"/>
      <c r="F246" s="1"/>
      <c r="G246" s="1">
        <v>573.52</v>
      </c>
      <c r="H246" s="1"/>
      <c r="I246" s="1"/>
      <c r="J246" s="1"/>
      <c r="K246" s="1"/>
      <c r="L246" s="1"/>
      <c r="M246" s="1"/>
      <c r="N246" s="1">
        <f t="shared" si="80"/>
        <v>573.52</v>
      </c>
      <c r="P246" s="1"/>
      <c r="Q246" s="1"/>
    </row>
    <row r="247" spans="1:17" ht="15.75" thickBot="1" x14ac:dyDescent="0.3">
      <c r="A247" s="189" t="s">
        <v>201</v>
      </c>
      <c r="B247" s="40">
        <f>SUM(B218:B245)</f>
        <v>111240.83</v>
      </c>
      <c r="C247" s="40">
        <f>SUM(C218:C246)</f>
        <v>91232.06</v>
      </c>
      <c r="D247" s="40">
        <f>SUM(D218:D246)</f>
        <v>94277.48000000001</v>
      </c>
      <c r="E247" s="40">
        <f>SUM(E218:E246)</f>
        <v>88611.98000000001</v>
      </c>
      <c r="F247" s="40">
        <f>SUM(F218:F246)</f>
        <v>89444.540000000008</v>
      </c>
      <c r="G247" s="40">
        <f>SUM(G218:G246)</f>
        <v>103146.35</v>
      </c>
      <c r="H247" s="40">
        <f t="shared" ref="H247:M247" si="81">SUM(H218:H245)</f>
        <v>0</v>
      </c>
      <c r="I247" s="40">
        <f t="shared" si="81"/>
        <v>0</v>
      </c>
      <c r="J247" s="40">
        <f t="shared" si="81"/>
        <v>0</v>
      </c>
      <c r="K247" s="40">
        <f t="shared" si="81"/>
        <v>0</v>
      </c>
      <c r="L247" s="40">
        <f t="shared" si="81"/>
        <v>0</v>
      </c>
      <c r="M247" s="40">
        <f t="shared" si="81"/>
        <v>0</v>
      </c>
      <c r="N247" s="40">
        <f>SUM(N218:N246)</f>
        <v>577953.24</v>
      </c>
      <c r="P247" s="40">
        <f t="shared" si="76"/>
        <v>52541.203636363636</v>
      </c>
      <c r="Q247" s="40">
        <f t="shared" si="77"/>
        <v>-52541.203636363636</v>
      </c>
    </row>
    <row r="248" spans="1:17" ht="15.75" thickTop="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P248" s="1">
        <f t="shared" si="76"/>
        <v>0</v>
      </c>
      <c r="Q248" s="1">
        <f t="shared" si="77"/>
        <v>0</v>
      </c>
    </row>
    <row r="249" spans="1:17" x14ac:dyDescent="0.25">
      <c r="A249" s="189" t="s">
        <v>356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P249" s="1">
        <f t="shared" si="76"/>
        <v>0</v>
      </c>
      <c r="Q249" s="1">
        <f t="shared" si="77"/>
        <v>0</v>
      </c>
    </row>
    <row r="250" spans="1:17" x14ac:dyDescent="0.25">
      <c r="A250" s="179" t="s">
        <v>202</v>
      </c>
      <c r="B250" s="1">
        <v>12500</v>
      </c>
      <c r="C250" s="1">
        <v>12500</v>
      </c>
      <c r="D250" s="1">
        <v>12500</v>
      </c>
      <c r="E250" s="1">
        <v>12500</v>
      </c>
      <c r="F250" s="1">
        <v>12500</v>
      </c>
      <c r="G250" s="1">
        <v>12500</v>
      </c>
      <c r="H250" s="1"/>
      <c r="I250" s="1"/>
      <c r="J250" s="1"/>
      <c r="K250" s="1"/>
      <c r="L250" s="1"/>
      <c r="M250" s="1"/>
      <c r="N250" s="1">
        <f t="shared" ref="N250:N260" si="82">SUM(B250:M250)</f>
        <v>75000</v>
      </c>
      <c r="P250" s="1">
        <f t="shared" si="76"/>
        <v>6818.181818181818</v>
      </c>
      <c r="Q250" s="1">
        <f t="shared" si="77"/>
        <v>-6818.181818181818</v>
      </c>
    </row>
    <row r="251" spans="1:17" x14ac:dyDescent="0.25">
      <c r="A251" s="179" t="s">
        <v>203</v>
      </c>
      <c r="B251" s="1">
        <v>34022.5</v>
      </c>
      <c r="C251" s="1">
        <v>34265</v>
      </c>
      <c r="D251" s="1">
        <v>34451.25</v>
      </c>
      <c r="E251" s="1">
        <v>34845</v>
      </c>
      <c r="F251" s="1">
        <v>34565</v>
      </c>
      <c r="G251" s="1">
        <v>34906.25</v>
      </c>
      <c r="H251" s="1"/>
      <c r="I251" s="1"/>
      <c r="J251" s="1"/>
      <c r="K251" s="1"/>
      <c r="L251" s="1"/>
      <c r="M251" s="1"/>
      <c r="N251" s="1">
        <f t="shared" si="82"/>
        <v>207055</v>
      </c>
      <c r="P251" s="1">
        <f t="shared" si="76"/>
        <v>18823.18181818182</v>
      </c>
      <c r="Q251" s="1">
        <f t="shared" si="77"/>
        <v>-18823.18181818182</v>
      </c>
    </row>
    <row r="252" spans="1:17" x14ac:dyDescent="0.25">
      <c r="A252" s="179" t="s">
        <v>429</v>
      </c>
      <c r="B252" s="1">
        <v>0</v>
      </c>
      <c r="C252" s="1">
        <v>0</v>
      </c>
      <c r="D252" s="1">
        <v>0</v>
      </c>
      <c r="E252" s="1">
        <v>0</v>
      </c>
      <c r="F252" s="1">
        <v>31752.38</v>
      </c>
      <c r="G252" s="1">
        <v>5625.56</v>
      </c>
      <c r="H252" s="1"/>
      <c r="I252" s="1"/>
      <c r="J252" s="1"/>
      <c r="K252" s="1"/>
      <c r="L252" s="1"/>
      <c r="M252" s="1"/>
      <c r="N252" s="1">
        <f t="shared" si="82"/>
        <v>37377.94</v>
      </c>
      <c r="P252" s="1"/>
      <c r="Q252" s="1"/>
    </row>
    <row r="253" spans="1:17" x14ac:dyDescent="0.25">
      <c r="A253" s="179" t="s">
        <v>204</v>
      </c>
      <c r="B253" s="1">
        <v>6585.5</v>
      </c>
      <c r="C253" s="1">
        <v>10400.5</v>
      </c>
      <c r="D253" s="1">
        <v>6846.5</v>
      </c>
      <c r="E253" s="1">
        <v>18155</v>
      </c>
      <c r="F253" s="1">
        <v>23942.5</v>
      </c>
      <c r="G253" s="1">
        <v>23535</v>
      </c>
      <c r="H253" s="1"/>
      <c r="I253" s="1"/>
      <c r="J253" s="1"/>
      <c r="K253" s="1"/>
      <c r="L253" s="1"/>
      <c r="M253" s="1"/>
      <c r="N253" s="1">
        <f t="shared" si="82"/>
        <v>89465</v>
      </c>
      <c r="P253" s="1"/>
      <c r="Q253" s="1"/>
    </row>
    <row r="254" spans="1:17" x14ac:dyDescent="0.25">
      <c r="A254" s="179" t="s">
        <v>205</v>
      </c>
      <c r="B254" s="1">
        <v>41021.9</v>
      </c>
      <c r="C254" s="1">
        <v>14206.22</v>
      </c>
      <c r="D254" s="1">
        <v>13266.54</v>
      </c>
      <c r="E254" s="1">
        <v>32043.16</v>
      </c>
      <c r="F254" s="1">
        <v>18002.150000000001</v>
      </c>
      <c r="G254" s="1">
        <v>18622.22</v>
      </c>
      <c r="H254" s="1"/>
      <c r="I254" s="1"/>
      <c r="J254" s="1"/>
      <c r="K254" s="1"/>
      <c r="L254" s="1"/>
      <c r="M254" s="1"/>
      <c r="N254" s="1">
        <f t="shared" si="82"/>
        <v>137162.19</v>
      </c>
      <c r="P254" s="1">
        <f t="shared" ref="P254:P265" si="83">(N254-M254)/11</f>
        <v>12469.29</v>
      </c>
      <c r="Q254" s="1">
        <f t="shared" ref="Q254:Q265" si="84">M254-P254</f>
        <v>-12469.29</v>
      </c>
    </row>
    <row r="255" spans="1:17" x14ac:dyDescent="0.25">
      <c r="A255" s="179" t="s">
        <v>206</v>
      </c>
      <c r="B255" s="1">
        <v>-12832.51</v>
      </c>
      <c r="C255" s="1">
        <v>-10798.17</v>
      </c>
      <c r="D255" s="1">
        <v>-12464.55</v>
      </c>
      <c r="E255" s="1">
        <v>-15499.01</v>
      </c>
      <c r="F255" s="1">
        <v>-24863.5</v>
      </c>
      <c r="G255" s="1">
        <v>-16320.72</v>
      </c>
      <c r="H255" s="1"/>
      <c r="I255" s="1"/>
      <c r="J255" s="1"/>
      <c r="K255" s="1"/>
      <c r="L255" s="1"/>
      <c r="M255" s="1"/>
      <c r="N255" s="1">
        <f t="shared" si="82"/>
        <v>-92778.459999999992</v>
      </c>
      <c r="P255" s="1">
        <f t="shared" si="83"/>
        <v>-8434.4054545454546</v>
      </c>
      <c r="Q255" s="1">
        <f t="shared" si="84"/>
        <v>8434.4054545454546</v>
      </c>
    </row>
    <row r="256" spans="1:17" x14ac:dyDescent="0.25">
      <c r="A256" s="179" t="s">
        <v>430</v>
      </c>
      <c r="B256" s="1">
        <v>0</v>
      </c>
      <c r="C256" s="1">
        <v>0</v>
      </c>
      <c r="D256" s="1">
        <v>0.1</v>
      </c>
      <c r="E256" s="1">
        <v>0</v>
      </c>
      <c r="F256" s="1">
        <v>0</v>
      </c>
      <c r="G256" s="1">
        <v>49.5</v>
      </c>
      <c r="H256" s="1"/>
      <c r="I256" s="1"/>
      <c r="J256" s="1"/>
      <c r="K256" s="1"/>
      <c r="L256" s="1"/>
      <c r="M256" s="1"/>
      <c r="N256" s="1">
        <f t="shared" si="82"/>
        <v>49.6</v>
      </c>
      <c r="P256" s="1">
        <f t="shared" si="83"/>
        <v>4.5090909090909088</v>
      </c>
      <c r="Q256" s="1">
        <f t="shared" si="84"/>
        <v>-4.5090909090909088</v>
      </c>
    </row>
    <row r="257" spans="1:18" x14ac:dyDescent="0.25">
      <c r="A257" s="179" t="s">
        <v>431</v>
      </c>
      <c r="B257" s="1">
        <v>0</v>
      </c>
      <c r="C257" s="1">
        <v>0</v>
      </c>
      <c r="D257" s="1">
        <v>0</v>
      </c>
      <c r="E257" s="1">
        <v>0</v>
      </c>
      <c r="F257" s="1">
        <v>2087.77</v>
      </c>
      <c r="G257" s="1">
        <v>2250.1799999999998</v>
      </c>
      <c r="H257" s="1"/>
      <c r="I257" s="1"/>
      <c r="J257" s="1"/>
      <c r="K257" s="1"/>
      <c r="L257" s="1"/>
      <c r="M257" s="1"/>
      <c r="N257" s="1">
        <f t="shared" si="82"/>
        <v>4337.95</v>
      </c>
      <c r="P257" s="1"/>
      <c r="Q257" s="1"/>
    </row>
    <row r="258" spans="1:18" x14ac:dyDescent="0.25">
      <c r="A258" s="179" t="s">
        <v>479</v>
      </c>
      <c r="C258" s="1"/>
      <c r="D258" s="1"/>
      <c r="E258" s="1"/>
      <c r="F258" s="1"/>
      <c r="G258" s="1">
        <v>944.87</v>
      </c>
      <c r="H258" s="1"/>
      <c r="I258" s="1"/>
      <c r="J258" s="1"/>
      <c r="K258" s="1"/>
      <c r="L258" s="1"/>
      <c r="M258" s="1"/>
      <c r="N258" s="1">
        <f t="shared" si="82"/>
        <v>944.87</v>
      </c>
      <c r="P258" s="1"/>
      <c r="Q258" s="1"/>
    </row>
    <row r="259" spans="1:18" x14ac:dyDescent="0.25">
      <c r="A259" s="179" t="s">
        <v>432</v>
      </c>
      <c r="B259" s="1">
        <v>0</v>
      </c>
      <c r="C259" s="1">
        <v>0</v>
      </c>
      <c r="D259" s="1">
        <v>0</v>
      </c>
      <c r="E259" s="1">
        <v>0</v>
      </c>
      <c r="F259" s="1">
        <v>7848.21</v>
      </c>
      <c r="G259" s="1">
        <v>7891.39</v>
      </c>
      <c r="H259" s="1"/>
      <c r="I259" s="1"/>
      <c r="J259" s="1"/>
      <c r="K259" s="1"/>
      <c r="L259" s="1"/>
      <c r="M259" s="1"/>
      <c r="N259" s="1">
        <f t="shared" si="82"/>
        <v>15739.6</v>
      </c>
      <c r="P259" s="1"/>
      <c r="Q259" s="1"/>
    </row>
    <row r="260" spans="1:18" x14ac:dyDescent="0.25">
      <c r="A260" s="179" t="s">
        <v>478</v>
      </c>
      <c r="B260" s="1">
        <v>0</v>
      </c>
      <c r="C260" s="1">
        <v>0</v>
      </c>
      <c r="D260" s="1">
        <v>0</v>
      </c>
      <c r="E260" s="1">
        <v>0</v>
      </c>
      <c r="F260" s="1">
        <v>0</v>
      </c>
      <c r="G260" s="1">
        <v>2495.6</v>
      </c>
      <c r="H260" s="1"/>
      <c r="I260" s="1"/>
      <c r="J260" s="1"/>
      <c r="K260" s="1"/>
      <c r="L260" s="1"/>
      <c r="M260" s="1"/>
      <c r="N260" s="1">
        <f t="shared" si="82"/>
        <v>2495.6</v>
      </c>
      <c r="P260" s="1"/>
      <c r="Q260" s="1"/>
    </row>
    <row r="261" spans="1:18" ht="15.75" thickBot="1" x14ac:dyDescent="0.3">
      <c r="A261" s="189" t="s">
        <v>207</v>
      </c>
      <c r="B261" s="46">
        <f t="shared" ref="B261:N261" si="85">SUM(B250:B260)</f>
        <v>81297.39</v>
      </c>
      <c r="C261" s="46">
        <f t="shared" si="85"/>
        <v>60573.55</v>
      </c>
      <c r="D261" s="46">
        <f t="shared" si="85"/>
        <v>54599.840000000004</v>
      </c>
      <c r="E261" s="46">
        <f t="shared" si="85"/>
        <v>82044.150000000009</v>
      </c>
      <c r="F261" s="46">
        <f t="shared" si="85"/>
        <v>105834.51000000001</v>
      </c>
      <c r="G261" s="46">
        <f t="shared" si="85"/>
        <v>92499.849999999991</v>
      </c>
      <c r="H261" s="46">
        <f t="shared" si="85"/>
        <v>0</v>
      </c>
      <c r="I261" s="46">
        <f t="shared" si="85"/>
        <v>0</v>
      </c>
      <c r="J261" s="46">
        <f t="shared" si="85"/>
        <v>0</v>
      </c>
      <c r="K261" s="46">
        <f t="shared" si="85"/>
        <v>0</v>
      </c>
      <c r="L261" s="46">
        <f t="shared" si="85"/>
        <v>0</v>
      </c>
      <c r="M261" s="46">
        <f t="shared" si="85"/>
        <v>0</v>
      </c>
      <c r="N261" s="46">
        <f t="shared" si="85"/>
        <v>476849.29</v>
      </c>
      <c r="P261" s="46">
        <f t="shared" si="83"/>
        <v>43349.935454545455</v>
      </c>
      <c r="Q261" s="46">
        <f t="shared" si="84"/>
        <v>-43349.935454545455</v>
      </c>
    </row>
    <row r="262" spans="1:18" ht="15.75" thickTop="1" x14ac:dyDescent="0.25">
      <c r="P262" s="2">
        <f t="shared" si="83"/>
        <v>0</v>
      </c>
      <c r="Q262" s="2">
        <f t="shared" si="84"/>
        <v>0</v>
      </c>
    </row>
    <row r="263" spans="1:18" s="39" customFormat="1" ht="15.75" thickBot="1" x14ac:dyDescent="0.3">
      <c r="A263" s="189" t="s">
        <v>208</v>
      </c>
      <c r="B263" s="40">
        <f t="shared" ref="B263:N263" si="86">B184-B197-B216-B247+B261</f>
        <v>65733.430000085849</v>
      </c>
      <c r="C263" s="40">
        <f t="shared" si="86"/>
        <v>62568.989999875965</v>
      </c>
      <c r="D263" s="40">
        <f t="shared" si="86"/>
        <v>190852.60999999283</v>
      </c>
      <c r="E263" s="40">
        <f t="shared" si="86"/>
        <v>-70572.119999890318</v>
      </c>
      <c r="F263" s="40">
        <f t="shared" si="86"/>
        <v>-203743.00000022177</v>
      </c>
      <c r="G263" s="40">
        <f t="shared" si="86"/>
        <v>-88358.510000069175</v>
      </c>
      <c r="H263" s="40">
        <f t="shared" si="86"/>
        <v>0</v>
      </c>
      <c r="I263" s="40">
        <f t="shared" si="86"/>
        <v>0</v>
      </c>
      <c r="J263" s="40">
        <f t="shared" si="86"/>
        <v>0</v>
      </c>
      <c r="K263" s="40">
        <f t="shared" si="86"/>
        <v>0</v>
      </c>
      <c r="L263" s="40">
        <f t="shared" si="86"/>
        <v>0</v>
      </c>
      <c r="M263" s="40">
        <f t="shared" si="86"/>
        <v>0</v>
      </c>
      <c r="N263" s="40">
        <f t="shared" si="86"/>
        <v>-43518.60000022623</v>
      </c>
      <c r="P263" s="40">
        <f t="shared" si="83"/>
        <v>-3956.2363636569298</v>
      </c>
      <c r="Q263" s="40">
        <f t="shared" si="84"/>
        <v>3956.2363636569298</v>
      </c>
    </row>
    <row r="264" spans="1:18" ht="15.75" thickTop="1" x14ac:dyDescent="0.25">
      <c r="P264" s="2">
        <f t="shared" si="83"/>
        <v>0</v>
      </c>
      <c r="Q264" s="2">
        <f t="shared" si="84"/>
        <v>0</v>
      </c>
    </row>
    <row r="265" spans="1:18" x14ac:dyDescent="0.25">
      <c r="B265" s="47">
        <f t="shared" ref="B265:N265" si="87">+B74-B263</f>
        <v>3.3411197364330292E-8</v>
      </c>
      <c r="C265" s="47">
        <f t="shared" si="87"/>
        <v>-8.5987267084419727E-8</v>
      </c>
      <c r="D265" s="47">
        <f t="shared" si="87"/>
        <v>-6.2107574194669724E-8</v>
      </c>
      <c r="E265" s="47">
        <f t="shared" si="87"/>
        <v>-1.5135447029024363E-7</v>
      </c>
      <c r="F265" s="47">
        <f t="shared" si="87"/>
        <v>2.2526364773511887E-7</v>
      </c>
      <c r="G265" s="47">
        <f t="shared" si="87"/>
        <v>1.1888914741575718E-8</v>
      </c>
      <c r="H265" s="47">
        <f t="shared" si="87"/>
        <v>0</v>
      </c>
      <c r="I265" s="47">
        <f t="shared" si="87"/>
        <v>0</v>
      </c>
      <c r="J265" s="47">
        <f t="shared" si="87"/>
        <v>0</v>
      </c>
      <c r="K265" s="47">
        <f t="shared" si="87"/>
        <v>0</v>
      </c>
      <c r="L265" s="47">
        <f t="shared" si="87"/>
        <v>0</v>
      </c>
      <c r="M265" s="47">
        <f t="shared" si="87"/>
        <v>0</v>
      </c>
      <c r="N265" s="47">
        <f t="shared" si="87"/>
        <v>6.2660546973347664E-7</v>
      </c>
      <c r="P265" s="47">
        <f t="shared" si="83"/>
        <v>5.6964133612134239E-8</v>
      </c>
      <c r="Q265" s="47">
        <f t="shared" si="84"/>
        <v>-5.6964133612134239E-8</v>
      </c>
    </row>
    <row r="266" spans="1:18" x14ac:dyDescent="0.25">
      <c r="R266" s="7"/>
    </row>
    <row r="267" spans="1:18" x14ac:dyDescent="0.25">
      <c r="L267" s="47"/>
      <c r="R267" s="7"/>
    </row>
  </sheetData>
  <pageMargins left="0.5" right="0.5" top="0.5" bottom="0.45899934383202101" header="0.5" footer="0.5"/>
  <pageSetup scale="41" fitToHeight="0" orientation="landscape" r:id="rId1"/>
  <headerFooter scaleWithDoc="0" alignWithMargins="0"/>
  <rowBreaks count="5" manualBreakCount="5">
    <brk id="47" max="13" man="1"/>
    <brk id="100" max="13" man="1"/>
    <brk id="124" max="13" man="1"/>
    <brk id="184" max="13" man="1"/>
    <brk id="247" max="16383" man="1"/>
  </rowBreaks>
  <colBreaks count="1" manualBreakCount="1">
    <brk id="15" max="2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3C3E-7BE4-424F-9763-E33B6A48576D}">
  <dimension ref="A1:L116"/>
  <sheetViews>
    <sheetView view="pageBreakPreview" zoomScale="80" zoomScaleNormal="60" zoomScaleSheetLayoutView="80" workbookViewId="0">
      <pane ySplit="6" topLeftCell="A100" activePane="bottomLeft" state="frozen"/>
      <selection pane="bottomLeft" activeCell="B113" sqref="B113"/>
    </sheetView>
  </sheetViews>
  <sheetFormatPr defaultRowHeight="15" x14ac:dyDescent="0.25"/>
  <cols>
    <col min="1" max="1" width="81.42578125" bestFit="1" customWidth="1"/>
    <col min="2" max="2" width="38.140625" style="120" bestFit="1" customWidth="1"/>
    <col min="3" max="3" width="32.140625" style="120" bestFit="1" customWidth="1"/>
    <col min="4" max="4" width="29.85546875" style="120" bestFit="1" customWidth="1"/>
    <col min="5" max="5" width="24.140625" style="120" bestFit="1" customWidth="1"/>
    <col min="6" max="7" width="26.28515625" style="120" bestFit="1" customWidth="1"/>
    <col min="8" max="8" width="25.5703125" style="120" bestFit="1" customWidth="1"/>
    <col min="9" max="9" width="38.140625" style="120" bestFit="1" customWidth="1"/>
    <col min="12" max="12" width="16.85546875" style="83" bestFit="1" customWidth="1"/>
  </cols>
  <sheetData>
    <row r="1" spans="1:12" ht="36" x14ac:dyDescent="0.55000000000000004">
      <c r="A1" s="232" t="s">
        <v>362</v>
      </c>
      <c r="B1" s="232"/>
      <c r="C1" s="232"/>
      <c r="D1" s="232"/>
      <c r="E1" s="232"/>
      <c r="F1" s="232"/>
      <c r="G1" s="232"/>
      <c r="H1" s="232"/>
      <c r="I1" s="232"/>
    </row>
    <row r="2" spans="1:12" ht="36" x14ac:dyDescent="0.55000000000000004">
      <c r="A2" s="232" t="s">
        <v>361</v>
      </c>
      <c r="B2" s="232"/>
      <c r="C2" s="232"/>
      <c r="D2" s="232"/>
      <c r="E2" s="232"/>
      <c r="F2" s="232"/>
      <c r="G2" s="232"/>
      <c r="H2" s="232"/>
      <c r="I2" s="232"/>
    </row>
    <row r="3" spans="1:12" ht="36" x14ac:dyDescent="0.55000000000000004">
      <c r="A3" s="232" t="s">
        <v>297</v>
      </c>
      <c r="B3" s="232"/>
      <c r="C3" s="232"/>
      <c r="D3" s="232"/>
      <c r="E3" s="232"/>
      <c r="F3" s="232"/>
      <c r="G3" s="232"/>
      <c r="H3" s="232"/>
      <c r="I3" s="232"/>
    </row>
    <row r="4" spans="1:12" ht="36" x14ac:dyDescent="0.55000000000000004">
      <c r="A4" s="233">
        <v>43281</v>
      </c>
      <c r="B4" s="234"/>
      <c r="C4" s="234"/>
      <c r="D4" s="234"/>
      <c r="E4" s="234"/>
      <c r="F4" s="234"/>
      <c r="G4" s="234"/>
      <c r="H4" s="234"/>
      <c r="I4" s="234"/>
    </row>
    <row r="6" spans="1:12" s="153" customFormat="1" ht="30" customHeight="1" x14ac:dyDescent="0.5">
      <c r="A6" s="128"/>
      <c r="B6" s="133" t="s">
        <v>242</v>
      </c>
      <c r="C6" s="133" t="s">
        <v>244</v>
      </c>
      <c r="D6" s="133" t="s">
        <v>243</v>
      </c>
      <c r="E6" s="133" t="s">
        <v>245</v>
      </c>
      <c r="F6" s="133" t="s">
        <v>246</v>
      </c>
      <c r="G6" s="133" t="s">
        <v>442</v>
      </c>
      <c r="H6" s="133" t="s">
        <v>452</v>
      </c>
      <c r="I6" s="133" t="s">
        <v>216</v>
      </c>
      <c r="L6" s="155"/>
    </row>
    <row r="7" spans="1:12" s="153" customFormat="1" ht="42.75" customHeight="1" x14ac:dyDescent="0.5">
      <c r="A7" s="135" t="s">
        <v>62</v>
      </c>
      <c r="B7" s="127"/>
      <c r="C7" s="127"/>
      <c r="D7" s="127"/>
      <c r="E7" s="127"/>
      <c r="F7" s="127"/>
      <c r="G7" s="127"/>
      <c r="H7" s="127"/>
      <c r="I7" s="127"/>
      <c r="L7" s="155"/>
    </row>
    <row r="8" spans="1:12" s="153" customFormat="1" ht="42.75" customHeight="1" x14ac:dyDescent="0.5">
      <c r="A8" s="128" t="s">
        <v>247</v>
      </c>
      <c r="B8" s="137">
        <f>'CNT (from FS Analysis)'!N103+'CNT (from FS Analysis)'!N114</f>
        <v>644946409.35000002</v>
      </c>
      <c r="C8" s="137">
        <f>BPM!H8+BPM!H14</f>
        <v>37804107.189999998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f t="shared" ref="I8:I15" si="0">SUM(B8:H8)</f>
        <v>682750516.53999996</v>
      </c>
      <c r="L8" s="155"/>
    </row>
    <row r="9" spans="1:12" s="153" customFormat="1" ht="42.75" customHeight="1" x14ac:dyDescent="0.5">
      <c r="A9" s="128" t="s">
        <v>248</v>
      </c>
      <c r="B9" s="137">
        <f>'CNT (from FS Analysis)'!N104+'CNT (from FS Analysis)'!N115</f>
        <v>2365125943.5599999</v>
      </c>
      <c r="C9" s="137">
        <f>BPM!H9</f>
        <v>1918478.2599999998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f t="shared" si="0"/>
        <v>2367044421.8200002</v>
      </c>
      <c r="L9" s="155"/>
    </row>
    <row r="10" spans="1:12" s="153" customFormat="1" ht="42.75" customHeight="1" x14ac:dyDescent="0.5">
      <c r="A10" s="128" t="s">
        <v>249</v>
      </c>
      <c r="B10" s="137">
        <f>'CNT (from FS Analysis)'!N105+'CNT (from FS Analysis)'!N116</f>
        <v>10452198.59</v>
      </c>
      <c r="C10" s="137">
        <f>BPM!H10</f>
        <v>212590.22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f t="shared" si="0"/>
        <v>10664788.810000001</v>
      </c>
      <c r="L10" s="155"/>
    </row>
    <row r="11" spans="1:12" s="153" customFormat="1" ht="42.75" customHeight="1" x14ac:dyDescent="0.5">
      <c r="A11" s="128" t="s">
        <v>462</v>
      </c>
      <c r="B11" s="137">
        <f>'CNT (from FS Analysis)'!N106+'CNT (from FS Analysis)'!N117</f>
        <v>9945207.9700000007</v>
      </c>
      <c r="C11" s="137">
        <f>BPM!H11</f>
        <v>6512.9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f t="shared" si="0"/>
        <v>9951720.870000001</v>
      </c>
      <c r="L11" s="155"/>
    </row>
    <row r="12" spans="1:12" s="153" customFormat="1" ht="42.75" customHeight="1" x14ac:dyDescent="0.5">
      <c r="A12" s="128" t="s">
        <v>250</v>
      </c>
      <c r="B12" s="137">
        <f>'CNT (from FS Analysis)'!N110+'CNT (from FS Analysis)'!N120</f>
        <v>3234545.97</v>
      </c>
      <c r="C12" s="137">
        <f>0</f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f t="shared" si="0"/>
        <v>3234545.97</v>
      </c>
      <c r="L12" s="155"/>
    </row>
    <row r="13" spans="1:12" s="153" customFormat="1" ht="42.75" customHeight="1" x14ac:dyDescent="0.5">
      <c r="A13" s="128" t="s">
        <v>251</v>
      </c>
      <c r="B13" s="137">
        <f>'CNT (from FS Analysis)'!N121+'CNT (from FS Analysis)'!N122</f>
        <v>294157.5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37">
        <f t="shared" si="0"/>
        <v>294157.5</v>
      </c>
      <c r="L13" s="155"/>
    </row>
    <row r="14" spans="1:12" s="153" customFormat="1" ht="42.75" customHeight="1" x14ac:dyDescent="0.5">
      <c r="A14" s="128" t="s">
        <v>252</v>
      </c>
      <c r="B14" s="137">
        <f>'CNT (from FS Analysis)'!N108+'CNT (from FS Analysis)'!N109+'CNT (from FS Analysis)'!N111+'CNT (from FS Analysis)'!N112+'CNT (from FS Analysis)'!N113+'CNT (from FS Analysis)'!N107</f>
        <v>498607.69999999995</v>
      </c>
      <c r="C14" s="137">
        <f>BPM!H12+BPM!H13</f>
        <v>1746434.25</v>
      </c>
      <c r="D14" s="137">
        <f>DEP!H17</f>
        <v>1137613.95</v>
      </c>
      <c r="E14" s="137">
        <v>0</v>
      </c>
      <c r="F14" s="137">
        <f>'BSC (Dome)'!H14</f>
        <v>519685.24000000005</v>
      </c>
      <c r="G14" s="137">
        <v>0</v>
      </c>
      <c r="H14" s="137">
        <v>0</v>
      </c>
      <c r="I14" s="137">
        <f t="shared" si="0"/>
        <v>3902341.1400000006</v>
      </c>
      <c r="L14" s="155"/>
    </row>
    <row r="15" spans="1:12" s="153" customFormat="1" ht="42.75" customHeight="1" x14ac:dyDescent="0.5">
      <c r="A15" s="135" t="s">
        <v>253</v>
      </c>
      <c r="B15" s="141">
        <f>SUM(B8:B14)</f>
        <v>3034497070.6399994</v>
      </c>
      <c r="C15" s="141">
        <f>SUM(C8:C14)</f>
        <v>41688122.819999993</v>
      </c>
      <c r="D15" s="141">
        <f t="shared" ref="D15:F15" si="1">SUM(D8:D14)</f>
        <v>1137613.95</v>
      </c>
      <c r="E15" s="141">
        <f t="shared" si="1"/>
        <v>0</v>
      </c>
      <c r="F15" s="141">
        <f t="shared" si="1"/>
        <v>519685.24000000005</v>
      </c>
      <c r="G15" s="141">
        <f t="shared" ref="G15:H15" si="2">SUM(G8:G14)</f>
        <v>0</v>
      </c>
      <c r="H15" s="141">
        <f t="shared" si="2"/>
        <v>0</v>
      </c>
      <c r="I15" s="141">
        <f t="shared" si="0"/>
        <v>3077842492.6499991</v>
      </c>
      <c r="L15" s="155"/>
    </row>
    <row r="16" spans="1:12" s="153" customFormat="1" ht="42.75" customHeight="1" x14ac:dyDescent="0.5">
      <c r="A16" s="128"/>
      <c r="B16" s="137"/>
      <c r="C16" s="137"/>
      <c r="D16" s="137"/>
      <c r="E16" s="137"/>
      <c r="F16" s="137"/>
      <c r="G16" s="137"/>
      <c r="H16" s="137"/>
      <c r="I16" s="137"/>
      <c r="L16" s="155"/>
    </row>
    <row r="17" spans="1:12" s="153" customFormat="1" ht="42.75" customHeight="1" x14ac:dyDescent="0.5">
      <c r="A17" s="135" t="s">
        <v>217</v>
      </c>
      <c r="B17" s="137"/>
      <c r="C17" s="137"/>
      <c r="D17" s="137"/>
      <c r="E17" s="137"/>
      <c r="F17" s="137"/>
      <c r="G17" s="137"/>
      <c r="H17" s="137"/>
      <c r="I17" s="137"/>
      <c r="L17" s="155"/>
    </row>
    <row r="18" spans="1:12" s="153" customFormat="1" ht="42.75" customHeight="1" x14ac:dyDescent="0.5">
      <c r="A18" s="128" t="s">
        <v>247</v>
      </c>
      <c r="B18" s="137">
        <f>'CNT (from FS Analysis)'!N127+'CNT (from FS Analysis)'!N139+'CNT (from FS Analysis)'!N144+'CNT (from FS Analysis)'!N143+'CNT (from FS Analysis)'!N148+'CNT (from FS Analysis)'!N152+'CNT (from FS Analysis)'!N159</f>
        <v>641236419.20000005</v>
      </c>
      <c r="C18" s="137">
        <f>BPM!H18+BPM!H27</f>
        <v>37683996.719999999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f t="shared" ref="I18:I25" si="3">SUM(B18:H18)</f>
        <v>678920415.92000008</v>
      </c>
      <c r="L18" s="155"/>
    </row>
    <row r="19" spans="1:12" s="153" customFormat="1" ht="42.75" customHeight="1" x14ac:dyDescent="0.5">
      <c r="A19" s="128" t="s">
        <v>248</v>
      </c>
      <c r="B19" s="137">
        <f>'CNT (from FS Analysis)'!N128+'CNT (from FS Analysis)'!N140+'CNT (from FS Analysis)'!N145+'CNT (from FS Analysis)'!N149+'CNT (from FS Analysis)'!N153+'CNT (from FS Analysis)'!N156+'CNT (from FS Analysis)'!N160</f>
        <v>2358941127.960001</v>
      </c>
      <c r="C19" s="137">
        <f>BPM!H19+BPM!H28</f>
        <v>1814172.5300000003</v>
      </c>
      <c r="D19" s="137">
        <v>0</v>
      </c>
      <c r="E19" s="137">
        <v>0</v>
      </c>
      <c r="F19" s="137">
        <v>0</v>
      </c>
      <c r="G19" s="137">
        <v>0</v>
      </c>
      <c r="H19" s="137">
        <v>0</v>
      </c>
      <c r="I19" s="137">
        <f t="shared" si="3"/>
        <v>2360755300.4900012</v>
      </c>
      <c r="L19" s="155"/>
    </row>
    <row r="20" spans="1:12" s="153" customFormat="1" ht="42.75" customHeight="1" x14ac:dyDescent="0.5">
      <c r="A20" s="128" t="s">
        <v>249</v>
      </c>
      <c r="B20" s="137">
        <f>'CNT (from FS Analysis)'!N129+'CNT (from FS Analysis)'!N141+'CNT (from FS Analysis)'!N146+'CNT (from FS Analysis)'!N150+'CNT (from FS Analysis)'!N154+'CNT (from FS Analysis)'!N158+'CNT (from FS Analysis)'!N161</f>
        <v>10382742.020000001</v>
      </c>
      <c r="C20" s="137">
        <f>BPM!H20+BPM!H29</f>
        <v>200831.6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f t="shared" si="3"/>
        <v>10583573.620000001</v>
      </c>
      <c r="L20" s="155"/>
    </row>
    <row r="21" spans="1:12" s="153" customFormat="1" ht="42.75" customHeight="1" x14ac:dyDescent="0.5">
      <c r="A21" s="128" t="s">
        <v>462</v>
      </c>
      <c r="B21" s="137">
        <f>'CNT (from FS Analysis)'!N130+'CNT (from FS Analysis)'!N151+'CNT (from FS Analysis)'!N155+'CNT (from FS Analysis)'!N162+'CNT (from FS Analysis)'!N163</f>
        <v>10591726.950000001</v>
      </c>
      <c r="C21" s="137">
        <f>BPM!H21</f>
        <v>4090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f t="shared" si="3"/>
        <v>10595816.950000001</v>
      </c>
      <c r="L21" s="155"/>
    </row>
    <row r="22" spans="1:12" s="153" customFormat="1" ht="42.75" customHeight="1" x14ac:dyDescent="0.5">
      <c r="A22" s="128" t="s">
        <v>250</v>
      </c>
      <c r="B22" s="137">
        <f>'CNT (from FS Analysis)'!N133+'CNT (from FS Analysis)'!N157</f>
        <v>3007303.66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f t="shared" si="3"/>
        <v>3007303.66</v>
      </c>
      <c r="L22" s="155"/>
    </row>
    <row r="23" spans="1:12" s="153" customFormat="1" ht="42.75" customHeight="1" x14ac:dyDescent="0.5">
      <c r="A23" s="128" t="s">
        <v>251</v>
      </c>
      <c r="B23" s="137">
        <f>'CNT (from FS Analysis)'!N179+'CNT (from FS Analysis)'!N180+'CNT (from FS Analysis)'!N181+'CNT (from FS Analysis)'!N182</f>
        <v>182197.71</v>
      </c>
      <c r="C23" s="137">
        <f>0</f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37">
        <f t="shared" si="3"/>
        <v>182197.71</v>
      </c>
      <c r="L23" s="155"/>
    </row>
    <row r="24" spans="1:12" s="153" customFormat="1" ht="42.75" customHeight="1" x14ac:dyDescent="0.5">
      <c r="A24" s="128" t="s">
        <v>252</v>
      </c>
      <c r="B24" s="137">
        <f>'CNT (from FS Analysis)'!N125+'CNT (from FS Analysis)'!N132+'CNT (from FS Analysis)'!N134+'CNT (from FS Analysis)'!N135+'CNT (from FS Analysis)'!N137+'CNT (from FS Analysis)'!N138+'CNT (from FS Analysis)'!N164+'CNT (from FS Analysis)'!N165+'CNT (from FS Analysis)'!N166+'CNT (from FS Analysis)'!N168+'CNT (from FS Analysis)'!N169+'CNT (from FS Analysis)'!N170+'CNT (from FS Analysis)'!N171+'CNT (from FS Analysis)'!N172+'CNT (from FS Analysis)'!N173+'CNT (from FS Analysis)'!N174+'CNT (from FS Analysis)'!N175+'CNT (from FS Analysis)'!N176+'CNT (from FS Analysis)'!N177+'CNT (from FS Analysis)'!N178+'CNT (from FS Analysis)'!N167+'CNT (from FS Analysis)'!N19</f>
        <v>6667015.339999998</v>
      </c>
      <c r="C24" s="137">
        <f>BPM!H22+BPM!H23+BPM!H24+BPM!H30+BPM!H31+BPM!H25+BPM!H26</f>
        <v>1443083.0499999998</v>
      </c>
      <c r="D24" s="137">
        <f>DEP!H23</f>
        <v>151861.46000000002</v>
      </c>
      <c r="E24" s="137">
        <v>0</v>
      </c>
      <c r="F24" s="137">
        <f>'BSC (Dome)'!H17</f>
        <v>1648.2199999999998</v>
      </c>
      <c r="G24" s="137">
        <v>0</v>
      </c>
      <c r="H24" s="137">
        <v>0</v>
      </c>
      <c r="I24" s="137">
        <f t="shared" si="3"/>
        <v>8263608.0699999975</v>
      </c>
      <c r="L24" s="155"/>
    </row>
    <row r="25" spans="1:12" s="153" customFormat="1" ht="42.75" customHeight="1" x14ac:dyDescent="0.5">
      <c r="A25" s="135" t="s">
        <v>254</v>
      </c>
      <c r="B25" s="141">
        <f>SUM(B18:B24)</f>
        <v>3031008532.8400006</v>
      </c>
      <c r="C25" s="141">
        <f t="shared" ref="C25:F25" si="4">SUM(C18:C24)</f>
        <v>41146173.899999999</v>
      </c>
      <c r="D25" s="141">
        <f t="shared" si="4"/>
        <v>151861.46000000002</v>
      </c>
      <c r="E25" s="141">
        <f t="shared" si="4"/>
        <v>0</v>
      </c>
      <c r="F25" s="141">
        <f t="shared" si="4"/>
        <v>1648.2199999999998</v>
      </c>
      <c r="G25" s="141">
        <f t="shared" ref="G25:H25" si="5">SUM(G18:G24)</f>
        <v>0</v>
      </c>
      <c r="H25" s="141">
        <f t="shared" si="5"/>
        <v>0</v>
      </c>
      <c r="I25" s="141">
        <f t="shared" si="3"/>
        <v>3072308216.4200006</v>
      </c>
      <c r="L25" s="155"/>
    </row>
    <row r="26" spans="1:12" s="153" customFormat="1" ht="42.75" customHeight="1" x14ac:dyDescent="0.5">
      <c r="A26" s="128"/>
      <c r="B26" s="137"/>
      <c r="C26" s="137"/>
      <c r="D26" s="137"/>
      <c r="E26" s="137"/>
      <c r="F26" s="137"/>
      <c r="G26" s="137"/>
      <c r="H26" s="137"/>
      <c r="I26" s="137"/>
      <c r="L26" s="155"/>
    </row>
    <row r="27" spans="1:12" s="153" customFormat="1" ht="42.75" customHeight="1" thickBot="1" x14ac:dyDescent="0.55000000000000004">
      <c r="A27" s="135" t="s">
        <v>241</v>
      </c>
      <c r="B27" s="147">
        <f>B15-B25</f>
        <v>3488537.7999987602</v>
      </c>
      <c r="C27" s="147">
        <f t="shared" ref="C27:F27" si="6">C15-C25</f>
        <v>541948.91999999434</v>
      </c>
      <c r="D27" s="147">
        <f t="shared" si="6"/>
        <v>985752.49</v>
      </c>
      <c r="E27" s="147">
        <f t="shared" si="6"/>
        <v>0</v>
      </c>
      <c r="F27" s="147">
        <f t="shared" si="6"/>
        <v>518037.02000000008</v>
      </c>
      <c r="G27" s="147">
        <f t="shared" ref="G27:H27" si="7">G15-G25</f>
        <v>0</v>
      </c>
      <c r="H27" s="147">
        <f t="shared" si="7"/>
        <v>0</v>
      </c>
      <c r="I27" s="147">
        <f>SUM(B27:H27)</f>
        <v>5534276.2299987553</v>
      </c>
      <c r="L27" s="155"/>
    </row>
    <row r="28" spans="1:12" s="153" customFormat="1" ht="42.75" customHeight="1" x14ac:dyDescent="0.5">
      <c r="A28" s="128"/>
      <c r="B28" s="137"/>
      <c r="C28" s="137"/>
      <c r="D28" s="137"/>
      <c r="E28" s="137"/>
      <c r="F28" s="137"/>
      <c r="G28" s="137"/>
      <c r="H28" s="137"/>
      <c r="I28" s="137"/>
      <c r="L28" s="155"/>
    </row>
    <row r="29" spans="1:12" s="153" customFormat="1" ht="42.75" customHeight="1" x14ac:dyDescent="0.5">
      <c r="A29" s="135" t="s">
        <v>239</v>
      </c>
      <c r="B29" s="137"/>
      <c r="C29" s="137"/>
      <c r="D29" s="137"/>
      <c r="E29" s="137"/>
      <c r="F29" s="137"/>
      <c r="G29" s="137"/>
      <c r="H29" s="137"/>
      <c r="I29" s="137"/>
      <c r="L29" s="155"/>
    </row>
    <row r="30" spans="1:12" s="153" customFormat="1" ht="42.75" customHeight="1" x14ac:dyDescent="0.5">
      <c r="A30" s="128"/>
      <c r="B30" s="137"/>
      <c r="C30" s="137"/>
      <c r="D30" s="137"/>
      <c r="E30" s="137"/>
      <c r="F30" s="137"/>
      <c r="G30" s="137"/>
      <c r="H30" s="137"/>
      <c r="I30" s="137"/>
      <c r="L30" s="155"/>
    </row>
    <row r="31" spans="1:12" s="153" customFormat="1" ht="42.75" customHeight="1" x14ac:dyDescent="0.5">
      <c r="A31" s="135" t="s">
        <v>255</v>
      </c>
      <c r="B31" s="137"/>
      <c r="C31" s="137"/>
      <c r="D31" s="137"/>
      <c r="E31" s="137"/>
      <c r="F31" s="137"/>
      <c r="G31" s="137"/>
      <c r="H31" s="137"/>
      <c r="I31" s="137"/>
      <c r="L31" s="155"/>
    </row>
    <row r="32" spans="1:12" s="153" customFormat="1" ht="42.75" customHeight="1" x14ac:dyDescent="0.5">
      <c r="A32" s="128" t="s">
        <v>256</v>
      </c>
      <c r="B32" s="137">
        <f>'CNT (from FS Analysis)'!N186</f>
        <v>1833742.82</v>
      </c>
      <c r="C32" s="137">
        <v>0</v>
      </c>
      <c r="D32" s="137">
        <f>DEP!H29</f>
        <v>51398.8</v>
      </c>
      <c r="E32" s="137">
        <v>0</v>
      </c>
      <c r="F32" s="137">
        <f>'BSC (Dome)'!H24+'BSC (Dome)'!H31</f>
        <v>176224.8</v>
      </c>
      <c r="G32" s="137">
        <v>0</v>
      </c>
      <c r="H32" s="137">
        <v>0</v>
      </c>
      <c r="I32" s="137">
        <f t="shared" ref="I32:I41" si="8">SUM(B32:H32)</f>
        <v>2061366.4200000002</v>
      </c>
      <c r="L32" s="155"/>
    </row>
    <row r="33" spans="1:12" s="153" customFormat="1" ht="42.75" customHeight="1" x14ac:dyDescent="0.5">
      <c r="A33" s="128" t="s">
        <v>257</v>
      </c>
      <c r="B33" s="137">
        <f>'CNT (from FS Analysis)'!N188</f>
        <v>13753</v>
      </c>
      <c r="C33" s="137">
        <v>0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137">
        <f t="shared" si="8"/>
        <v>13753</v>
      </c>
      <c r="L33" s="155"/>
    </row>
    <row r="34" spans="1:12" s="153" customFormat="1" ht="42.75" customHeight="1" x14ac:dyDescent="0.5">
      <c r="A34" s="128" t="s">
        <v>258</v>
      </c>
      <c r="B34" s="137">
        <f>'CNT (from FS Analysis)'!N189</f>
        <v>166018.66999999998</v>
      </c>
      <c r="C34" s="137">
        <v>0</v>
      </c>
      <c r="D34" s="137">
        <f>DEP!H30</f>
        <v>6053.7900000000009</v>
      </c>
      <c r="E34" s="137">
        <v>0</v>
      </c>
      <c r="F34" s="137">
        <f>'BSC (Dome)'!H25</f>
        <v>11653.990000000002</v>
      </c>
      <c r="G34" s="137">
        <v>0</v>
      </c>
      <c r="H34" s="137">
        <v>0</v>
      </c>
      <c r="I34" s="137">
        <f t="shared" si="8"/>
        <v>183726.44999999998</v>
      </c>
      <c r="L34" s="155"/>
    </row>
    <row r="35" spans="1:12" s="153" customFormat="1" ht="42.75" customHeight="1" x14ac:dyDescent="0.5">
      <c r="A35" s="128" t="s">
        <v>259</v>
      </c>
      <c r="B35" s="137">
        <f>'CNT (from FS Analysis)'!N190</f>
        <v>166343.09</v>
      </c>
      <c r="C35" s="137">
        <v>0</v>
      </c>
      <c r="D35" s="137">
        <f>DEP!H31</f>
        <v>18903.95</v>
      </c>
      <c r="E35" s="137">
        <v>0</v>
      </c>
      <c r="F35" s="137">
        <f>'BSC (Dome)'!H26</f>
        <v>31276.87</v>
      </c>
      <c r="G35" s="137">
        <v>0</v>
      </c>
      <c r="H35" s="137">
        <v>0</v>
      </c>
      <c r="I35" s="137">
        <f t="shared" si="8"/>
        <v>216523.91</v>
      </c>
      <c r="L35" s="155"/>
    </row>
    <row r="36" spans="1:12" s="153" customFormat="1" ht="42.75" customHeight="1" x14ac:dyDescent="0.5">
      <c r="A36" s="128" t="s">
        <v>260</v>
      </c>
      <c r="B36" s="137">
        <f>'CNT (from FS Analysis)'!N191</f>
        <v>23183.760000000002</v>
      </c>
      <c r="C36" s="137">
        <v>0</v>
      </c>
      <c r="D36" s="137">
        <f>DEP!H32</f>
        <v>1301.8799999999999</v>
      </c>
      <c r="E36" s="137">
        <v>0</v>
      </c>
      <c r="F36" s="137">
        <f>'BSC (Dome)'!H27</f>
        <v>1813.95</v>
      </c>
      <c r="G36" s="137">
        <v>0</v>
      </c>
      <c r="H36" s="137">
        <v>0</v>
      </c>
      <c r="I36" s="137">
        <f t="shared" si="8"/>
        <v>26299.590000000004</v>
      </c>
      <c r="L36" s="155"/>
    </row>
    <row r="37" spans="1:12" s="153" customFormat="1" ht="42.75" customHeight="1" x14ac:dyDescent="0.5">
      <c r="A37" s="128" t="s">
        <v>261</v>
      </c>
      <c r="B37" s="137">
        <f>'CNT (from FS Analysis)'!N192</f>
        <v>54435</v>
      </c>
      <c r="C37" s="137">
        <v>0</v>
      </c>
      <c r="D37" s="137">
        <f>DEP!H33</f>
        <v>2200</v>
      </c>
      <c r="E37" s="137">
        <v>0</v>
      </c>
      <c r="F37" s="137">
        <f>'BSC (Dome)'!H29</f>
        <v>2750</v>
      </c>
      <c r="G37" s="137">
        <v>0</v>
      </c>
      <c r="H37" s="137">
        <v>0</v>
      </c>
      <c r="I37" s="137">
        <f t="shared" si="8"/>
        <v>59385</v>
      </c>
      <c r="L37" s="155"/>
    </row>
    <row r="38" spans="1:12" s="153" customFormat="1" ht="42.75" customHeight="1" x14ac:dyDescent="0.5">
      <c r="A38" s="128" t="s">
        <v>339</v>
      </c>
      <c r="B38" s="137">
        <f>'CNT (from FS Analysis)'!N194+'CNT (from FS Analysis)'!N193+'CNT (from FS Analysis)'!N218</f>
        <v>10463.82</v>
      </c>
      <c r="C38" s="137">
        <v>0</v>
      </c>
      <c r="D38" s="137">
        <f>DEP!H34</f>
        <v>795.66</v>
      </c>
      <c r="E38" s="137">
        <v>0</v>
      </c>
      <c r="F38" s="137">
        <f>'BSC (Dome)'!H28+'BSC (Dome)'!H30</f>
        <v>2362.7799999999997</v>
      </c>
      <c r="G38" s="137">
        <v>0</v>
      </c>
      <c r="H38" s="137">
        <v>0</v>
      </c>
      <c r="I38" s="137">
        <f t="shared" si="8"/>
        <v>13622.259999999998</v>
      </c>
      <c r="L38" s="155"/>
    </row>
    <row r="39" spans="1:12" s="153" customFormat="1" ht="42.75" customHeight="1" x14ac:dyDescent="0.5">
      <c r="A39" s="128" t="s">
        <v>262</v>
      </c>
      <c r="B39" s="137">
        <f>'CNT (from FS Analysis)'!N195+'CNT (from FS Analysis)'!N196</f>
        <v>3329.48</v>
      </c>
      <c r="C39" s="137">
        <v>0</v>
      </c>
      <c r="D39" s="137">
        <v>0</v>
      </c>
      <c r="E39" s="137">
        <v>0</v>
      </c>
      <c r="F39" s="137">
        <v>0</v>
      </c>
      <c r="G39" s="137">
        <v>0</v>
      </c>
      <c r="H39" s="137">
        <v>0</v>
      </c>
      <c r="I39" s="137">
        <f t="shared" si="8"/>
        <v>3329.48</v>
      </c>
      <c r="L39" s="155"/>
    </row>
    <row r="40" spans="1:12" s="153" customFormat="1" ht="42.75" customHeight="1" x14ac:dyDescent="0.5">
      <c r="A40" s="128" t="s">
        <v>278</v>
      </c>
      <c r="B40" s="137">
        <f>'CNT (from FS Analysis)'!N219</f>
        <v>30648.720000000001</v>
      </c>
      <c r="C40" s="137">
        <v>0</v>
      </c>
      <c r="D40" s="137">
        <v>0</v>
      </c>
      <c r="E40" s="137">
        <v>0</v>
      </c>
      <c r="F40" s="137">
        <v>0</v>
      </c>
      <c r="G40" s="137">
        <v>0</v>
      </c>
      <c r="H40" s="137">
        <v>0</v>
      </c>
      <c r="I40" s="137">
        <f t="shared" si="8"/>
        <v>30648.720000000001</v>
      </c>
      <c r="L40" s="155"/>
    </row>
    <row r="41" spans="1:12" s="153" customFormat="1" ht="42.75" customHeight="1" x14ac:dyDescent="0.5">
      <c r="A41" s="135" t="s">
        <v>263</v>
      </c>
      <c r="B41" s="141">
        <f t="shared" ref="B41:H41" si="9">SUM(B32:B40)</f>
        <v>2301918.36</v>
      </c>
      <c r="C41" s="141">
        <f t="shared" si="9"/>
        <v>0</v>
      </c>
      <c r="D41" s="141">
        <f t="shared" si="9"/>
        <v>80654.080000000016</v>
      </c>
      <c r="E41" s="141">
        <f t="shared" si="9"/>
        <v>0</v>
      </c>
      <c r="F41" s="141">
        <f t="shared" si="9"/>
        <v>226082.38999999998</v>
      </c>
      <c r="G41" s="141">
        <f t="shared" si="9"/>
        <v>0</v>
      </c>
      <c r="H41" s="141">
        <f t="shared" si="9"/>
        <v>0</v>
      </c>
      <c r="I41" s="141">
        <f t="shared" si="8"/>
        <v>2608654.83</v>
      </c>
      <c r="L41" s="155"/>
    </row>
    <row r="42" spans="1:12" s="153" customFormat="1" ht="42.75" customHeight="1" x14ac:dyDescent="0.5">
      <c r="A42" s="128"/>
      <c r="B42" s="137"/>
      <c r="C42" s="137"/>
      <c r="D42" s="137"/>
      <c r="E42" s="137"/>
      <c r="F42" s="137"/>
      <c r="G42" s="137"/>
      <c r="H42" s="137"/>
      <c r="I42" s="137"/>
      <c r="L42" s="155"/>
    </row>
    <row r="43" spans="1:12" s="153" customFormat="1" ht="42.75" customHeight="1" x14ac:dyDescent="0.5">
      <c r="A43" s="135" t="s">
        <v>264</v>
      </c>
      <c r="B43" s="137"/>
      <c r="C43" s="137"/>
      <c r="D43" s="137"/>
      <c r="E43" s="137"/>
      <c r="F43" s="137"/>
      <c r="G43" s="137"/>
      <c r="H43" s="137"/>
      <c r="I43" s="137"/>
      <c r="L43" s="155"/>
    </row>
    <row r="44" spans="1:12" s="153" customFormat="1" ht="42.75" customHeight="1" x14ac:dyDescent="0.5">
      <c r="A44" s="128" t="s">
        <v>265</v>
      </c>
      <c r="B44" s="137">
        <f>'CNT (from FS Analysis)'!N199+'CNT (from FS Analysis)'!N200</f>
        <v>205200</v>
      </c>
      <c r="C44" s="137">
        <v>0</v>
      </c>
      <c r="D44" s="137">
        <f>DEP!H38</f>
        <v>225000</v>
      </c>
      <c r="E44" s="137">
        <v>0</v>
      </c>
      <c r="F44" s="137">
        <f>'BSC (Dome)'!H35</f>
        <v>6000</v>
      </c>
      <c r="G44" s="137">
        <v>0</v>
      </c>
      <c r="H44" s="137">
        <v>0</v>
      </c>
      <c r="I44" s="137">
        <f t="shared" ref="I44:I66" si="10">SUM(B44:H44)</f>
        <v>436200</v>
      </c>
      <c r="L44" s="155"/>
    </row>
    <row r="45" spans="1:12" s="153" customFormat="1" ht="42.75" customHeight="1" x14ac:dyDescent="0.5">
      <c r="A45" s="128" t="s">
        <v>266</v>
      </c>
      <c r="B45" s="137">
        <f>'CNT (from FS Analysis)'!N201</f>
        <v>10302.240000000002</v>
      </c>
      <c r="C45" s="137">
        <v>0</v>
      </c>
      <c r="D45" s="137">
        <f>DEP!H39</f>
        <v>39429.379999999997</v>
      </c>
      <c r="E45" s="137">
        <v>0</v>
      </c>
      <c r="F45" s="137">
        <f>'BSC (Dome)'!H37</f>
        <v>4083</v>
      </c>
      <c r="G45" s="137">
        <v>0</v>
      </c>
      <c r="H45" s="137">
        <v>0</v>
      </c>
      <c r="I45" s="137">
        <f t="shared" si="10"/>
        <v>53814.619999999995</v>
      </c>
      <c r="L45" s="155"/>
    </row>
    <row r="46" spans="1:12" s="153" customFormat="1" ht="42.75" customHeight="1" x14ac:dyDescent="0.5">
      <c r="A46" s="128" t="s">
        <v>267</v>
      </c>
      <c r="B46" s="137">
        <f>'CNT (from FS Analysis)'!N202</f>
        <v>8675.619999999999</v>
      </c>
      <c r="C46" s="137">
        <v>0</v>
      </c>
      <c r="D46" s="137">
        <v>0</v>
      </c>
      <c r="E46" s="137">
        <v>0</v>
      </c>
      <c r="F46" s="137">
        <f>'BSC (Dome)'!H36</f>
        <v>58446.65</v>
      </c>
      <c r="G46" s="137">
        <v>0</v>
      </c>
      <c r="H46" s="137">
        <v>0</v>
      </c>
      <c r="I46" s="137">
        <f t="shared" si="10"/>
        <v>67122.27</v>
      </c>
      <c r="L46" s="155"/>
    </row>
    <row r="47" spans="1:12" s="153" customFormat="1" ht="42.75" customHeight="1" x14ac:dyDescent="0.5">
      <c r="A47" s="128" t="s">
        <v>369</v>
      </c>
      <c r="B47" s="137">
        <f>'CNT (from FS Analysis)'!N203</f>
        <v>579.03</v>
      </c>
      <c r="C47" s="137">
        <v>0</v>
      </c>
      <c r="D47" s="137">
        <v>0</v>
      </c>
      <c r="E47" s="137">
        <v>0</v>
      </c>
      <c r="F47" s="137">
        <f>'BSC (Dome)'!H38</f>
        <v>1532.02</v>
      </c>
      <c r="G47" s="137">
        <v>0</v>
      </c>
      <c r="H47" s="137">
        <v>0</v>
      </c>
      <c r="I47" s="137">
        <f t="shared" si="10"/>
        <v>2111.0500000000002</v>
      </c>
      <c r="L47" s="155"/>
    </row>
    <row r="48" spans="1:12" s="153" customFormat="1" ht="42.75" customHeight="1" x14ac:dyDescent="0.5">
      <c r="A48" s="128" t="s">
        <v>322</v>
      </c>
      <c r="B48" s="137">
        <v>0</v>
      </c>
      <c r="C48" s="137">
        <v>0</v>
      </c>
      <c r="D48" s="137">
        <f>DEP!H40</f>
        <v>900</v>
      </c>
      <c r="E48" s="137">
        <v>0</v>
      </c>
      <c r="F48" s="137">
        <f>'BSC (Dome)'!H39</f>
        <v>3628.5600000000004</v>
      </c>
      <c r="G48" s="137">
        <v>0</v>
      </c>
      <c r="H48" s="137">
        <v>0</v>
      </c>
      <c r="I48" s="137">
        <f t="shared" si="10"/>
        <v>4528.5600000000004</v>
      </c>
      <c r="L48" s="155"/>
    </row>
    <row r="49" spans="1:12" s="153" customFormat="1" ht="42.75" customHeight="1" x14ac:dyDescent="0.5">
      <c r="A49" s="128" t="s">
        <v>268</v>
      </c>
      <c r="B49" s="137">
        <f>'CNT (from FS Analysis)'!N204</f>
        <v>14225</v>
      </c>
      <c r="C49" s="137">
        <v>0</v>
      </c>
      <c r="D49" s="137">
        <f>DEP!H41</f>
        <v>10504.35</v>
      </c>
      <c r="E49" s="137">
        <v>0</v>
      </c>
      <c r="F49" s="137">
        <f>'BSC (Dome)'!H40</f>
        <v>0</v>
      </c>
      <c r="G49" s="137">
        <v>0</v>
      </c>
      <c r="H49" s="137">
        <v>0</v>
      </c>
      <c r="I49" s="137">
        <f t="shared" si="10"/>
        <v>24729.35</v>
      </c>
      <c r="L49" s="155"/>
    </row>
    <row r="50" spans="1:12" s="153" customFormat="1" ht="42.75" customHeight="1" x14ac:dyDescent="0.5">
      <c r="A50" s="128" t="s">
        <v>410</v>
      </c>
      <c r="B50" s="137">
        <f>'CNT (from FS Analysis)'!N205+'CNT (from FS Analysis)'!N213</f>
        <v>68322.709999999992</v>
      </c>
      <c r="C50" s="137">
        <f>BPM!H38</f>
        <v>1511.66</v>
      </c>
      <c r="D50" s="137">
        <f>DEP!H42</f>
        <v>17535.55</v>
      </c>
      <c r="E50" s="137">
        <v>0</v>
      </c>
      <c r="F50" s="137">
        <f>'BSC (Dome)'!H41</f>
        <v>2448.1799999999998</v>
      </c>
      <c r="G50" s="137">
        <v>0</v>
      </c>
      <c r="H50" s="137">
        <v>0</v>
      </c>
      <c r="I50" s="137">
        <f t="shared" si="10"/>
        <v>89818.099999999991</v>
      </c>
      <c r="L50" s="155"/>
    </row>
    <row r="51" spans="1:12" s="153" customFormat="1" ht="42.75" customHeight="1" x14ac:dyDescent="0.5">
      <c r="A51" s="128" t="s">
        <v>408</v>
      </c>
      <c r="B51" s="137">
        <v>0</v>
      </c>
      <c r="C51" s="137">
        <v>0</v>
      </c>
      <c r="D51" s="137">
        <v>0</v>
      </c>
      <c r="E51" s="137">
        <v>0</v>
      </c>
      <c r="F51" s="137">
        <f>'BSC (Dome)'!H42+'BSC (Dome)'!H48</f>
        <v>9527.82</v>
      </c>
      <c r="G51" s="137">
        <v>0</v>
      </c>
      <c r="H51" s="137">
        <v>0</v>
      </c>
      <c r="I51" s="137">
        <f t="shared" si="10"/>
        <v>9527.82</v>
      </c>
      <c r="L51" s="155"/>
    </row>
    <row r="52" spans="1:12" s="153" customFormat="1" ht="42.75" customHeight="1" x14ac:dyDescent="0.5">
      <c r="A52" s="128" t="s">
        <v>271</v>
      </c>
      <c r="B52" s="137">
        <f>'CNT (from FS Analysis)'!N206</f>
        <v>52059.100000000013</v>
      </c>
      <c r="C52" s="137">
        <v>0</v>
      </c>
      <c r="D52" s="137">
        <f>DEP!H43</f>
        <v>32365.08</v>
      </c>
      <c r="E52" s="137">
        <v>0</v>
      </c>
      <c r="F52" s="137">
        <f>'BSC (Dome)'!H44</f>
        <v>233.66</v>
      </c>
      <c r="G52" s="137">
        <v>0</v>
      </c>
      <c r="H52" s="137">
        <v>0</v>
      </c>
      <c r="I52" s="137">
        <f t="shared" si="10"/>
        <v>84657.840000000026</v>
      </c>
      <c r="L52" s="155"/>
    </row>
    <row r="53" spans="1:12" s="153" customFormat="1" ht="42.75" customHeight="1" x14ac:dyDescent="0.5">
      <c r="A53" s="128" t="s">
        <v>272</v>
      </c>
      <c r="B53" s="137">
        <f>'CNT (from FS Analysis)'!N207</f>
        <v>20000</v>
      </c>
      <c r="C53" s="137">
        <v>0</v>
      </c>
      <c r="D53" s="137">
        <f>DEP!H44</f>
        <v>9571.7999999999993</v>
      </c>
      <c r="E53" s="137">
        <v>0</v>
      </c>
      <c r="F53" s="137">
        <v>0</v>
      </c>
      <c r="G53" s="137">
        <v>0</v>
      </c>
      <c r="H53" s="137">
        <v>0</v>
      </c>
      <c r="I53" s="137">
        <f t="shared" si="10"/>
        <v>29571.8</v>
      </c>
      <c r="L53" s="155"/>
    </row>
    <row r="54" spans="1:12" s="153" customFormat="1" ht="42.75" customHeight="1" x14ac:dyDescent="0.5">
      <c r="A54" s="128" t="s">
        <v>270</v>
      </c>
      <c r="B54" s="137">
        <f>'CNT (from FS Analysis)'!N208</f>
        <v>30508.03</v>
      </c>
      <c r="C54" s="137">
        <v>0</v>
      </c>
      <c r="D54" s="137">
        <f>DEP!H45</f>
        <v>94972.9</v>
      </c>
      <c r="E54" s="137">
        <v>0</v>
      </c>
      <c r="F54" s="137">
        <f>'BSC (Dome)'!H46</f>
        <v>14546</v>
      </c>
      <c r="G54" s="137">
        <v>0</v>
      </c>
      <c r="H54" s="137">
        <v>0</v>
      </c>
      <c r="I54" s="137">
        <f t="shared" si="10"/>
        <v>140026.93</v>
      </c>
      <c r="L54" s="155"/>
    </row>
    <row r="55" spans="1:12" s="153" customFormat="1" ht="42.75" customHeight="1" x14ac:dyDescent="0.5">
      <c r="A55" s="128" t="s">
        <v>389</v>
      </c>
      <c r="B55" s="137">
        <f>'CNT (from FS Analysis)'!N244</f>
        <v>109</v>
      </c>
      <c r="C55" s="137">
        <f>BPM!H48</f>
        <v>228.96000000000004</v>
      </c>
      <c r="D55" s="137">
        <f>DEP!H64</f>
        <v>149</v>
      </c>
      <c r="E55" s="137">
        <v>0</v>
      </c>
      <c r="F55" s="137">
        <f>'BSC (Dome)'!H47</f>
        <v>565</v>
      </c>
      <c r="G55" s="137">
        <f>'Oliari Co.'!H10</f>
        <v>520</v>
      </c>
      <c r="H55" s="137">
        <f>'722 Bedford St'!H10</f>
        <v>520</v>
      </c>
      <c r="I55" s="137">
        <f t="shared" si="10"/>
        <v>2091.96</v>
      </c>
      <c r="L55" s="155"/>
    </row>
    <row r="56" spans="1:12" s="153" customFormat="1" ht="42.75" customHeight="1" x14ac:dyDescent="0.5">
      <c r="A56" s="128" t="s">
        <v>392</v>
      </c>
      <c r="B56" s="137">
        <v>0</v>
      </c>
      <c r="C56" s="137">
        <v>0</v>
      </c>
      <c r="D56" s="137">
        <v>0</v>
      </c>
      <c r="E56" s="137">
        <v>0</v>
      </c>
      <c r="F56" s="137">
        <f>'BSC (Dome)'!H43</f>
        <v>10840.56</v>
      </c>
      <c r="G56" s="137">
        <v>0</v>
      </c>
      <c r="H56" s="137">
        <v>0</v>
      </c>
      <c r="I56" s="137">
        <f t="shared" si="10"/>
        <v>10840.56</v>
      </c>
      <c r="L56" s="155"/>
    </row>
    <row r="57" spans="1:12" s="153" customFormat="1" ht="42.75" customHeight="1" x14ac:dyDescent="0.5">
      <c r="A57" s="128" t="s">
        <v>273</v>
      </c>
      <c r="B57" s="137">
        <f>'CNT (from FS Analysis)'!N209</f>
        <v>7756.71</v>
      </c>
      <c r="C57" s="137">
        <v>0</v>
      </c>
      <c r="D57" s="137">
        <f>DEP!H46</f>
        <v>152.47</v>
      </c>
      <c r="E57" s="137">
        <v>0</v>
      </c>
      <c r="F57" s="137">
        <f>'BSC (Dome)'!H49</f>
        <v>1417.5100000000002</v>
      </c>
      <c r="G57" s="137">
        <v>0</v>
      </c>
      <c r="H57" s="137">
        <v>0</v>
      </c>
      <c r="I57" s="137">
        <f t="shared" si="10"/>
        <v>9326.69</v>
      </c>
      <c r="L57" s="155"/>
    </row>
    <row r="58" spans="1:12" s="153" customFormat="1" ht="42.75" customHeight="1" x14ac:dyDescent="0.5">
      <c r="A58" s="128" t="s">
        <v>274</v>
      </c>
      <c r="B58" s="137">
        <f>'CNT (from FS Analysis)'!N210</f>
        <v>2564.1</v>
      </c>
      <c r="C58" s="137">
        <v>0</v>
      </c>
      <c r="D58" s="137">
        <f>DEP!H48</f>
        <v>1947.3999999999999</v>
      </c>
      <c r="E58" s="137">
        <v>0</v>
      </c>
      <c r="F58" s="137">
        <f>0</f>
        <v>0</v>
      </c>
      <c r="G58" s="137">
        <f>0</f>
        <v>0</v>
      </c>
      <c r="H58" s="137">
        <f>0</f>
        <v>0</v>
      </c>
      <c r="I58" s="137">
        <f t="shared" si="10"/>
        <v>4511.5</v>
      </c>
      <c r="L58" s="155"/>
    </row>
    <row r="59" spans="1:12" s="153" customFormat="1" ht="42.75" customHeight="1" x14ac:dyDescent="0.5">
      <c r="A59" s="128" t="s">
        <v>275</v>
      </c>
      <c r="B59" s="137">
        <f>'CNT (from FS Analysis)'!N211</f>
        <v>1999.9799999999998</v>
      </c>
      <c r="C59" s="137">
        <v>0</v>
      </c>
      <c r="D59" s="137">
        <v>0</v>
      </c>
      <c r="E59" s="137">
        <v>0</v>
      </c>
      <c r="F59" s="137">
        <v>0</v>
      </c>
      <c r="G59" s="137">
        <v>0</v>
      </c>
      <c r="H59" s="137">
        <v>0</v>
      </c>
      <c r="I59" s="137">
        <f t="shared" si="10"/>
        <v>1999.9799999999998</v>
      </c>
      <c r="L59" s="155"/>
    </row>
    <row r="60" spans="1:12" s="153" customFormat="1" ht="42.75" customHeight="1" x14ac:dyDescent="0.5">
      <c r="A60" s="128" t="s">
        <v>276</v>
      </c>
      <c r="B60" s="137">
        <f>'CNT (from FS Analysis)'!N212+'CNT (from FS Analysis)'!N215</f>
        <v>738820.29</v>
      </c>
      <c r="C60" s="137">
        <f>BPM!H39</f>
        <v>2233.87</v>
      </c>
      <c r="D60" s="137">
        <f>DEP!H49</f>
        <v>62530.3</v>
      </c>
      <c r="E60" s="137">
        <v>0</v>
      </c>
      <c r="F60" s="137">
        <f>'BSC (Dome)'!H52</f>
        <v>56292.94</v>
      </c>
      <c r="G60" s="137">
        <f>'Oliari Co.'!H11</f>
        <v>55507.62000000001</v>
      </c>
      <c r="H60" s="137">
        <f>'722 Bedford St'!H11</f>
        <v>88198.56</v>
      </c>
      <c r="I60" s="137">
        <f t="shared" si="10"/>
        <v>1003583.5800000001</v>
      </c>
      <c r="L60" s="155"/>
    </row>
    <row r="61" spans="1:12" s="153" customFormat="1" ht="42.75" customHeight="1" x14ac:dyDescent="0.5">
      <c r="A61" s="128" t="s">
        <v>286</v>
      </c>
      <c r="B61" s="137">
        <f>'CNT (from FS Analysis)'!N230</f>
        <v>976.74</v>
      </c>
      <c r="C61" s="137">
        <v>0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  <c r="I61" s="137">
        <f t="shared" si="10"/>
        <v>976.74</v>
      </c>
      <c r="L61" s="155"/>
    </row>
    <row r="62" spans="1:12" s="153" customFormat="1" ht="42.75" customHeight="1" x14ac:dyDescent="0.5">
      <c r="A62" s="128" t="s">
        <v>279</v>
      </c>
      <c r="B62" s="137">
        <f>'CNT (from FS Analysis)'!N229</f>
        <v>10784.22</v>
      </c>
      <c r="C62" s="137">
        <v>0</v>
      </c>
      <c r="D62" s="137">
        <f>DEP!H50</f>
        <v>10674.939999999999</v>
      </c>
      <c r="E62" s="137">
        <v>0</v>
      </c>
      <c r="F62" s="137">
        <f>'BSC (Dome)'!H53</f>
        <v>0</v>
      </c>
      <c r="G62" s="137">
        <v>0</v>
      </c>
      <c r="H62" s="137">
        <v>0</v>
      </c>
      <c r="I62" s="137">
        <f t="shared" si="10"/>
        <v>21459.159999999996</v>
      </c>
      <c r="L62" s="155"/>
    </row>
    <row r="63" spans="1:12" s="153" customFormat="1" ht="42.75" customHeight="1" x14ac:dyDescent="0.5">
      <c r="A63" s="128" t="s">
        <v>280</v>
      </c>
      <c r="B63" s="137">
        <f>'CNT (from FS Analysis)'!N233+'CNT (from FS Analysis)'!N214</f>
        <v>88523.219999999987</v>
      </c>
      <c r="C63" s="137">
        <v>0</v>
      </c>
      <c r="D63" s="137">
        <f>DEP!H47</f>
        <v>44064.959999999999</v>
      </c>
      <c r="E63" s="137">
        <v>0</v>
      </c>
      <c r="F63" s="137">
        <f>0</f>
        <v>0</v>
      </c>
      <c r="G63" s="137">
        <v>0</v>
      </c>
      <c r="H63" s="137">
        <v>0</v>
      </c>
      <c r="I63" s="137">
        <f t="shared" si="10"/>
        <v>132588.18</v>
      </c>
      <c r="L63" s="155"/>
    </row>
    <row r="64" spans="1:12" s="153" customFormat="1" ht="42.75" customHeight="1" x14ac:dyDescent="0.5">
      <c r="A64" s="128" t="s">
        <v>402</v>
      </c>
      <c r="B64" s="137">
        <f>'CNT (from FS Analysis)'!N238</f>
        <v>11515.52</v>
      </c>
      <c r="C64" s="137">
        <v>0</v>
      </c>
      <c r="D64" s="137">
        <f>DEP!H51</f>
        <v>4656.5</v>
      </c>
      <c r="E64" s="137">
        <v>0</v>
      </c>
      <c r="F64" s="137">
        <f>'BSC (Dome)'!H54</f>
        <v>2372.79</v>
      </c>
      <c r="G64" s="137">
        <v>0</v>
      </c>
      <c r="H64" s="137">
        <v>0</v>
      </c>
      <c r="I64" s="137">
        <f>SUM(B64:H64)</f>
        <v>18544.810000000001</v>
      </c>
      <c r="L64" s="155"/>
    </row>
    <row r="65" spans="1:12" s="153" customFormat="1" ht="42.75" customHeight="1" x14ac:dyDescent="0.5">
      <c r="A65" s="128" t="s">
        <v>403</v>
      </c>
      <c r="B65" s="137">
        <f>'CNT (from FS Analysis)'!N239</f>
        <v>3196.84</v>
      </c>
      <c r="C65" s="137">
        <f>BPM!H45</f>
        <v>2691.3</v>
      </c>
      <c r="D65" s="137">
        <f>DEP!H52</f>
        <v>3943.7799999999997</v>
      </c>
      <c r="E65" s="137">
        <v>0</v>
      </c>
      <c r="F65" s="137">
        <f>'BSC (Dome)'!H55</f>
        <v>3566.76</v>
      </c>
      <c r="G65" s="137">
        <v>0</v>
      </c>
      <c r="H65" s="137">
        <v>0</v>
      </c>
      <c r="I65" s="137">
        <f t="shared" si="10"/>
        <v>13398.68</v>
      </c>
      <c r="L65" s="155"/>
    </row>
    <row r="66" spans="1:12" s="153" customFormat="1" ht="42.75" customHeight="1" x14ac:dyDescent="0.5">
      <c r="A66" s="135" t="s">
        <v>281</v>
      </c>
      <c r="B66" s="141">
        <f>SUM(B44:B65)</f>
        <v>1276118.3500000001</v>
      </c>
      <c r="C66" s="141">
        <f t="shared" ref="C66:F66" si="11">SUM(C44:C65)</f>
        <v>6665.79</v>
      </c>
      <c r="D66" s="141">
        <f t="shared" si="11"/>
        <v>558398.40999999992</v>
      </c>
      <c r="E66" s="141">
        <f t="shared" si="11"/>
        <v>0</v>
      </c>
      <c r="F66" s="141">
        <f t="shared" si="11"/>
        <v>175501.44999999998</v>
      </c>
      <c r="G66" s="141">
        <f t="shared" ref="G66:H66" si="12">SUM(G44:G65)</f>
        <v>56027.62000000001</v>
      </c>
      <c r="H66" s="141">
        <f t="shared" si="12"/>
        <v>88718.56</v>
      </c>
      <c r="I66" s="141">
        <f t="shared" si="10"/>
        <v>2161430.1800000002</v>
      </c>
      <c r="L66" s="155"/>
    </row>
    <row r="67" spans="1:12" s="153" customFormat="1" ht="42.75" customHeight="1" x14ac:dyDescent="0.5">
      <c r="A67" s="128"/>
      <c r="B67" s="137"/>
      <c r="C67" s="137"/>
      <c r="D67" s="137"/>
      <c r="E67" s="137"/>
      <c r="F67" s="137"/>
      <c r="G67" s="137"/>
      <c r="H67" s="137"/>
      <c r="I67" s="137">
        <f>SUM(B67:F67)</f>
        <v>0</v>
      </c>
      <c r="L67" s="155"/>
    </row>
    <row r="68" spans="1:12" s="153" customFormat="1" ht="42.75" customHeight="1" x14ac:dyDescent="0.5">
      <c r="A68" s="135" t="s">
        <v>282</v>
      </c>
      <c r="B68" s="137"/>
      <c r="C68" s="137"/>
      <c r="D68" s="137"/>
      <c r="E68" s="137"/>
      <c r="F68" s="137"/>
      <c r="G68" s="137"/>
      <c r="H68" s="137"/>
      <c r="I68" s="137">
        <f>SUM(B68:F68)</f>
        <v>0</v>
      </c>
      <c r="L68" s="155"/>
    </row>
    <row r="69" spans="1:12" s="153" customFormat="1" ht="42.75" customHeight="1" x14ac:dyDescent="0.5">
      <c r="A69" s="128" t="s">
        <v>283</v>
      </c>
      <c r="B69" s="137">
        <f>'CNT (from FS Analysis)'!N220</f>
        <v>5487.78</v>
      </c>
      <c r="C69" s="137">
        <v>0</v>
      </c>
      <c r="D69" s="137">
        <f>DEP!H56</f>
        <v>983.99</v>
      </c>
      <c r="E69" s="137">
        <v>0</v>
      </c>
      <c r="F69" s="137">
        <f>'BSC (Dome)'!H59</f>
        <v>2229.16</v>
      </c>
      <c r="G69" s="137">
        <v>0</v>
      </c>
      <c r="H69" s="137">
        <v>0</v>
      </c>
      <c r="I69" s="137">
        <f t="shared" ref="I69:I87" si="13">SUM(B69:H69)</f>
        <v>8700.93</v>
      </c>
      <c r="L69" s="155"/>
    </row>
    <row r="70" spans="1:12" s="153" customFormat="1" ht="42.75" customHeight="1" x14ac:dyDescent="0.5">
      <c r="A70" s="128" t="s">
        <v>284</v>
      </c>
      <c r="B70" s="137">
        <f>'CNT (from FS Analysis)'!N221</f>
        <v>58251.789999999994</v>
      </c>
      <c r="C70" s="137">
        <f>BPM!H43</f>
        <v>4505.09</v>
      </c>
      <c r="D70" s="137">
        <f>DEP!H57</f>
        <v>4325.3</v>
      </c>
      <c r="E70" s="137">
        <f>Lending!H9</f>
        <v>1276.94</v>
      </c>
      <c r="F70" s="137">
        <f>'BSC (Dome)'!H60</f>
        <v>2462.0699999999997</v>
      </c>
      <c r="G70" s="137">
        <v>0</v>
      </c>
      <c r="H70" s="137">
        <f>'722 Bedford St'!H16</f>
        <v>480.63</v>
      </c>
      <c r="I70" s="137">
        <f t="shared" si="13"/>
        <v>71301.820000000007</v>
      </c>
      <c r="L70" s="155"/>
    </row>
    <row r="71" spans="1:12" s="153" customFormat="1" ht="42.75" customHeight="1" x14ac:dyDescent="0.5">
      <c r="A71" s="128" t="s">
        <v>396</v>
      </c>
      <c r="B71" s="137">
        <v>0</v>
      </c>
      <c r="C71" s="137">
        <v>0</v>
      </c>
      <c r="D71" s="137">
        <v>0</v>
      </c>
      <c r="E71" s="137">
        <v>0</v>
      </c>
      <c r="F71" s="137">
        <f>'BSC (Dome)'!H61</f>
        <v>2725.63</v>
      </c>
      <c r="G71" s="137">
        <v>0</v>
      </c>
      <c r="H71" s="137">
        <v>0</v>
      </c>
      <c r="I71" s="137">
        <f t="shared" si="13"/>
        <v>2725.63</v>
      </c>
      <c r="L71" s="155"/>
    </row>
    <row r="72" spans="1:12" s="153" customFormat="1" ht="42.75" customHeight="1" x14ac:dyDescent="0.5">
      <c r="A72" s="128" t="s">
        <v>285</v>
      </c>
      <c r="B72" s="137">
        <f>'CNT (from FS Analysis)'!N223</f>
        <v>3728.73</v>
      </c>
      <c r="C72" s="137">
        <v>0</v>
      </c>
      <c r="D72" s="137">
        <v>0</v>
      </c>
      <c r="E72" s="137">
        <f>Lending!H10</f>
        <v>109</v>
      </c>
      <c r="F72" s="137">
        <f>'BSC (Dome)'!H65</f>
        <v>975.56000000000006</v>
      </c>
      <c r="G72" s="137">
        <v>0</v>
      </c>
      <c r="H72" s="137">
        <v>0</v>
      </c>
      <c r="I72" s="137">
        <f t="shared" si="13"/>
        <v>4813.29</v>
      </c>
      <c r="L72" s="155"/>
    </row>
    <row r="73" spans="1:12" s="153" customFormat="1" ht="42.75" customHeight="1" x14ac:dyDescent="0.5">
      <c r="A73" s="128" t="s">
        <v>393</v>
      </c>
      <c r="B73" s="137">
        <f>'CNT (from FS Analysis)'!N241</f>
        <v>173428.57</v>
      </c>
      <c r="C73" s="137">
        <f>BPM!H46</f>
        <v>17000</v>
      </c>
      <c r="D73" s="137">
        <f>DEP!H61</f>
        <v>29000</v>
      </c>
      <c r="E73" s="137">
        <v>0</v>
      </c>
      <c r="F73" s="137">
        <f>'BSC (Dome)'!H66</f>
        <v>3125</v>
      </c>
      <c r="G73" s="137">
        <f>'Oliari Co.'!H15</f>
        <v>1590</v>
      </c>
      <c r="H73" s="137">
        <v>0</v>
      </c>
      <c r="I73" s="137">
        <f t="shared" si="13"/>
        <v>224143.57</v>
      </c>
      <c r="L73" s="155"/>
    </row>
    <row r="74" spans="1:12" s="153" customFormat="1" ht="42.75" customHeight="1" x14ac:dyDescent="0.5">
      <c r="A74" s="128" t="s">
        <v>394</v>
      </c>
      <c r="B74" s="137">
        <f>'CNT (from FS Analysis)'!N242</f>
        <v>45500</v>
      </c>
      <c r="C74" s="137">
        <f>BPM!H47</f>
        <v>22500</v>
      </c>
      <c r="D74" s="137">
        <f>DEP!H62</f>
        <v>13500</v>
      </c>
      <c r="E74" s="137">
        <f>-Lending!H16</f>
        <v>2500</v>
      </c>
      <c r="F74" s="137">
        <f>'BSC (Dome)'!H67</f>
        <v>9000</v>
      </c>
      <c r="G74" s="137">
        <v>0</v>
      </c>
      <c r="H74" s="137">
        <v>0</v>
      </c>
      <c r="I74" s="137">
        <f t="shared" si="13"/>
        <v>93000</v>
      </c>
      <c r="L74" s="155"/>
    </row>
    <row r="75" spans="1:12" s="153" customFormat="1" ht="42.75" customHeight="1" x14ac:dyDescent="0.5">
      <c r="A75" s="128" t="s">
        <v>395</v>
      </c>
      <c r="B75" s="137">
        <f>'CNT (from FS Analysis)'!N240</f>
        <v>23232.91</v>
      </c>
      <c r="C75" s="137">
        <v>0</v>
      </c>
      <c r="D75" s="137">
        <f>DEP!H60</f>
        <v>-5776.56</v>
      </c>
      <c r="E75" s="137">
        <f>-Lending!H17</f>
        <v>270</v>
      </c>
      <c r="F75" s="137">
        <v>0</v>
      </c>
      <c r="G75" s="137">
        <v>0</v>
      </c>
      <c r="H75" s="137">
        <v>0</v>
      </c>
      <c r="I75" s="137">
        <f t="shared" si="13"/>
        <v>17726.349999999999</v>
      </c>
      <c r="L75" s="155"/>
    </row>
    <row r="76" spans="1:12" s="153" customFormat="1" ht="42.75" customHeight="1" x14ac:dyDescent="0.5">
      <c r="A76" s="128" t="s">
        <v>434</v>
      </c>
      <c r="B76" s="137">
        <f>'CNT (from FS Analysis)'!N243</f>
        <v>19552.5</v>
      </c>
      <c r="C76" s="137">
        <v>0</v>
      </c>
      <c r="D76" s="137">
        <v>0</v>
      </c>
      <c r="E76" s="137">
        <v>0</v>
      </c>
      <c r="F76" s="137">
        <v>0</v>
      </c>
      <c r="G76" s="137">
        <v>0</v>
      </c>
      <c r="H76" s="137">
        <v>0</v>
      </c>
      <c r="I76" s="137">
        <f t="shared" si="13"/>
        <v>19552.5</v>
      </c>
      <c r="L76" s="155"/>
    </row>
    <row r="77" spans="1:12" s="153" customFormat="1" ht="42.75" customHeight="1" x14ac:dyDescent="0.5">
      <c r="A77" s="128" t="s">
        <v>423</v>
      </c>
      <c r="B77" s="137">
        <v>0</v>
      </c>
      <c r="C77" s="137">
        <v>0</v>
      </c>
      <c r="D77" s="137">
        <f>DEP!H63</f>
        <v>4625.0099999999993</v>
      </c>
      <c r="E77" s="137">
        <v>0</v>
      </c>
      <c r="F77" s="137">
        <v>0</v>
      </c>
      <c r="G77" s="137">
        <v>0</v>
      </c>
      <c r="H77" s="137">
        <v>0</v>
      </c>
      <c r="I77" s="137">
        <f t="shared" si="13"/>
        <v>4625.0099999999993</v>
      </c>
      <c r="L77" s="155"/>
    </row>
    <row r="78" spans="1:12" s="153" customFormat="1" ht="42.75" customHeight="1" x14ac:dyDescent="0.5">
      <c r="A78" s="128" t="s">
        <v>287</v>
      </c>
      <c r="B78" s="137">
        <f>'CNT (from FS Analysis)'!N227+'CNT (from FS Analysis)'!N245</f>
        <v>21230.010000000002</v>
      </c>
      <c r="C78" s="137">
        <v>0</v>
      </c>
      <c r="D78" s="137">
        <f>DEP!H59</f>
        <v>1250</v>
      </c>
      <c r="E78" s="137">
        <v>0</v>
      </c>
      <c r="F78" s="137">
        <f>'BSC (Dome)'!H63</f>
        <v>929.66999999999985</v>
      </c>
      <c r="G78" s="137">
        <v>0</v>
      </c>
      <c r="H78" s="137">
        <v>0</v>
      </c>
      <c r="I78" s="137">
        <f t="shared" si="13"/>
        <v>23409.68</v>
      </c>
      <c r="L78" s="155"/>
    </row>
    <row r="79" spans="1:12" s="153" customFormat="1" ht="42.75" customHeight="1" x14ac:dyDescent="0.5">
      <c r="A79" s="128" t="s">
        <v>288</v>
      </c>
      <c r="B79" s="137">
        <f>'CNT (from FS Analysis)'!N231</f>
        <v>20832.629999999997</v>
      </c>
      <c r="C79" s="137">
        <f>BPM!H44</f>
        <v>687.49</v>
      </c>
      <c r="D79" s="137">
        <f>DEP!H65</f>
        <v>1227.5</v>
      </c>
      <c r="E79" s="137">
        <v>0</v>
      </c>
      <c r="F79" s="137">
        <f>'BSC (Dome)'!H69</f>
        <v>642</v>
      </c>
      <c r="G79" s="137">
        <v>0</v>
      </c>
      <c r="H79" s="137">
        <v>0</v>
      </c>
      <c r="I79" s="137">
        <f t="shared" si="13"/>
        <v>23389.62</v>
      </c>
      <c r="L79" s="155"/>
    </row>
    <row r="80" spans="1:12" s="153" customFormat="1" ht="42.75" customHeight="1" x14ac:dyDescent="0.5">
      <c r="A80" s="128" t="s">
        <v>289</v>
      </c>
      <c r="B80" s="137">
        <f>'CNT (from FS Analysis)'!N232</f>
        <v>16766.82</v>
      </c>
      <c r="C80" s="137">
        <f>0</f>
        <v>0</v>
      </c>
      <c r="D80" s="137">
        <v>0</v>
      </c>
      <c r="E80" s="137">
        <v>0</v>
      </c>
      <c r="F80" s="137">
        <v>0</v>
      </c>
      <c r="G80" s="137">
        <v>0</v>
      </c>
      <c r="H80" s="137">
        <v>0</v>
      </c>
      <c r="I80" s="137">
        <f t="shared" si="13"/>
        <v>16766.82</v>
      </c>
      <c r="L80" s="155"/>
    </row>
    <row r="81" spans="1:12" s="153" customFormat="1" ht="42.75" customHeight="1" x14ac:dyDescent="0.5">
      <c r="A81" s="128" t="s">
        <v>326</v>
      </c>
      <c r="B81" s="137">
        <v>0</v>
      </c>
      <c r="C81" s="137">
        <f>0</f>
        <v>0</v>
      </c>
      <c r="D81" s="137">
        <f>DEP!H58</f>
        <v>300</v>
      </c>
      <c r="E81" s="137">
        <v>0</v>
      </c>
      <c r="F81" s="137">
        <f>'BSC (Dome)'!H62</f>
        <v>1600</v>
      </c>
      <c r="G81" s="137">
        <v>0</v>
      </c>
      <c r="H81" s="137">
        <v>0</v>
      </c>
      <c r="I81" s="137">
        <f t="shared" si="13"/>
        <v>1900</v>
      </c>
      <c r="L81" s="155"/>
    </row>
    <row r="82" spans="1:12" s="153" customFormat="1" ht="42.75" customHeight="1" x14ac:dyDescent="0.5">
      <c r="A82" s="128" t="s">
        <v>411</v>
      </c>
      <c r="B82" s="137">
        <f>'CNT (from FS Analysis)'!N228</f>
        <v>234.03</v>
      </c>
      <c r="C82" s="137">
        <v>0</v>
      </c>
      <c r="D82" s="137">
        <v>0</v>
      </c>
      <c r="E82" s="137">
        <v>0</v>
      </c>
      <c r="F82" s="137">
        <f>'BSC (Dome)'!H64</f>
        <v>10329.9</v>
      </c>
      <c r="G82" s="137">
        <v>0</v>
      </c>
      <c r="H82" s="137">
        <v>0</v>
      </c>
      <c r="I82" s="137">
        <f t="shared" si="13"/>
        <v>10563.93</v>
      </c>
      <c r="L82" s="155"/>
    </row>
    <row r="83" spans="1:12" s="153" customFormat="1" ht="42.75" customHeight="1" x14ac:dyDescent="0.5">
      <c r="A83" s="128" t="s">
        <v>290</v>
      </c>
      <c r="B83" s="137">
        <f>'CNT (from FS Analysis)'!N234</f>
        <v>15919.98</v>
      </c>
      <c r="C83" s="137">
        <f>0</f>
        <v>0</v>
      </c>
      <c r="D83" s="137">
        <f>0</f>
        <v>0</v>
      </c>
      <c r="E83" s="137">
        <v>0</v>
      </c>
      <c r="F83" s="137">
        <v>0</v>
      </c>
      <c r="G83" s="137">
        <v>0</v>
      </c>
      <c r="H83" s="137">
        <v>0</v>
      </c>
      <c r="I83" s="137">
        <f t="shared" si="13"/>
        <v>15919.98</v>
      </c>
      <c r="L83" s="155"/>
    </row>
    <row r="84" spans="1:12" s="153" customFormat="1" ht="42.75" customHeight="1" x14ac:dyDescent="0.5">
      <c r="A84" s="128" t="s">
        <v>291</v>
      </c>
      <c r="B84" s="137">
        <f>'CNT (from FS Analysis)'!N235</f>
        <v>11954.86</v>
      </c>
      <c r="C84" s="137">
        <v>0</v>
      </c>
      <c r="D84" s="137">
        <v>0</v>
      </c>
      <c r="E84" s="137">
        <v>0</v>
      </c>
      <c r="F84" s="137">
        <v>0</v>
      </c>
      <c r="G84" s="137">
        <v>0</v>
      </c>
      <c r="H84" s="137">
        <v>0</v>
      </c>
      <c r="I84" s="137">
        <f t="shared" si="13"/>
        <v>11954.86</v>
      </c>
      <c r="L84" s="155"/>
    </row>
    <row r="85" spans="1:12" s="153" customFormat="1" ht="42.75" customHeight="1" x14ac:dyDescent="0.5">
      <c r="A85" s="128" t="s">
        <v>292</v>
      </c>
      <c r="B85" s="137">
        <f>'CNT (from FS Analysis)'!N236</f>
        <v>2399.4299999999998</v>
      </c>
      <c r="C85" s="137">
        <v>0</v>
      </c>
      <c r="D85" s="137">
        <v>0</v>
      </c>
      <c r="E85" s="137">
        <v>0</v>
      </c>
      <c r="F85" s="137">
        <v>0</v>
      </c>
      <c r="G85" s="137">
        <v>0</v>
      </c>
      <c r="H85" s="137">
        <v>0</v>
      </c>
      <c r="I85" s="137">
        <f t="shared" si="13"/>
        <v>2399.4299999999998</v>
      </c>
      <c r="L85" s="155"/>
    </row>
    <row r="86" spans="1:12" s="153" customFormat="1" ht="42.75" customHeight="1" x14ac:dyDescent="0.5">
      <c r="A86" s="128" t="s">
        <v>293</v>
      </c>
      <c r="B86" s="137">
        <f>'CNT (from FS Analysis)'!N237+'CNT (from FS Analysis)'!G246</f>
        <v>12348.94</v>
      </c>
      <c r="C86" s="137">
        <v>0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137">
        <f t="shared" si="13"/>
        <v>12348.94</v>
      </c>
      <c r="L86" s="155"/>
    </row>
    <row r="87" spans="1:12" s="153" customFormat="1" ht="42.75" customHeight="1" x14ac:dyDescent="0.5">
      <c r="A87" s="135" t="s">
        <v>295</v>
      </c>
      <c r="B87" s="141">
        <f>SUM(B69:B86)</f>
        <v>430868.98</v>
      </c>
      <c r="C87" s="141">
        <f t="shared" ref="C87:F87" si="14">SUM(C69:C86)</f>
        <v>44692.579999999994</v>
      </c>
      <c r="D87" s="141">
        <f t="shared" si="14"/>
        <v>49435.240000000005</v>
      </c>
      <c r="E87" s="141">
        <f t="shared" si="14"/>
        <v>4155.9400000000005</v>
      </c>
      <c r="F87" s="141">
        <f t="shared" si="14"/>
        <v>34018.99</v>
      </c>
      <c r="G87" s="141">
        <f t="shared" ref="G87:H87" si="15">SUM(G69:G86)</f>
        <v>1590</v>
      </c>
      <c r="H87" s="141">
        <f t="shared" si="15"/>
        <v>480.63</v>
      </c>
      <c r="I87" s="141">
        <f t="shared" si="13"/>
        <v>565242.36</v>
      </c>
      <c r="L87" s="155"/>
    </row>
    <row r="88" spans="1:12" s="153" customFormat="1" ht="42.75" customHeight="1" x14ac:dyDescent="0.5">
      <c r="A88" s="128"/>
      <c r="B88" s="137"/>
      <c r="C88" s="137"/>
      <c r="D88" s="137"/>
      <c r="E88" s="137"/>
      <c r="F88" s="137"/>
      <c r="G88" s="137"/>
      <c r="H88" s="137"/>
      <c r="I88" s="137">
        <f>SUM(B88:F88)</f>
        <v>0</v>
      </c>
      <c r="L88" s="155"/>
    </row>
    <row r="89" spans="1:12" s="153" customFormat="1" ht="42.75" customHeight="1" thickBot="1" x14ac:dyDescent="0.55000000000000004">
      <c r="A89" s="135" t="s">
        <v>296</v>
      </c>
      <c r="B89" s="147">
        <f>B41+B66+B87</f>
        <v>4008905.69</v>
      </c>
      <c r="C89" s="147">
        <f t="shared" ref="C89:F89" si="16">C41+C66+C87</f>
        <v>51358.369999999995</v>
      </c>
      <c r="D89" s="147">
        <f t="shared" si="16"/>
        <v>688487.73</v>
      </c>
      <c r="E89" s="147">
        <f t="shared" si="16"/>
        <v>4155.9400000000005</v>
      </c>
      <c r="F89" s="147">
        <f t="shared" si="16"/>
        <v>435602.82999999996</v>
      </c>
      <c r="G89" s="147">
        <f t="shared" ref="G89:H89" si="17">G41+G66+G87</f>
        <v>57617.62000000001</v>
      </c>
      <c r="H89" s="147">
        <f t="shared" si="17"/>
        <v>89199.19</v>
      </c>
      <c r="I89" s="147">
        <f>SUM(B89:H89)</f>
        <v>5335327.370000001</v>
      </c>
      <c r="L89" s="155"/>
    </row>
    <row r="90" spans="1:12" s="153" customFormat="1" ht="42.75" customHeight="1" x14ac:dyDescent="0.5">
      <c r="A90" s="128"/>
      <c r="B90" s="137"/>
      <c r="C90" s="137"/>
      <c r="D90" s="137"/>
      <c r="E90" s="137"/>
      <c r="F90" s="137"/>
      <c r="G90" s="137"/>
      <c r="H90" s="137"/>
      <c r="I90" s="137"/>
      <c r="L90" s="155"/>
    </row>
    <row r="91" spans="1:12" s="153" customFormat="1" ht="42.75" customHeight="1" x14ac:dyDescent="0.5">
      <c r="A91" s="135" t="s">
        <v>485</v>
      </c>
      <c r="B91" s="137"/>
      <c r="C91" s="137"/>
      <c r="D91" s="137"/>
      <c r="E91" s="137"/>
      <c r="F91" s="137"/>
      <c r="G91" s="137"/>
      <c r="H91" s="137"/>
      <c r="I91" s="137"/>
      <c r="L91" s="155"/>
    </row>
    <row r="92" spans="1:12" s="153" customFormat="1" ht="42.75" customHeight="1" x14ac:dyDescent="0.5">
      <c r="A92" s="128" t="s">
        <v>299</v>
      </c>
      <c r="B92" s="137">
        <f>'CNT (from FS Analysis)'!N250</f>
        <v>75000</v>
      </c>
      <c r="C92" s="137">
        <v>0</v>
      </c>
      <c r="D92" s="137">
        <f>DEP!H71</f>
        <v>75000</v>
      </c>
      <c r="E92" s="137">
        <v>0</v>
      </c>
      <c r="F92" s="137">
        <f>'BSC (Dome)'!H75+'BSC (Dome)'!H76</f>
        <v>34000</v>
      </c>
      <c r="G92" s="137">
        <f>'Oliari Co.'!H21+'Oliari Co.'!H22</f>
        <v>106200</v>
      </c>
      <c r="H92" s="137">
        <v>0</v>
      </c>
      <c r="I92" s="137">
        <f t="shared" ref="I92:I103" si="18">SUM(B92:H92)</f>
        <v>290200</v>
      </c>
      <c r="L92" s="155"/>
    </row>
    <row r="93" spans="1:12" s="153" customFormat="1" ht="42.75" customHeight="1" x14ac:dyDescent="0.5">
      <c r="A93" s="128" t="s">
        <v>300</v>
      </c>
      <c r="B93" s="137">
        <f>'CNT (from FS Analysis)'!N251</f>
        <v>207055</v>
      </c>
      <c r="C93" s="137">
        <v>0</v>
      </c>
      <c r="D93" s="137">
        <v>0</v>
      </c>
      <c r="E93" s="137">
        <v>0</v>
      </c>
      <c r="F93" s="137">
        <v>0</v>
      </c>
      <c r="G93" s="137">
        <v>0</v>
      </c>
      <c r="H93" s="137">
        <v>0</v>
      </c>
      <c r="I93" s="137">
        <f t="shared" si="18"/>
        <v>207055</v>
      </c>
      <c r="L93" s="155"/>
    </row>
    <row r="94" spans="1:12" s="153" customFormat="1" ht="42.75" customHeight="1" x14ac:dyDescent="0.5">
      <c r="A94" s="128" t="s">
        <v>358</v>
      </c>
      <c r="B94" s="137">
        <v>0</v>
      </c>
      <c r="C94" s="137">
        <f>-BPM!H52</f>
        <v>-207055</v>
      </c>
      <c r="D94" s="137">
        <v>0</v>
      </c>
      <c r="E94" s="137">
        <v>0</v>
      </c>
      <c r="F94" s="137">
        <v>0</v>
      </c>
      <c r="G94" s="137">
        <v>0</v>
      </c>
      <c r="H94" s="137">
        <v>0</v>
      </c>
      <c r="I94" s="137">
        <f t="shared" si="18"/>
        <v>-207055</v>
      </c>
      <c r="L94" s="155"/>
    </row>
    <row r="95" spans="1:12" s="153" customFormat="1" ht="42.75" customHeight="1" x14ac:dyDescent="0.5">
      <c r="A95" s="128" t="s">
        <v>420</v>
      </c>
      <c r="B95" s="137">
        <f>'CNT (from FS Analysis)'!N252</f>
        <v>37377.94</v>
      </c>
      <c r="C95" s="137">
        <f>-BPM!H53</f>
        <v>-37377.94</v>
      </c>
      <c r="D95" s="137">
        <v>0</v>
      </c>
      <c r="E95" s="137">
        <v>0</v>
      </c>
      <c r="F95" s="137">
        <v>0</v>
      </c>
      <c r="G95" s="137">
        <v>0</v>
      </c>
      <c r="H95" s="137">
        <v>0</v>
      </c>
      <c r="I95" s="137">
        <f t="shared" si="18"/>
        <v>0</v>
      </c>
      <c r="L95" s="155"/>
    </row>
    <row r="96" spans="1:12" s="153" customFormat="1" ht="42.75" customHeight="1" x14ac:dyDescent="0.5">
      <c r="A96" s="128" t="s">
        <v>301</v>
      </c>
      <c r="B96" s="137">
        <f>'CNT (from FS Analysis)'!N253</f>
        <v>89465</v>
      </c>
      <c r="C96" s="137">
        <v>0</v>
      </c>
      <c r="D96" s="137">
        <v>0</v>
      </c>
      <c r="E96" s="137">
        <v>0</v>
      </c>
      <c r="F96" s="137">
        <v>0</v>
      </c>
      <c r="G96" s="137">
        <v>0</v>
      </c>
      <c r="H96" s="137">
        <v>0</v>
      </c>
      <c r="I96" s="137">
        <f t="shared" si="18"/>
        <v>89465</v>
      </c>
      <c r="L96" s="155"/>
    </row>
    <row r="97" spans="1:12" s="153" customFormat="1" ht="42.75" customHeight="1" x14ac:dyDescent="0.5">
      <c r="A97" s="128" t="s">
        <v>302</v>
      </c>
      <c r="B97" s="137">
        <f>'CNT (from FS Analysis)'!N254</f>
        <v>137162.19</v>
      </c>
      <c r="C97" s="137">
        <f>-BPM!H54</f>
        <v>6253.0599999999995</v>
      </c>
      <c r="D97" s="137">
        <f>DEP!H72</f>
        <v>15457.72</v>
      </c>
      <c r="E97" s="137">
        <f>Lending!H14</f>
        <v>21448.98</v>
      </c>
      <c r="F97" s="137">
        <v>0</v>
      </c>
      <c r="G97" s="137">
        <f>'Oliari Co.'!H24</f>
        <v>21880.090000000004</v>
      </c>
      <c r="H97" s="137">
        <v>0</v>
      </c>
      <c r="I97" s="137">
        <f t="shared" si="18"/>
        <v>202202.04</v>
      </c>
      <c r="L97" s="155"/>
    </row>
    <row r="98" spans="1:12" s="153" customFormat="1" ht="42.75" customHeight="1" x14ac:dyDescent="0.5">
      <c r="A98" s="128" t="s">
        <v>303</v>
      </c>
      <c r="B98" s="137">
        <f>'CNT (from FS Analysis)'!N255</f>
        <v>-92778.459999999992</v>
      </c>
      <c r="C98" s="137">
        <v>0</v>
      </c>
      <c r="D98" s="137">
        <v>0</v>
      </c>
      <c r="E98" s="137">
        <f>Lending!H15</f>
        <v>-3334.5099999999998</v>
      </c>
      <c r="F98" s="137">
        <f>'BSC (Dome)'!H78+'BSC (Dome)'!H79</f>
        <v>-58232.350000000006</v>
      </c>
      <c r="G98" s="137">
        <f>'Oliari Co.'!H25</f>
        <v>-5165.58</v>
      </c>
      <c r="H98" s="137">
        <v>0</v>
      </c>
      <c r="I98" s="137">
        <f t="shared" si="18"/>
        <v>-159510.9</v>
      </c>
      <c r="L98" s="155"/>
    </row>
    <row r="99" spans="1:12" s="153" customFormat="1" ht="42.75" customHeight="1" x14ac:dyDescent="0.5">
      <c r="A99" s="128" t="s">
        <v>304</v>
      </c>
      <c r="B99" s="137">
        <f>'CNT (from FS Analysis)'!N256</f>
        <v>49.6</v>
      </c>
      <c r="C99" s="137">
        <v>0</v>
      </c>
      <c r="D99" s="137">
        <v>0</v>
      </c>
      <c r="E99" s="137"/>
      <c r="F99" s="137">
        <f>'BSC (Dome)'!H77</f>
        <v>1833.08</v>
      </c>
      <c r="G99" s="137">
        <f>'Oliari Co.'!H23</f>
        <v>1.01</v>
      </c>
      <c r="H99" s="137">
        <v>0</v>
      </c>
      <c r="I99" s="137">
        <f t="shared" si="18"/>
        <v>1883.6899999999998</v>
      </c>
      <c r="L99" s="155"/>
    </row>
    <row r="100" spans="1:12" s="153" customFormat="1" ht="42.75" customHeight="1" x14ac:dyDescent="0.5">
      <c r="A100" s="128" t="s">
        <v>435</v>
      </c>
      <c r="B100" s="137">
        <f>'CNT (from FS Analysis)'!N257</f>
        <v>4337.95</v>
      </c>
      <c r="C100" s="137">
        <v>0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137">
        <f t="shared" si="18"/>
        <v>4337.95</v>
      </c>
      <c r="L100" s="155"/>
    </row>
    <row r="101" spans="1:12" s="153" customFormat="1" ht="42.75" customHeight="1" x14ac:dyDescent="0.5">
      <c r="A101" s="128" t="s">
        <v>480</v>
      </c>
      <c r="B101" s="137">
        <f>'CNT (from FS Analysis)'!N258</f>
        <v>944.87</v>
      </c>
      <c r="C101" s="137">
        <v>0</v>
      </c>
      <c r="D101" s="137">
        <v>0</v>
      </c>
      <c r="E101" s="137">
        <v>0</v>
      </c>
      <c r="F101" s="137">
        <v>0</v>
      </c>
      <c r="G101" s="137">
        <v>0</v>
      </c>
      <c r="H101" s="137">
        <v>0</v>
      </c>
      <c r="I101" s="137">
        <f t="shared" si="18"/>
        <v>944.87</v>
      </c>
      <c r="L101" s="155"/>
    </row>
    <row r="102" spans="1:12" s="153" customFormat="1" ht="42.75" customHeight="1" x14ac:dyDescent="0.5">
      <c r="A102" s="128" t="s">
        <v>481</v>
      </c>
      <c r="B102" s="137">
        <f>'CNT (from FS Analysis)'!N260</f>
        <v>2495.6</v>
      </c>
      <c r="C102" s="137">
        <v>0</v>
      </c>
      <c r="D102" s="137">
        <v>0</v>
      </c>
      <c r="E102" s="137">
        <v>0</v>
      </c>
      <c r="F102" s="137">
        <v>0</v>
      </c>
      <c r="G102" s="137">
        <v>0</v>
      </c>
      <c r="H102" s="137">
        <v>0</v>
      </c>
      <c r="I102" s="137">
        <f t="shared" si="18"/>
        <v>2495.6</v>
      </c>
      <c r="L102" s="155"/>
    </row>
    <row r="103" spans="1:12" s="153" customFormat="1" ht="42.75" customHeight="1" x14ac:dyDescent="0.5">
      <c r="A103" s="128" t="s">
        <v>436</v>
      </c>
      <c r="B103" s="137">
        <f>'CNT (from FS Analysis)'!N259</f>
        <v>15739.6</v>
      </c>
      <c r="C103" s="137">
        <v>0</v>
      </c>
      <c r="D103" s="137">
        <v>0</v>
      </c>
      <c r="E103" s="137">
        <v>0</v>
      </c>
      <c r="F103" s="137">
        <v>0</v>
      </c>
      <c r="G103" s="137">
        <v>0</v>
      </c>
      <c r="H103" s="137">
        <v>0</v>
      </c>
      <c r="I103" s="137">
        <f t="shared" si="18"/>
        <v>15739.6</v>
      </c>
      <c r="L103" s="155"/>
    </row>
    <row r="104" spans="1:12" s="153" customFormat="1" ht="42.75" customHeight="1" x14ac:dyDescent="0.5">
      <c r="A104" s="135" t="s">
        <v>486</v>
      </c>
      <c r="B104" s="141">
        <f t="shared" ref="B104:I104" si="19">SUM(B92:B103)</f>
        <v>476849.29</v>
      </c>
      <c r="C104" s="141">
        <f t="shared" si="19"/>
        <v>-238179.88</v>
      </c>
      <c r="D104" s="141">
        <f t="shared" si="19"/>
        <v>90457.72</v>
      </c>
      <c r="E104" s="141">
        <f t="shared" si="19"/>
        <v>18114.47</v>
      </c>
      <c r="F104" s="141">
        <f t="shared" si="19"/>
        <v>-22399.270000000004</v>
      </c>
      <c r="G104" s="141">
        <f t="shared" si="19"/>
        <v>122915.51999999999</v>
      </c>
      <c r="H104" s="141">
        <f t="shared" si="19"/>
        <v>0</v>
      </c>
      <c r="I104" s="141">
        <f t="shared" si="19"/>
        <v>447757.85</v>
      </c>
      <c r="L104" s="155"/>
    </row>
    <row r="105" spans="1:12" s="153" customFormat="1" ht="42.75" customHeight="1" x14ac:dyDescent="0.5">
      <c r="A105" s="135"/>
      <c r="B105" s="137"/>
      <c r="C105" s="137"/>
      <c r="D105" s="137"/>
      <c r="E105" s="137"/>
      <c r="F105" s="137"/>
      <c r="G105" s="137"/>
      <c r="H105" s="137"/>
      <c r="I105" s="137">
        <f>SUM(B105:F105)</f>
        <v>0</v>
      </c>
      <c r="L105" s="155"/>
    </row>
    <row r="106" spans="1:12" s="153" customFormat="1" ht="42.75" customHeight="1" thickBot="1" x14ac:dyDescent="0.55000000000000004">
      <c r="A106" s="135" t="s">
        <v>298</v>
      </c>
      <c r="B106" s="151">
        <f t="shared" ref="B106:H106" si="20">B27-B89+B104</f>
        <v>-43518.600001239742</v>
      </c>
      <c r="C106" s="151">
        <f t="shared" si="20"/>
        <v>252410.66999999434</v>
      </c>
      <c r="D106" s="151">
        <f t="shared" si="20"/>
        <v>387722.48</v>
      </c>
      <c r="E106" s="151">
        <f t="shared" si="20"/>
        <v>13958.53</v>
      </c>
      <c r="F106" s="151">
        <f t="shared" si="20"/>
        <v>60034.920000000115</v>
      </c>
      <c r="G106" s="151">
        <f t="shared" si="20"/>
        <v>65297.89999999998</v>
      </c>
      <c r="H106" s="151">
        <f t="shared" si="20"/>
        <v>-89199.19</v>
      </c>
      <c r="I106" s="151">
        <f>SUM(B106:H106)</f>
        <v>646706.70999875478</v>
      </c>
      <c r="L106" s="155"/>
    </row>
    <row r="107" spans="1:12" ht="15.75" thickTop="1" x14ac:dyDescent="0.25">
      <c r="B107" s="124"/>
      <c r="C107" s="124"/>
      <c r="D107" s="124"/>
      <c r="E107" s="124"/>
      <c r="F107" s="124"/>
      <c r="G107" s="124"/>
      <c r="H107" s="124"/>
      <c r="I107" s="124"/>
    </row>
    <row r="109" spans="1:12" x14ac:dyDescent="0.25">
      <c r="A109" t="s">
        <v>363</v>
      </c>
      <c r="B109" s="122">
        <v>-43518.6</v>
      </c>
      <c r="C109" s="175">
        <v>252410.67</v>
      </c>
      <c r="D109" s="175">
        <v>387722.48</v>
      </c>
      <c r="E109" s="175">
        <v>13958.53</v>
      </c>
      <c r="F109" s="175">
        <v>60034.92</v>
      </c>
      <c r="G109" s="175">
        <v>65297.9</v>
      </c>
      <c r="H109" s="175">
        <v>-89199.19</v>
      </c>
      <c r="I109" s="124">
        <f>SUM(B109:H109)</f>
        <v>646706.7100000002</v>
      </c>
    </row>
    <row r="110" spans="1:12" x14ac:dyDescent="0.25">
      <c r="B110" s="122">
        <f>B106-B109</f>
        <v>-1.2397431419230998E-6</v>
      </c>
      <c r="C110" s="175">
        <f t="shared" ref="C110:D110" si="21">C106-C109</f>
        <v>-5.6752469390630722E-9</v>
      </c>
      <c r="D110" s="175">
        <f t="shared" si="21"/>
        <v>0</v>
      </c>
      <c r="E110" s="175">
        <f>E106-E109</f>
        <v>0</v>
      </c>
      <c r="F110" s="175">
        <f>F106-F109</f>
        <v>1.1641532182693481E-10</v>
      </c>
      <c r="G110" s="175">
        <f>G106-G109</f>
        <v>0</v>
      </c>
      <c r="H110" s="175">
        <f>H106-H109</f>
        <v>0</v>
      </c>
      <c r="I110" s="122">
        <f>I106-I109</f>
        <v>-1.2454111129045486E-6</v>
      </c>
    </row>
    <row r="111" spans="1:12" x14ac:dyDescent="0.25">
      <c r="B111" s="122"/>
      <c r="C111" s="122"/>
      <c r="D111" s="122"/>
      <c r="E111" s="122"/>
      <c r="I111" s="124"/>
    </row>
    <row r="112" spans="1:12" x14ac:dyDescent="0.25">
      <c r="B112" s="122"/>
      <c r="C112" s="122"/>
      <c r="D112" s="122"/>
      <c r="E112" s="122"/>
    </row>
    <row r="113" spans="2:5" x14ac:dyDescent="0.25">
      <c r="B113" s="122"/>
      <c r="C113" s="122"/>
      <c r="D113" s="122"/>
      <c r="E113" s="122"/>
    </row>
    <row r="114" spans="2:5" x14ac:dyDescent="0.25">
      <c r="B114" s="122"/>
      <c r="C114" s="122"/>
      <c r="D114" s="122"/>
      <c r="E114" s="122"/>
    </row>
    <row r="115" spans="2:5" x14ac:dyDescent="0.25">
      <c r="B115" s="122"/>
      <c r="C115" s="122"/>
      <c r="D115" s="122"/>
      <c r="E115" s="122"/>
    </row>
    <row r="116" spans="2:5" x14ac:dyDescent="0.25">
      <c r="B116" s="122"/>
      <c r="C116" s="122"/>
      <c r="D116" s="122"/>
      <c r="E116" s="122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8" orientation="portrait" r:id="rId1"/>
  <headerFooter>
    <oddFooter>&amp;C&amp;24Page &amp;P of &amp;N</oddFooter>
  </headerFooter>
  <rowBreaks count="2" manualBreakCount="2">
    <brk id="28" max="6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862CA-8293-41C2-8C02-2E6A580214FE}">
  <dimension ref="A1:AF47"/>
  <sheetViews>
    <sheetView view="pageBreakPreview" topLeftCell="O1" zoomScale="60" zoomScaleNormal="50" workbookViewId="0">
      <pane ySplit="18" topLeftCell="A25" activePane="bottomLeft" state="frozen"/>
      <selection activeCell="A16" sqref="A16"/>
      <selection pane="bottomLeft" activeCell="AF35" sqref="AF35"/>
    </sheetView>
  </sheetViews>
  <sheetFormatPr defaultRowHeight="15" x14ac:dyDescent="0.25"/>
  <cols>
    <col min="1" max="1" width="82.42578125" bestFit="1" customWidth="1"/>
    <col min="2" max="2" width="39.42578125" style="120" bestFit="1" customWidth="1"/>
    <col min="3" max="3" width="33.28515625" style="120" bestFit="1" customWidth="1"/>
    <col min="4" max="4" width="29.5703125" style="120" bestFit="1" customWidth="1"/>
    <col min="5" max="5" width="24.42578125" style="120" bestFit="1" customWidth="1"/>
    <col min="6" max="6" width="27.5703125" style="120" bestFit="1" customWidth="1"/>
    <col min="7" max="8" width="26.140625" style="120" bestFit="1" customWidth="1"/>
    <col min="9" max="9" width="38.140625" style="120" bestFit="1" customWidth="1"/>
    <col min="10" max="10" width="11.42578125" style="120" customWidth="1"/>
    <col min="11" max="11" width="82.42578125" style="120" bestFit="1" customWidth="1"/>
    <col min="12" max="12" width="38.140625" style="120" bestFit="1" customWidth="1"/>
    <col min="13" max="13" width="33.28515625" style="120" bestFit="1" customWidth="1"/>
    <col min="14" max="14" width="29.5703125" style="120" bestFit="1" customWidth="1"/>
    <col min="15" max="15" width="24.7109375" style="120" customWidth="1"/>
    <col min="16" max="18" width="27" style="120" bestFit="1" customWidth="1"/>
    <col min="19" max="19" width="38.140625" style="120" bestFit="1" customWidth="1"/>
    <col min="20" max="20" width="11.28515625" style="120" customWidth="1"/>
    <col min="21" max="21" width="68" style="120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83" bestFit="1" customWidth="1"/>
    <col min="28" max="28" width="4.28515625" style="83" customWidth="1"/>
    <col min="29" max="29" width="21.140625" style="114" bestFit="1" customWidth="1"/>
    <col min="30" max="30" width="4.28515625" style="83" customWidth="1"/>
    <col min="31" max="31" width="23" style="114" bestFit="1" customWidth="1"/>
  </cols>
  <sheetData>
    <row r="1" spans="1:31" ht="24.95" customHeight="1" x14ac:dyDescent="0.25">
      <c r="A1" s="238" t="s">
        <v>445</v>
      </c>
      <c r="B1" s="238"/>
      <c r="C1" s="238"/>
      <c r="D1" s="238"/>
      <c r="E1" s="238"/>
      <c r="F1" s="238"/>
      <c r="G1" s="238"/>
      <c r="H1" s="238"/>
      <c r="I1" s="238"/>
    </row>
    <row r="2" spans="1:31" ht="24.95" customHeight="1" x14ac:dyDescent="0.25">
      <c r="A2" s="238"/>
      <c r="B2" s="238"/>
      <c r="C2" s="238"/>
      <c r="D2" s="238"/>
      <c r="E2" s="238"/>
      <c r="F2" s="238"/>
      <c r="G2" s="238"/>
      <c r="H2" s="238"/>
      <c r="I2" s="238"/>
    </row>
    <row r="3" spans="1:31" ht="24.95" customHeight="1" x14ac:dyDescent="0.25">
      <c r="A3" s="238"/>
      <c r="B3" s="238"/>
      <c r="C3" s="238"/>
      <c r="D3" s="238"/>
      <c r="E3" s="238"/>
      <c r="F3" s="238"/>
      <c r="G3" s="238"/>
      <c r="H3" s="238"/>
      <c r="I3" s="238"/>
    </row>
    <row r="4" spans="1:31" ht="24.95" customHeight="1" x14ac:dyDescent="0.25">
      <c r="A4" s="238"/>
      <c r="B4" s="238"/>
      <c r="C4" s="238"/>
      <c r="D4" s="238"/>
      <c r="E4" s="238"/>
      <c r="F4" s="238"/>
      <c r="G4" s="238"/>
      <c r="H4" s="238"/>
      <c r="I4" s="238"/>
    </row>
    <row r="5" spans="1:31" x14ac:dyDescent="0.25">
      <c r="A5" s="238"/>
      <c r="B5" s="238"/>
      <c r="C5" s="238"/>
      <c r="D5" s="238"/>
      <c r="E5" s="238"/>
      <c r="F5" s="238"/>
      <c r="G5" s="238"/>
      <c r="H5" s="238"/>
      <c r="I5" s="238"/>
    </row>
    <row r="6" spans="1:31" ht="40.5" customHeight="1" x14ac:dyDescent="0.7">
      <c r="A6" s="239" t="s">
        <v>379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</row>
    <row r="7" spans="1:31" ht="40.5" customHeight="1" x14ac:dyDescent="0.7">
      <c r="A7" s="239" t="s">
        <v>454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</row>
    <row r="8" spans="1:31" ht="14.25" customHeight="1" thickBot="1" x14ac:dyDescent="0.3"/>
    <row r="9" spans="1:31" s="119" customFormat="1" ht="55.5" customHeight="1" x14ac:dyDescent="0.7">
      <c r="A9" s="240">
        <v>2018</v>
      </c>
      <c r="B9" s="241"/>
      <c r="C9" s="241"/>
      <c r="D9" s="241"/>
      <c r="E9" s="241"/>
      <c r="F9" s="241"/>
      <c r="G9" s="241"/>
      <c r="H9" s="241"/>
      <c r="I9" s="242"/>
      <c r="J9" s="121"/>
      <c r="K9" s="240">
        <v>2017</v>
      </c>
      <c r="L9" s="241"/>
      <c r="M9" s="241"/>
      <c r="N9" s="241"/>
      <c r="O9" s="241"/>
      <c r="P9" s="241"/>
      <c r="Q9" s="241"/>
      <c r="R9" s="241"/>
      <c r="S9" s="242"/>
      <c r="T9" s="163"/>
      <c r="U9" s="243" t="s">
        <v>438</v>
      </c>
      <c r="V9" s="244"/>
      <c r="W9" s="244"/>
      <c r="X9" s="244"/>
      <c r="Y9" s="244"/>
      <c r="Z9" s="244"/>
      <c r="AA9" s="244"/>
      <c r="AB9" s="244"/>
      <c r="AC9" s="244"/>
      <c r="AD9" s="244"/>
      <c r="AE9" s="245"/>
    </row>
    <row r="10" spans="1:31" s="119" customFormat="1" ht="30" customHeight="1" x14ac:dyDescent="0.5">
      <c r="A10" s="252" t="s">
        <v>439</v>
      </c>
      <c r="B10" s="253"/>
      <c r="C10" s="253"/>
      <c r="D10" s="253"/>
      <c r="E10" s="253"/>
      <c r="F10" s="253"/>
      <c r="G10" s="253"/>
      <c r="H10" s="253"/>
      <c r="I10" s="254"/>
      <c r="J10" s="121"/>
      <c r="K10" s="252" t="s">
        <v>439</v>
      </c>
      <c r="L10" s="253"/>
      <c r="M10" s="253"/>
      <c r="N10" s="253"/>
      <c r="O10" s="253"/>
      <c r="P10" s="253"/>
      <c r="Q10" s="253"/>
      <c r="R10" s="253"/>
      <c r="S10" s="254"/>
      <c r="T10" s="162"/>
      <c r="U10" s="246"/>
      <c r="V10" s="247"/>
      <c r="W10" s="247"/>
      <c r="X10" s="247"/>
      <c r="Y10" s="247"/>
      <c r="Z10" s="247"/>
      <c r="AA10" s="247"/>
      <c r="AB10" s="247"/>
      <c r="AC10" s="247"/>
      <c r="AD10" s="247"/>
      <c r="AE10" s="248"/>
    </row>
    <row r="11" spans="1:31" s="119" customFormat="1" ht="30" customHeight="1" x14ac:dyDescent="0.5">
      <c r="A11" s="252" t="s">
        <v>378</v>
      </c>
      <c r="B11" s="253"/>
      <c r="C11" s="253"/>
      <c r="D11" s="253"/>
      <c r="E11" s="253"/>
      <c r="F11" s="253"/>
      <c r="G11" s="253"/>
      <c r="H11" s="253"/>
      <c r="I11" s="254"/>
      <c r="J11" s="121"/>
      <c r="K11" s="252" t="s">
        <v>378</v>
      </c>
      <c r="L11" s="253"/>
      <c r="M11" s="253"/>
      <c r="N11" s="253"/>
      <c r="O11" s="253"/>
      <c r="P11" s="253"/>
      <c r="Q11" s="253"/>
      <c r="R11" s="253"/>
      <c r="S11" s="254"/>
      <c r="T11" s="162"/>
      <c r="U11" s="246"/>
      <c r="V11" s="247"/>
      <c r="W11" s="247"/>
      <c r="X11" s="247"/>
      <c r="Y11" s="247"/>
      <c r="Z11" s="247"/>
      <c r="AA11" s="247"/>
      <c r="AB11" s="247"/>
      <c r="AC11" s="247"/>
      <c r="AD11" s="247"/>
      <c r="AE11" s="248"/>
    </row>
    <row r="12" spans="1:31" s="119" customFormat="1" ht="30" customHeight="1" thickBot="1" x14ac:dyDescent="0.55000000000000004">
      <c r="A12" s="235">
        <v>43281</v>
      </c>
      <c r="B12" s="236"/>
      <c r="C12" s="236"/>
      <c r="D12" s="236"/>
      <c r="E12" s="236"/>
      <c r="F12" s="236"/>
      <c r="G12" s="236"/>
      <c r="H12" s="236"/>
      <c r="I12" s="237"/>
      <c r="J12" s="121"/>
      <c r="K12" s="235">
        <v>42916</v>
      </c>
      <c r="L12" s="236"/>
      <c r="M12" s="236"/>
      <c r="N12" s="236"/>
      <c r="O12" s="236"/>
      <c r="P12" s="236"/>
      <c r="Q12" s="236"/>
      <c r="R12" s="236"/>
      <c r="S12" s="237"/>
      <c r="T12" s="162"/>
      <c r="U12" s="249"/>
      <c r="V12" s="250"/>
      <c r="W12" s="250"/>
      <c r="X12" s="250"/>
      <c r="Y12" s="250"/>
      <c r="Z12" s="250"/>
      <c r="AA12" s="250"/>
      <c r="AB12" s="250"/>
      <c r="AC12" s="250"/>
      <c r="AD12" s="250"/>
      <c r="AE12" s="251"/>
    </row>
    <row r="13" spans="1:31" s="128" customFormat="1" ht="24.75" customHeight="1" x14ac:dyDescent="0.5">
      <c r="A13" s="125"/>
      <c r="B13" s="126"/>
      <c r="C13" s="126"/>
      <c r="D13" s="126"/>
      <c r="E13" s="126"/>
      <c r="F13" s="126"/>
      <c r="G13" s="126"/>
      <c r="H13" s="126"/>
      <c r="I13" s="126"/>
      <c r="J13" s="127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W13" s="129"/>
      <c r="Y13" s="129"/>
      <c r="AA13" s="129"/>
      <c r="AB13" s="129"/>
      <c r="AC13" s="129"/>
      <c r="AD13" s="129"/>
      <c r="AE13" s="129"/>
    </row>
    <row r="14" spans="1:31" s="128" customFormat="1" ht="24.75" customHeight="1" x14ac:dyDescent="0.5">
      <c r="B14" s="127"/>
      <c r="C14" s="127"/>
      <c r="D14" s="127"/>
      <c r="E14" s="127"/>
      <c r="F14" s="127"/>
      <c r="G14" s="127"/>
      <c r="H14" s="127"/>
      <c r="I14" s="127"/>
      <c r="J14" s="126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25"/>
      <c r="W14" s="131"/>
      <c r="X14" s="125"/>
      <c r="Y14" s="131"/>
      <c r="Z14" s="125"/>
      <c r="AA14" s="131"/>
      <c r="AB14" s="131"/>
      <c r="AC14" s="132"/>
      <c r="AD14" s="131"/>
      <c r="AE14" s="132"/>
    </row>
    <row r="15" spans="1:31" s="128" customFormat="1" ht="24.75" customHeight="1" x14ac:dyDescent="0.5">
      <c r="B15" s="127"/>
      <c r="C15" s="127"/>
      <c r="D15" s="127"/>
      <c r="E15" s="127"/>
      <c r="F15" s="127"/>
      <c r="G15" s="127"/>
      <c r="H15" s="127"/>
      <c r="I15" s="127"/>
      <c r="J15" s="126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25"/>
      <c r="W15" s="131"/>
      <c r="X15" s="125"/>
      <c r="Y15" s="131"/>
      <c r="Z15" s="125"/>
      <c r="AA15" s="131"/>
      <c r="AB15" s="131"/>
      <c r="AC15" s="125" t="s">
        <v>372</v>
      </c>
      <c r="AD15" s="131"/>
      <c r="AE15" s="132"/>
    </row>
    <row r="16" spans="1:31" s="128" customFormat="1" ht="24.75" customHeight="1" x14ac:dyDescent="0.5">
      <c r="B16" s="127"/>
      <c r="C16" s="127"/>
      <c r="D16" s="127"/>
      <c r="E16" s="127"/>
      <c r="F16" s="127"/>
      <c r="G16" s="127"/>
      <c r="H16" s="127"/>
      <c r="I16" s="127"/>
      <c r="J16" s="126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5"/>
      <c r="W16" s="125"/>
      <c r="X16" s="125"/>
      <c r="Y16" s="125"/>
      <c r="Z16" s="125"/>
      <c r="AA16" s="125" t="s">
        <v>372</v>
      </c>
      <c r="AB16" s="162"/>
      <c r="AC16" s="132" t="s">
        <v>375</v>
      </c>
      <c r="AD16" s="125"/>
      <c r="AE16" s="125" t="s">
        <v>374</v>
      </c>
    </row>
    <row r="17" spans="1:31" s="128" customFormat="1" ht="24.75" customHeight="1" x14ac:dyDescent="0.5">
      <c r="B17" s="127"/>
      <c r="C17" s="127"/>
      <c r="D17" s="127"/>
      <c r="E17" s="127"/>
      <c r="F17" s="127"/>
      <c r="G17" s="127"/>
      <c r="H17" s="127"/>
      <c r="I17" s="126" t="s">
        <v>216</v>
      </c>
      <c r="J17" s="126"/>
      <c r="K17" s="127"/>
      <c r="L17" s="127"/>
      <c r="M17" s="127"/>
      <c r="N17" s="127"/>
      <c r="O17" s="127"/>
      <c r="P17" s="127"/>
      <c r="Q17" s="127"/>
      <c r="R17" s="127"/>
      <c r="S17" s="126" t="s">
        <v>216</v>
      </c>
      <c r="T17" s="126"/>
      <c r="U17" s="127"/>
      <c r="V17" s="125"/>
      <c r="W17" s="125">
        <v>2018</v>
      </c>
      <c r="X17" s="125"/>
      <c r="Y17" s="125">
        <v>2017</v>
      </c>
      <c r="Z17" s="125"/>
      <c r="AA17" s="125" t="s">
        <v>373</v>
      </c>
      <c r="AB17" s="162"/>
      <c r="AC17" s="125" t="s">
        <v>373</v>
      </c>
      <c r="AD17" s="125"/>
      <c r="AE17" s="125" t="s">
        <v>376</v>
      </c>
    </row>
    <row r="18" spans="1:31" s="128" customFormat="1" ht="24.75" customHeight="1" x14ac:dyDescent="0.5">
      <c r="B18" s="133" t="s">
        <v>242</v>
      </c>
      <c r="C18" s="133" t="s">
        <v>244</v>
      </c>
      <c r="D18" s="133" t="s">
        <v>243</v>
      </c>
      <c r="E18" s="133" t="s">
        <v>245</v>
      </c>
      <c r="F18" s="133" t="s">
        <v>246</v>
      </c>
      <c r="G18" s="133" t="s">
        <v>440</v>
      </c>
      <c r="H18" s="133" t="s">
        <v>452</v>
      </c>
      <c r="I18" s="133">
        <v>2018</v>
      </c>
      <c r="J18" s="134"/>
      <c r="K18" s="127"/>
      <c r="L18" s="133" t="s">
        <v>242</v>
      </c>
      <c r="M18" s="133" t="s">
        <v>244</v>
      </c>
      <c r="N18" s="133" t="s">
        <v>243</v>
      </c>
      <c r="O18" s="133" t="s">
        <v>245</v>
      </c>
      <c r="P18" s="133" t="s">
        <v>246</v>
      </c>
      <c r="Q18" s="133" t="s">
        <v>440</v>
      </c>
      <c r="R18" s="133" t="s">
        <v>452</v>
      </c>
      <c r="S18" s="133">
        <v>2017</v>
      </c>
      <c r="T18" s="134"/>
      <c r="U18" s="127"/>
      <c r="V18" s="134"/>
      <c r="W18" s="161"/>
      <c r="X18" s="134"/>
      <c r="Y18" s="161"/>
      <c r="Z18" s="134"/>
      <c r="AA18" s="161" t="s">
        <v>370</v>
      </c>
      <c r="AB18" s="162"/>
      <c r="AC18" s="161" t="s">
        <v>371</v>
      </c>
      <c r="AD18" s="161"/>
      <c r="AE18" s="161" t="s">
        <v>371</v>
      </c>
    </row>
    <row r="19" spans="1:31" s="128" customFormat="1" ht="30" customHeight="1" x14ac:dyDescent="0.5">
      <c r="A19" s="135" t="s">
        <v>62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36" t="s">
        <v>62</v>
      </c>
      <c r="L19" s="127"/>
      <c r="M19" s="127"/>
      <c r="N19" s="127"/>
      <c r="O19" s="127"/>
      <c r="P19" s="127"/>
      <c r="Q19" s="127"/>
      <c r="R19" s="127"/>
      <c r="S19" s="127"/>
      <c r="T19" s="127"/>
      <c r="U19" s="136" t="s">
        <v>62</v>
      </c>
      <c r="AB19" s="166"/>
      <c r="AC19" s="132"/>
      <c r="AE19" s="132"/>
    </row>
    <row r="20" spans="1:31" s="128" customFormat="1" ht="30" customHeight="1" x14ac:dyDescent="0.5">
      <c r="A20" s="128" t="s">
        <v>443</v>
      </c>
      <c r="B20" s="137">
        <f>'Comparative YTD 2018-2017 June'!B23</f>
        <v>3034497070.6399994</v>
      </c>
      <c r="C20" s="137">
        <f>'Comparative YTD 2018-2017 June'!C23</f>
        <v>41688122.819999993</v>
      </c>
      <c r="D20" s="137">
        <f>'Comparative YTD 2018-2017 June'!D23</f>
        <v>1137613.95</v>
      </c>
      <c r="E20" s="137">
        <f>'Comparative YTD 2018-2017 June'!E23</f>
        <v>0</v>
      </c>
      <c r="F20" s="137">
        <f>'Comparative YTD 2018-2017 June'!F23</f>
        <v>519685.24000000005</v>
      </c>
      <c r="G20" s="137">
        <f>'Comparative YTD 2018-2017 June'!G23</f>
        <v>0</v>
      </c>
      <c r="H20" s="137">
        <f>'Comparative YTD 2018-2017 June'!H23</f>
        <v>0</v>
      </c>
      <c r="I20" s="137">
        <f>SUM(B20:H20)</f>
        <v>3077842492.6499991</v>
      </c>
      <c r="J20" s="138"/>
      <c r="K20" s="128" t="s">
        <v>443</v>
      </c>
      <c r="L20" s="137">
        <f>'Comparative YTD 2018-2017 June'!M23</f>
        <v>2109918520.1200001</v>
      </c>
      <c r="M20" s="137">
        <f>'Comparative YTD 2018-2017 June'!N23</f>
        <v>25978862.800000001</v>
      </c>
      <c r="N20" s="137">
        <f>'Comparative YTD 2018-2017 June'!O23</f>
        <v>1068230.2</v>
      </c>
      <c r="O20" s="137">
        <f>'Comparative YTD 2018-2017 June'!P23</f>
        <v>0</v>
      </c>
      <c r="P20" s="137">
        <f>'Comparative YTD 2018-2017 June'!Q23</f>
        <v>544184.95000000007</v>
      </c>
      <c r="Q20" s="137">
        <f>'Comparative YTD 2018-2017 June'!R23</f>
        <v>0</v>
      </c>
      <c r="R20" s="137">
        <f>'Comparative YTD 2018-2017 June'!S23</f>
        <v>0</v>
      </c>
      <c r="S20" s="137">
        <f>SUM(L20:R20)</f>
        <v>2137509798.0700002</v>
      </c>
      <c r="T20" s="137"/>
      <c r="U20" s="128" t="s">
        <v>443</v>
      </c>
      <c r="V20" s="139"/>
      <c r="W20" s="140">
        <f>I20</f>
        <v>3077842492.6499991</v>
      </c>
      <c r="X20" s="139"/>
      <c r="Y20" s="140">
        <f t="shared" ref="Y20:Y27" si="0">S20</f>
        <v>2137509798.0700002</v>
      </c>
      <c r="Z20" s="139"/>
      <c r="AA20" s="140">
        <f>I20-S20</f>
        <v>940332694.57999897</v>
      </c>
      <c r="AB20" s="167"/>
      <c r="AC20" s="139">
        <f>I20/S20</f>
        <v>1.439919711913856</v>
      </c>
      <c r="AD20" s="140"/>
      <c r="AE20" s="139">
        <f>AC20-1</f>
        <v>0.43991971191385604</v>
      </c>
    </row>
    <row r="21" spans="1:31" s="128" customFormat="1" ht="30" customHeight="1" x14ac:dyDescent="0.5">
      <c r="A21" s="135" t="s">
        <v>253</v>
      </c>
      <c r="B21" s="141">
        <f t="shared" ref="B21:H21" si="1">SUM(B20:B20)</f>
        <v>3034497070.6399994</v>
      </c>
      <c r="C21" s="141">
        <f t="shared" si="1"/>
        <v>41688122.819999993</v>
      </c>
      <c r="D21" s="141">
        <f t="shared" si="1"/>
        <v>1137613.95</v>
      </c>
      <c r="E21" s="141">
        <f t="shared" si="1"/>
        <v>0</v>
      </c>
      <c r="F21" s="141">
        <f t="shared" si="1"/>
        <v>519685.24000000005</v>
      </c>
      <c r="G21" s="141">
        <f t="shared" si="1"/>
        <v>0</v>
      </c>
      <c r="H21" s="141">
        <f t="shared" si="1"/>
        <v>0</v>
      </c>
      <c r="I21" s="141">
        <f>SUM(B21:H21)</f>
        <v>3077842492.6499991</v>
      </c>
      <c r="J21" s="142"/>
      <c r="K21" s="136" t="s">
        <v>253</v>
      </c>
      <c r="L21" s="141">
        <f>SUM(L20:L20)</f>
        <v>2109918520.1200001</v>
      </c>
      <c r="M21" s="141">
        <f t="shared" ref="M21:R21" si="2">SUM(M20:M20)</f>
        <v>25978862.800000001</v>
      </c>
      <c r="N21" s="141">
        <f t="shared" si="2"/>
        <v>1068230.2</v>
      </c>
      <c r="O21" s="141">
        <f t="shared" si="2"/>
        <v>0</v>
      </c>
      <c r="P21" s="141">
        <f t="shared" si="2"/>
        <v>544184.95000000007</v>
      </c>
      <c r="Q21" s="141">
        <f t="shared" ref="Q21" si="3">SUM(Q20:Q20)</f>
        <v>0</v>
      </c>
      <c r="R21" s="141">
        <f t="shared" si="2"/>
        <v>0</v>
      </c>
      <c r="S21" s="141">
        <f>SUM(L21:R21)</f>
        <v>2137509798.0700002</v>
      </c>
      <c r="T21" s="164"/>
      <c r="U21" s="136" t="s">
        <v>253</v>
      </c>
      <c r="V21" s="144"/>
      <c r="W21" s="145">
        <f>I21</f>
        <v>3077842492.6499991</v>
      </c>
      <c r="X21" s="144"/>
      <c r="Y21" s="145">
        <f t="shared" si="0"/>
        <v>2137509798.0700002</v>
      </c>
      <c r="Z21" s="144"/>
      <c r="AA21" s="145">
        <f>I21-S21</f>
        <v>940332694.57999897</v>
      </c>
      <c r="AB21" s="167"/>
      <c r="AC21" s="143">
        <f>I21/S21</f>
        <v>1.439919711913856</v>
      </c>
      <c r="AD21" s="145"/>
      <c r="AE21" s="143">
        <f t="shared" ref="AE21:AE27" si="4">AC21-1</f>
        <v>0.43991971191385604</v>
      </c>
    </row>
    <row r="22" spans="1:31" s="128" customFormat="1" ht="30" customHeight="1" x14ac:dyDescent="0.5">
      <c r="B22" s="137"/>
      <c r="C22" s="137"/>
      <c r="D22" s="137"/>
      <c r="E22" s="137"/>
      <c r="F22" s="137"/>
      <c r="G22" s="137"/>
      <c r="H22" s="137"/>
      <c r="I22" s="137">
        <f>SUM(B22:H22)</f>
        <v>0</v>
      </c>
      <c r="J22" s="127"/>
      <c r="K22" s="127"/>
      <c r="L22" s="137"/>
      <c r="M22" s="137"/>
      <c r="N22" s="137"/>
      <c r="O22" s="137"/>
      <c r="P22" s="137"/>
      <c r="Q22" s="137"/>
      <c r="R22" s="137"/>
      <c r="S22" s="137">
        <f t="shared" ref="S22:S26" si="5">SUM(L22:R22)</f>
        <v>0</v>
      </c>
      <c r="T22" s="137"/>
      <c r="U22" s="127"/>
      <c r="W22" s="140"/>
      <c r="Y22" s="140">
        <f t="shared" si="0"/>
        <v>0</v>
      </c>
      <c r="AA22" s="140"/>
      <c r="AB22" s="167"/>
      <c r="AC22" s="146"/>
      <c r="AD22" s="140"/>
      <c r="AE22" s="146"/>
    </row>
    <row r="23" spans="1:31" s="128" customFormat="1" ht="30" customHeight="1" x14ac:dyDescent="0.5">
      <c r="A23" s="135" t="s">
        <v>217</v>
      </c>
      <c r="B23" s="137"/>
      <c r="C23" s="137"/>
      <c r="D23" s="137"/>
      <c r="E23" s="137"/>
      <c r="F23" s="137"/>
      <c r="G23" s="137"/>
      <c r="H23" s="137"/>
      <c r="I23" s="137">
        <f>SUM(B23:H23)</f>
        <v>0</v>
      </c>
      <c r="J23" s="127"/>
      <c r="K23" s="136" t="s">
        <v>217</v>
      </c>
      <c r="L23" s="137"/>
      <c r="M23" s="137"/>
      <c r="N23" s="137"/>
      <c r="O23" s="137"/>
      <c r="P23" s="137"/>
      <c r="Q23" s="137"/>
      <c r="R23" s="137"/>
      <c r="S23" s="137">
        <f t="shared" si="5"/>
        <v>0</v>
      </c>
      <c r="T23" s="137"/>
      <c r="U23" s="136" t="s">
        <v>217</v>
      </c>
      <c r="W23" s="140"/>
      <c r="Y23" s="140">
        <f t="shared" si="0"/>
        <v>0</v>
      </c>
      <c r="AA23" s="140"/>
      <c r="AB23" s="167"/>
      <c r="AC23" s="146"/>
      <c r="AD23" s="140"/>
      <c r="AE23" s="146"/>
    </row>
    <row r="24" spans="1:31" s="128" customFormat="1" ht="30" customHeight="1" x14ac:dyDescent="0.5">
      <c r="A24" s="128" t="s">
        <v>444</v>
      </c>
      <c r="B24" s="137">
        <f>'Comparative YTD 2018-2017 June'!B33</f>
        <v>3031008532.8400006</v>
      </c>
      <c r="C24" s="137">
        <f>'Comparative YTD 2018-2017 June'!C33</f>
        <v>41146173.899999999</v>
      </c>
      <c r="D24" s="137">
        <f>'Comparative YTD 2018-2017 June'!D33</f>
        <v>151861.46000000002</v>
      </c>
      <c r="E24" s="137">
        <f>'Comparative YTD 2018-2017 June'!E33</f>
        <v>0</v>
      </c>
      <c r="F24" s="137">
        <f>'Comparative YTD 2018-2017 June'!F33</f>
        <v>1648.2199999999998</v>
      </c>
      <c r="G24" s="137">
        <f>'Comparative YTD 2018-2017 June'!G33</f>
        <v>0</v>
      </c>
      <c r="H24" s="137">
        <f>'Comparative YTD 2018-2017 June'!H33</f>
        <v>0</v>
      </c>
      <c r="I24" s="137">
        <f>'Comparative YTD 2018-2017 June'!I33</f>
        <v>3072308216.4200006</v>
      </c>
      <c r="J24" s="138"/>
      <c r="K24" s="128" t="s">
        <v>444</v>
      </c>
      <c r="L24" s="137">
        <f>'Comparative YTD 2018-2017 June'!M33</f>
        <v>2107179615.1399992</v>
      </c>
      <c r="M24" s="137">
        <f>'Comparative YTD 2018-2017 June'!N33</f>
        <v>25541253.439999998</v>
      </c>
      <c r="N24" s="137">
        <f>'Comparative YTD 2018-2017 June'!O33</f>
        <v>21945.200000000001</v>
      </c>
      <c r="O24" s="137">
        <f>'Comparative YTD 2018-2017 June'!P33</f>
        <v>0</v>
      </c>
      <c r="P24" s="137">
        <f>'Comparative YTD 2018-2017 June'!Q33</f>
        <v>918.27</v>
      </c>
      <c r="Q24" s="137">
        <f>'Comparative YTD 2018-2017 June'!R33</f>
        <v>0</v>
      </c>
      <c r="R24" s="137">
        <f>'Comparative YTD 2018-2017 June'!S33</f>
        <v>0</v>
      </c>
      <c r="S24" s="137">
        <f>SUM(L24:R24)</f>
        <v>2132743732.0499992</v>
      </c>
      <c r="T24" s="137"/>
      <c r="U24" s="128" t="s">
        <v>444</v>
      </c>
      <c r="V24" s="139"/>
      <c r="W24" s="140">
        <f>I24</f>
        <v>3072308216.4200006</v>
      </c>
      <c r="X24" s="139"/>
      <c r="Y24" s="140">
        <f t="shared" si="0"/>
        <v>2132743732.0499992</v>
      </c>
      <c r="Z24" s="139"/>
      <c r="AA24" s="140">
        <f>I24-S24</f>
        <v>939564484.37000132</v>
      </c>
      <c r="AB24" s="167"/>
      <c r="AC24" s="139">
        <f>I24/S24</f>
        <v>1.4405426072765382</v>
      </c>
      <c r="AD24" s="140"/>
      <c r="AE24" s="139">
        <f t="shared" si="4"/>
        <v>0.44054260727653816</v>
      </c>
    </row>
    <row r="25" spans="1:31" s="128" customFormat="1" ht="30" customHeight="1" x14ac:dyDescent="0.5">
      <c r="A25" s="135" t="s">
        <v>254</v>
      </c>
      <c r="B25" s="141">
        <f t="shared" ref="B25:H25" si="6">SUM(B24:B24)</f>
        <v>3031008532.8400006</v>
      </c>
      <c r="C25" s="141">
        <f t="shared" si="6"/>
        <v>41146173.899999999</v>
      </c>
      <c r="D25" s="141">
        <f t="shared" si="6"/>
        <v>151861.46000000002</v>
      </c>
      <c r="E25" s="141">
        <f t="shared" si="6"/>
        <v>0</v>
      </c>
      <c r="F25" s="141">
        <f t="shared" si="6"/>
        <v>1648.2199999999998</v>
      </c>
      <c r="G25" s="141">
        <f t="shared" si="6"/>
        <v>0</v>
      </c>
      <c r="H25" s="141">
        <f t="shared" si="6"/>
        <v>0</v>
      </c>
      <c r="I25" s="141">
        <f t="shared" ref="I25:I31" si="7">SUM(B25:H25)</f>
        <v>3072308216.4200006</v>
      </c>
      <c r="J25" s="142"/>
      <c r="K25" s="136" t="s">
        <v>254</v>
      </c>
      <c r="L25" s="141">
        <f t="shared" ref="L25:R25" si="8">SUM(L24:L24)</f>
        <v>2107179615.1399992</v>
      </c>
      <c r="M25" s="141">
        <f t="shared" si="8"/>
        <v>25541253.439999998</v>
      </c>
      <c r="N25" s="141">
        <f t="shared" si="8"/>
        <v>21945.200000000001</v>
      </c>
      <c r="O25" s="141">
        <f t="shared" si="8"/>
        <v>0</v>
      </c>
      <c r="P25" s="141">
        <f t="shared" si="8"/>
        <v>918.27</v>
      </c>
      <c r="Q25" s="141">
        <f t="shared" si="8"/>
        <v>0</v>
      </c>
      <c r="R25" s="141">
        <f t="shared" si="8"/>
        <v>0</v>
      </c>
      <c r="S25" s="141">
        <f>SUM(L25:R25)</f>
        <v>2132743732.0499992</v>
      </c>
      <c r="T25" s="164"/>
      <c r="U25" s="136" t="s">
        <v>254</v>
      </c>
      <c r="V25" s="144"/>
      <c r="W25" s="145">
        <f>I25</f>
        <v>3072308216.4200006</v>
      </c>
      <c r="X25" s="144"/>
      <c r="Y25" s="145">
        <f t="shared" si="0"/>
        <v>2132743732.0499992</v>
      </c>
      <c r="Z25" s="144"/>
      <c r="AA25" s="145">
        <f>SUM(AA24:AA24)</f>
        <v>939564484.37000132</v>
      </c>
      <c r="AB25" s="167"/>
      <c r="AC25" s="143">
        <f>I25/S25</f>
        <v>1.4405426072765382</v>
      </c>
      <c r="AD25" s="145"/>
      <c r="AE25" s="143">
        <f t="shared" si="4"/>
        <v>0.44054260727653816</v>
      </c>
    </row>
    <row r="26" spans="1:31" s="128" customFormat="1" ht="30" customHeight="1" x14ac:dyDescent="0.5">
      <c r="B26" s="137"/>
      <c r="C26" s="137"/>
      <c r="D26" s="137"/>
      <c r="E26" s="137"/>
      <c r="F26" s="137"/>
      <c r="G26" s="137"/>
      <c r="H26" s="137"/>
      <c r="I26" s="137">
        <f t="shared" si="7"/>
        <v>0</v>
      </c>
      <c r="J26" s="127"/>
      <c r="K26" s="127"/>
      <c r="L26" s="137"/>
      <c r="M26" s="137"/>
      <c r="N26" s="137"/>
      <c r="O26" s="137"/>
      <c r="P26" s="137"/>
      <c r="Q26" s="137"/>
      <c r="R26" s="137"/>
      <c r="S26" s="137">
        <f t="shared" si="5"/>
        <v>0</v>
      </c>
      <c r="T26" s="137"/>
      <c r="U26" s="127"/>
      <c r="W26" s="140">
        <f>I26</f>
        <v>0</v>
      </c>
      <c r="Y26" s="140">
        <f t="shared" si="0"/>
        <v>0</v>
      </c>
      <c r="AA26" s="140"/>
      <c r="AB26" s="167"/>
      <c r="AC26" s="139"/>
      <c r="AD26" s="140"/>
      <c r="AE26" s="139"/>
    </row>
    <row r="27" spans="1:31" s="128" customFormat="1" ht="30" customHeight="1" thickBot="1" x14ac:dyDescent="0.55000000000000004">
      <c r="A27" s="135" t="s">
        <v>241</v>
      </c>
      <c r="B27" s="147">
        <f t="shared" ref="B27:H27" si="9">B21-B25</f>
        <v>3488537.7999987602</v>
      </c>
      <c r="C27" s="147">
        <f t="shared" si="9"/>
        <v>541948.91999999434</v>
      </c>
      <c r="D27" s="147">
        <f t="shared" si="9"/>
        <v>985752.49</v>
      </c>
      <c r="E27" s="147">
        <f t="shared" si="9"/>
        <v>0</v>
      </c>
      <c r="F27" s="147">
        <f t="shared" si="9"/>
        <v>518037.02000000008</v>
      </c>
      <c r="G27" s="147">
        <f t="shared" ref="G27" si="10">G21-G25</f>
        <v>0</v>
      </c>
      <c r="H27" s="147">
        <f t="shared" si="9"/>
        <v>0</v>
      </c>
      <c r="I27" s="147">
        <f t="shared" si="7"/>
        <v>5534276.2299987553</v>
      </c>
      <c r="J27" s="127"/>
      <c r="K27" s="136" t="s">
        <v>241</v>
      </c>
      <c r="L27" s="147">
        <f t="shared" ref="L27:R27" si="11">L21-L25</f>
        <v>2738904.9800009727</v>
      </c>
      <c r="M27" s="147">
        <f t="shared" si="11"/>
        <v>437609.36000000313</v>
      </c>
      <c r="N27" s="147">
        <f t="shared" si="11"/>
        <v>1046285</v>
      </c>
      <c r="O27" s="147">
        <f t="shared" si="11"/>
        <v>0</v>
      </c>
      <c r="P27" s="147">
        <f t="shared" si="11"/>
        <v>543266.68000000005</v>
      </c>
      <c r="Q27" s="147">
        <f t="shared" ref="Q27" si="12">Q21-Q25</f>
        <v>0</v>
      </c>
      <c r="R27" s="147">
        <f t="shared" si="11"/>
        <v>0</v>
      </c>
      <c r="S27" s="147">
        <f>SUM(L27:R27)</f>
        <v>4766066.0200009756</v>
      </c>
      <c r="T27" s="164"/>
      <c r="U27" s="136" t="s">
        <v>241</v>
      </c>
      <c r="W27" s="148">
        <f>I27</f>
        <v>5534276.2299987553</v>
      </c>
      <c r="Y27" s="148">
        <f t="shared" si="0"/>
        <v>4766066.0200009756</v>
      </c>
      <c r="AA27" s="148">
        <f>I27-S27</f>
        <v>768210.20999777969</v>
      </c>
      <c r="AB27" s="167"/>
      <c r="AC27" s="149">
        <f>I27/S27</f>
        <v>1.1611832917911662</v>
      </c>
      <c r="AD27" s="148"/>
      <c r="AE27" s="149">
        <f t="shared" si="4"/>
        <v>0.16118329179116619</v>
      </c>
    </row>
    <row r="28" spans="1:31" s="128" customFormat="1" ht="30" customHeight="1" x14ac:dyDescent="0.5">
      <c r="B28" s="137"/>
      <c r="C28" s="137"/>
      <c r="D28" s="137"/>
      <c r="E28" s="137"/>
      <c r="F28" s="137"/>
      <c r="G28" s="137"/>
      <c r="H28" s="137"/>
      <c r="I28" s="137">
        <f t="shared" si="7"/>
        <v>0</v>
      </c>
      <c r="J28" s="127"/>
      <c r="K28" s="127"/>
      <c r="L28" s="137"/>
      <c r="M28" s="137"/>
      <c r="N28" s="137"/>
      <c r="O28" s="137"/>
      <c r="P28" s="137"/>
      <c r="Q28" s="137"/>
      <c r="R28" s="137"/>
      <c r="S28" s="137"/>
      <c r="T28" s="137"/>
      <c r="U28" s="127"/>
      <c r="W28" s="140"/>
      <c r="Y28" s="140"/>
      <c r="AA28" s="140"/>
      <c r="AB28" s="167"/>
      <c r="AC28" s="146"/>
      <c r="AD28" s="140"/>
      <c r="AE28" s="146"/>
    </row>
    <row r="29" spans="1:31" s="128" customFormat="1" ht="30" customHeight="1" x14ac:dyDescent="0.5">
      <c r="A29" s="135" t="s">
        <v>239</v>
      </c>
      <c r="B29" s="137"/>
      <c r="C29" s="137"/>
      <c r="D29" s="137"/>
      <c r="E29" s="137"/>
      <c r="F29" s="137"/>
      <c r="G29" s="137"/>
      <c r="H29" s="137"/>
      <c r="I29" s="137">
        <f t="shared" si="7"/>
        <v>0</v>
      </c>
      <c r="J29" s="127"/>
      <c r="K29" s="136" t="s">
        <v>239</v>
      </c>
      <c r="L29" s="137"/>
      <c r="M29" s="137"/>
      <c r="N29" s="137"/>
      <c r="O29" s="137"/>
      <c r="P29" s="137"/>
      <c r="Q29" s="137"/>
      <c r="R29" s="137"/>
      <c r="S29" s="137"/>
      <c r="T29" s="137"/>
      <c r="U29" s="136" t="s">
        <v>239</v>
      </c>
      <c r="W29" s="140"/>
      <c r="Y29" s="140"/>
      <c r="AA29" s="140"/>
      <c r="AB29" s="167"/>
      <c r="AC29" s="146"/>
      <c r="AD29" s="140"/>
      <c r="AE29" s="146"/>
    </row>
    <row r="30" spans="1:31" s="128" customFormat="1" ht="30" customHeight="1" x14ac:dyDescent="0.5">
      <c r="A30" s="135" t="s">
        <v>255</v>
      </c>
      <c r="B30" s="137">
        <f>'Comparative YTD 2018-2017 June'!B49</f>
        <v>2299418.36</v>
      </c>
      <c r="C30" s="137">
        <f>'Comparative YTD 2018-2017 June'!C49</f>
        <v>0</v>
      </c>
      <c r="D30" s="137">
        <f>'Comparative YTD 2018-2017 June'!D49</f>
        <v>80654.080000000016</v>
      </c>
      <c r="E30" s="137">
        <f>'Comparative YTD 2018-2017 June'!E49</f>
        <v>0</v>
      </c>
      <c r="F30" s="137">
        <f>'Comparative YTD 2018-2017 June'!F49</f>
        <v>226082.38999999998</v>
      </c>
      <c r="G30" s="137">
        <f>'Comparative YTD 2018-2017 June'!G49</f>
        <v>0</v>
      </c>
      <c r="H30" s="137">
        <f>'Comparative YTD 2018-2017 June'!H49</f>
        <v>0</v>
      </c>
      <c r="I30" s="137">
        <f t="shared" si="7"/>
        <v>2606154.83</v>
      </c>
      <c r="J30" s="127"/>
      <c r="K30" s="136" t="s">
        <v>255</v>
      </c>
      <c r="L30" s="137">
        <f>'Comparative YTD 2018-2017 June'!M49</f>
        <v>2581464.0699999998</v>
      </c>
      <c r="M30" s="137">
        <f>'Comparative YTD 2018-2017 June'!N49</f>
        <v>0</v>
      </c>
      <c r="N30" s="137">
        <f>'Comparative YTD 2018-2017 June'!O49</f>
        <v>131326.49</v>
      </c>
      <c r="O30" s="137">
        <f>'Comparative YTD 2018-2017 June'!P49</f>
        <v>0</v>
      </c>
      <c r="P30" s="137">
        <f>'Comparative YTD 2018-2017 June'!Q49</f>
        <v>220806.95</v>
      </c>
      <c r="Q30" s="137">
        <f>'Comparative YTD 2018-2017 June'!R49</f>
        <v>0</v>
      </c>
      <c r="R30" s="137">
        <f>'Comparative YTD 2018-2017 June'!S49</f>
        <v>0</v>
      </c>
      <c r="S30" s="137">
        <f>SUM(L30:R30)</f>
        <v>2933597.51</v>
      </c>
      <c r="T30" s="137"/>
      <c r="U30" s="136" t="s">
        <v>255</v>
      </c>
      <c r="W30" s="140">
        <f>I30</f>
        <v>2606154.83</v>
      </c>
      <c r="Y30" s="140">
        <f t="shared" ref="Y30:Y37" si="13">S30</f>
        <v>2933597.51</v>
      </c>
      <c r="AA30" s="140">
        <f>I30-S30</f>
        <v>-327442.6799999997</v>
      </c>
      <c r="AB30" s="167"/>
      <c r="AC30" s="146">
        <f>I30/S30</f>
        <v>0.88838186599088032</v>
      </c>
      <c r="AD30" s="140"/>
      <c r="AE30" s="146">
        <f t="shared" ref="AE30:AE31" si="14">AC30-1</f>
        <v>-0.11161813400911968</v>
      </c>
    </row>
    <row r="31" spans="1:31" s="128" customFormat="1" ht="30" customHeight="1" x14ac:dyDescent="0.5">
      <c r="A31" s="135" t="s">
        <v>264</v>
      </c>
      <c r="B31" s="137">
        <f>'Comparative YTD 2018-2017 June'!B74</f>
        <v>1276118.3500000001</v>
      </c>
      <c r="C31" s="137">
        <f>'Comparative YTD 2018-2017 June'!C74</f>
        <v>6665.79</v>
      </c>
      <c r="D31" s="137">
        <f>'Comparative YTD 2018-2017 June'!D74</f>
        <v>558398.40999999992</v>
      </c>
      <c r="E31" s="137">
        <f>'Comparative YTD 2018-2017 June'!E74</f>
        <v>109</v>
      </c>
      <c r="F31" s="137">
        <f>'Comparative YTD 2018-2017 June'!F74</f>
        <v>175501.44999999998</v>
      </c>
      <c r="G31" s="137">
        <f>'Comparative YTD 2018-2017 June'!G74</f>
        <v>56027.62000000001</v>
      </c>
      <c r="H31" s="137">
        <f>'Comparative YTD 2018-2017 June'!H74</f>
        <v>88718.56</v>
      </c>
      <c r="I31" s="137">
        <f t="shared" si="7"/>
        <v>2161539.1800000002</v>
      </c>
      <c r="J31" s="127"/>
      <c r="K31" s="136" t="s">
        <v>264</v>
      </c>
      <c r="L31" s="137">
        <f>'Comparative YTD 2018-2017 June'!M74</f>
        <v>859944.40000000014</v>
      </c>
      <c r="M31" s="137">
        <f>'Comparative YTD 2018-2017 June'!N74</f>
        <v>9397.01</v>
      </c>
      <c r="N31" s="137">
        <f>'Comparative YTD 2018-2017 June'!O74</f>
        <v>462110.83999999991</v>
      </c>
      <c r="O31" s="137">
        <f>'Comparative YTD 2018-2017 June'!P74</f>
        <v>1156.25</v>
      </c>
      <c r="P31" s="137">
        <f>'Comparative YTD 2018-2017 June'!Q74</f>
        <v>195872.97</v>
      </c>
      <c r="Q31" s="137">
        <f>'Comparative YTD 2018-2017 June'!R74</f>
        <v>34570.04</v>
      </c>
      <c r="R31" s="137">
        <f>'Comparative YTD 2018-2017 June'!S74</f>
        <v>520</v>
      </c>
      <c r="S31" s="137">
        <f>SUM(L31:R31)</f>
        <v>1563571.51</v>
      </c>
      <c r="T31" s="137"/>
      <c r="U31" s="136" t="s">
        <v>264</v>
      </c>
      <c r="W31" s="140">
        <f t="shared" ref="W31:W32" si="15">I31</f>
        <v>2161539.1800000002</v>
      </c>
      <c r="Y31" s="140">
        <f t="shared" si="13"/>
        <v>1563571.51</v>
      </c>
      <c r="AA31" s="140">
        <f t="shared" ref="AA31:AA32" si="16">I31-S31</f>
        <v>597967.67000000016</v>
      </c>
      <c r="AB31" s="167"/>
      <c r="AC31" s="146">
        <f t="shared" ref="AC31:AC32" si="17">I31/S31</f>
        <v>1.3824370463235163</v>
      </c>
      <c r="AD31" s="140"/>
      <c r="AE31" s="146">
        <f t="shared" si="14"/>
        <v>0.38243704632351627</v>
      </c>
    </row>
    <row r="32" spans="1:31" s="128" customFormat="1" ht="30" customHeight="1" x14ac:dyDescent="0.5">
      <c r="A32" s="135" t="s">
        <v>282</v>
      </c>
      <c r="B32" s="137">
        <f>'Comparative YTD 2018-2017 June'!B96</f>
        <v>433368.98</v>
      </c>
      <c r="C32" s="137">
        <f>'Comparative YTD 2018-2017 June'!C96</f>
        <v>44692.579999999994</v>
      </c>
      <c r="D32" s="137">
        <f>'Comparative YTD 2018-2017 June'!D96</f>
        <v>49435.240000000005</v>
      </c>
      <c r="E32" s="137">
        <f>'Comparative YTD 2018-2017 June'!E96</f>
        <v>4046.94</v>
      </c>
      <c r="F32" s="137">
        <f>'Comparative YTD 2018-2017 June'!F96</f>
        <v>34018.99</v>
      </c>
      <c r="G32" s="137">
        <f>'Comparative YTD 2018-2017 June'!G96</f>
        <v>1590</v>
      </c>
      <c r="H32" s="137">
        <f>'Comparative YTD 2018-2017 June'!H96</f>
        <v>480.63</v>
      </c>
      <c r="I32" s="137">
        <f>'Comparative YTD 2018-2017 June'!I96</f>
        <v>567633.36</v>
      </c>
      <c r="J32" s="127"/>
      <c r="K32" s="136" t="s">
        <v>282</v>
      </c>
      <c r="L32" s="137">
        <f>'Comparative YTD 2018-2017 June'!M96</f>
        <v>390086.10000000009</v>
      </c>
      <c r="M32" s="137">
        <f>'Comparative YTD 2018-2017 June'!N96</f>
        <v>40141.920000000006</v>
      </c>
      <c r="N32" s="137">
        <f>'Comparative YTD 2018-2017 June'!O96</f>
        <v>52980.54</v>
      </c>
      <c r="O32" s="137">
        <f>'Comparative YTD 2018-2017 June'!P96</f>
        <v>2887.33</v>
      </c>
      <c r="P32" s="137">
        <f>'Comparative YTD 2018-2017 June'!Q96</f>
        <v>33329.950000000004</v>
      </c>
      <c r="Q32" s="137">
        <f>'Comparative YTD 2018-2017 June'!R96</f>
        <v>13336</v>
      </c>
      <c r="R32" s="137">
        <f>'Comparative YTD 2018-2017 June'!S96</f>
        <v>2503.11</v>
      </c>
      <c r="S32" s="137">
        <f>SUM(L32:R32)</f>
        <v>535264.95000000007</v>
      </c>
      <c r="T32" s="137"/>
      <c r="U32" s="136" t="s">
        <v>282</v>
      </c>
      <c r="W32" s="140">
        <f t="shared" si="15"/>
        <v>567633.36</v>
      </c>
      <c r="Y32" s="140">
        <f t="shared" si="13"/>
        <v>535264.95000000007</v>
      </c>
      <c r="AA32" s="140">
        <f t="shared" si="16"/>
        <v>32368.409999999916</v>
      </c>
      <c r="AB32" s="167"/>
      <c r="AC32" s="146">
        <f t="shared" si="17"/>
        <v>1.0604717532877874</v>
      </c>
      <c r="AD32" s="140"/>
      <c r="AE32" s="146">
        <f>AC32-1</f>
        <v>6.0471753287787422E-2</v>
      </c>
    </row>
    <row r="33" spans="1:32" s="128" customFormat="1" ht="30" customHeight="1" thickBot="1" x14ac:dyDescent="0.55000000000000004">
      <c r="A33" s="135" t="s">
        <v>296</v>
      </c>
      <c r="B33" s="147">
        <f>SUM(B30:B32)</f>
        <v>4008905.69</v>
      </c>
      <c r="C33" s="147">
        <f t="shared" ref="C33:I33" si="18">SUM(C30:C32)</f>
        <v>51358.369999999995</v>
      </c>
      <c r="D33" s="147">
        <f t="shared" si="18"/>
        <v>688487.73</v>
      </c>
      <c r="E33" s="147">
        <f t="shared" si="18"/>
        <v>4155.9400000000005</v>
      </c>
      <c r="F33" s="147">
        <f t="shared" si="18"/>
        <v>435602.82999999996</v>
      </c>
      <c r="G33" s="147">
        <f t="shared" ref="G33" si="19">SUM(G30:G32)</f>
        <v>57617.62000000001</v>
      </c>
      <c r="H33" s="147">
        <f t="shared" si="18"/>
        <v>89199.19</v>
      </c>
      <c r="I33" s="147">
        <f t="shared" si="18"/>
        <v>5335327.37</v>
      </c>
      <c r="J33" s="127"/>
      <c r="K33" s="136" t="s">
        <v>296</v>
      </c>
      <c r="L33" s="147">
        <f>SUM(L30:L32)</f>
        <v>3831494.57</v>
      </c>
      <c r="M33" s="147">
        <f t="shared" ref="M33:R33" si="20">SUM(M30:M32)</f>
        <v>49538.930000000008</v>
      </c>
      <c r="N33" s="147">
        <f t="shared" si="20"/>
        <v>646417.86999999988</v>
      </c>
      <c r="O33" s="147">
        <f t="shared" si="20"/>
        <v>4043.58</v>
      </c>
      <c r="P33" s="147">
        <f t="shared" si="20"/>
        <v>450009.87000000005</v>
      </c>
      <c r="Q33" s="147">
        <f t="shared" ref="Q33" si="21">SUM(Q30:Q32)</f>
        <v>47906.04</v>
      </c>
      <c r="R33" s="147">
        <f t="shared" si="20"/>
        <v>3023.11</v>
      </c>
      <c r="S33" s="147">
        <f>SUM(S30:S32)</f>
        <v>5032433.97</v>
      </c>
      <c r="T33" s="164"/>
      <c r="U33" s="136" t="s">
        <v>296</v>
      </c>
      <c r="W33" s="148">
        <f>I33</f>
        <v>5335327.37</v>
      </c>
      <c r="Y33" s="148">
        <f t="shared" si="13"/>
        <v>5032433.97</v>
      </c>
      <c r="AA33" s="148">
        <f>I33-S33</f>
        <v>302893.40000000037</v>
      </c>
      <c r="AB33" s="167"/>
      <c r="AC33" s="150">
        <f>I33/S33</f>
        <v>1.06018825121316</v>
      </c>
      <c r="AD33" s="148"/>
      <c r="AE33" s="150">
        <f>AC33-1</f>
        <v>6.018825121315996E-2</v>
      </c>
    </row>
    <row r="34" spans="1:32" s="128" customFormat="1" ht="30" customHeight="1" x14ac:dyDescent="0.5">
      <c r="B34" s="137"/>
      <c r="C34" s="137"/>
      <c r="D34" s="137"/>
      <c r="E34" s="137"/>
      <c r="F34" s="137"/>
      <c r="G34" s="137"/>
      <c r="H34" s="137"/>
      <c r="I34" s="137"/>
      <c r="J34" s="127"/>
      <c r="K34" s="127"/>
      <c r="L34" s="137"/>
      <c r="M34" s="137"/>
      <c r="N34" s="137"/>
      <c r="O34" s="137"/>
      <c r="P34" s="137"/>
      <c r="Q34" s="137"/>
      <c r="R34" s="137"/>
      <c r="S34" s="137"/>
      <c r="T34" s="137"/>
      <c r="U34" s="127"/>
      <c r="W34" s="131"/>
      <c r="Y34" s="131">
        <f t="shared" si="13"/>
        <v>0</v>
      </c>
      <c r="AA34" s="131"/>
      <c r="AB34" s="168"/>
      <c r="AC34" s="146"/>
      <c r="AD34" s="131"/>
      <c r="AE34" s="146"/>
    </row>
    <row r="35" spans="1:32" s="128" customFormat="1" ht="30" customHeight="1" x14ac:dyDescent="0.5">
      <c r="A35" s="135" t="s">
        <v>485</v>
      </c>
      <c r="B35" s="137">
        <f>'Comparative YTD 2018-2017 June'!B113</f>
        <v>476849.29</v>
      </c>
      <c r="C35" s="137">
        <f>'Comparative YTD 2018-2017 June'!C113</f>
        <v>-238179.88</v>
      </c>
      <c r="D35" s="137">
        <f>'Comparative YTD 2018-2017 June'!D113</f>
        <v>90457.72</v>
      </c>
      <c r="E35" s="137">
        <f>'Comparative YTD 2018-2017 June'!E113</f>
        <v>18114.47</v>
      </c>
      <c r="F35" s="137">
        <f>'Comparative YTD 2018-2017 June'!F113</f>
        <v>-22399.270000000004</v>
      </c>
      <c r="G35" s="137">
        <f>'Comparative YTD 2018-2017 June'!G113</f>
        <v>122915.51999999999</v>
      </c>
      <c r="H35" s="137">
        <f>'Comparative YTD 2018-2017 June'!H113</f>
        <v>0</v>
      </c>
      <c r="I35" s="137">
        <f>SUM(B35:H35)</f>
        <v>447757.85</v>
      </c>
      <c r="J35" s="127"/>
      <c r="K35" s="135" t="s">
        <v>485</v>
      </c>
      <c r="L35" s="137">
        <f>'Comparative YTD 2018-2017 June'!M113</f>
        <v>200175.32</v>
      </c>
      <c r="M35" s="137">
        <f>'Comparative YTD 2018-2017 June'!N113</f>
        <v>-205906.25</v>
      </c>
      <c r="N35" s="137">
        <f>'Comparative YTD 2018-2017 June'!O113</f>
        <v>0</v>
      </c>
      <c r="O35" s="137">
        <f>'Comparative YTD 2018-2017 June'!P113</f>
        <v>54340.58</v>
      </c>
      <c r="P35" s="137">
        <f>'Comparative YTD 2018-2017 June'!Q113</f>
        <v>-26994.990000000005</v>
      </c>
      <c r="Q35" s="137">
        <f>'Comparative YTD 2018-2017 June'!R113</f>
        <v>261942.52999999997</v>
      </c>
      <c r="R35" s="137">
        <f>'Comparative YTD 2018-2017 June'!S113</f>
        <v>100000</v>
      </c>
      <c r="S35" s="137">
        <f>SUM(L35:R35)</f>
        <v>383557.18999999994</v>
      </c>
      <c r="T35" s="137"/>
      <c r="U35" s="135" t="s">
        <v>485</v>
      </c>
      <c r="W35" s="131">
        <f>I35</f>
        <v>447757.85</v>
      </c>
      <c r="Y35" s="131">
        <f t="shared" si="13"/>
        <v>383557.18999999994</v>
      </c>
      <c r="AA35" s="131">
        <f>I35-S35</f>
        <v>64200.660000000033</v>
      </c>
      <c r="AB35" s="168"/>
      <c r="AC35" s="146">
        <f>I35/S35</f>
        <v>1.1673822357495112</v>
      </c>
      <c r="AD35" s="132"/>
      <c r="AE35" s="146">
        <f t="shared" ref="AE35" si="22">AC35-1</f>
        <v>0.16738223574951117</v>
      </c>
      <c r="AF35" s="132"/>
    </row>
    <row r="36" spans="1:32" s="128" customFormat="1" ht="30" customHeight="1" x14ac:dyDescent="0.5">
      <c r="A36" s="135"/>
      <c r="B36" s="137"/>
      <c r="C36" s="137"/>
      <c r="D36" s="137"/>
      <c r="E36" s="137"/>
      <c r="F36" s="137"/>
      <c r="G36" s="137"/>
      <c r="H36" s="137"/>
      <c r="I36" s="137">
        <f>SUM(B36:H36)</f>
        <v>0</v>
      </c>
      <c r="J36" s="138"/>
      <c r="K36" s="136"/>
      <c r="L36" s="137"/>
      <c r="M36" s="137"/>
      <c r="N36" s="137"/>
      <c r="O36" s="137"/>
      <c r="P36" s="137"/>
      <c r="Q36" s="137"/>
      <c r="R36" s="137"/>
      <c r="S36" s="137">
        <f t="shared" ref="S36:S37" si="23">SUM(L36:R36)</f>
        <v>0</v>
      </c>
      <c r="T36" s="137"/>
      <c r="U36" s="136"/>
      <c r="V36" s="139"/>
      <c r="W36" s="140"/>
      <c r="X36" s="139"/>
      <c r="Y36" s="140">
        <f t="shared" si="13"/>
        <v>0</v>
      </c>
      <c r="Z36" s="139"/>
      <c r="AA36" s="140"/>
      <c r="AB36" s="167"/>
      <c r="AC36" s="132"/>
      <c r="AD36" s="132"/>
      <c r="AE36" s="132"/>
      <c r="AF36" s="132"/>
    </row>
    <row r="37" spans="1:32" s="128" customFormat="1" ht="30" customHeight="1" thickBot="1" x14ac:dyDescent="0.55000000000000004">
      <c r="A37" s="135" t="s">
        <v>298</v>
      </c>
      <c r="B37" s="151">
        <f t="shared" ref="B37:I37" si="24">B27-B33+B35</f>
        <v>-43518.600001239742</v>
      </c>
      <c r="C37" s="151">
        <f t="shared" si="24"/>
        <v>252410.66999999434</v>
      </c>
      <c r="D37" s="151">
        <f t="shared" si="24"/>
        <v>387722.48</v>
      </c>
      <c r="E37" s="151">
        <f t="shared" si="24"/>
        <v>13958.53</v>
      </c>
      <c r="F37" s="151">
        <f t="shared" si="24"/>
        <v>60034.920000000115</v>
      </c>
      <c r="G37" s="151">
        <f t="shared" ref="G37" si="25">G27-G33+G35</f>
        <v>65297.89999999998</v>
      </c>
      <c r="H37" s="151">
        <f t="shared" si="24"/>
        <v>-89199.19</v>
      </c>
      <c r="I37" s="151">
        <f t="shared" si="24"/>
        <v>646706.70999875513</v>
      </c>
      <c r="J37" s="127"/>
      <c r="K37" s="136" t="s">
        <v>298</v>
      </c>
      <c r="L37" s="151">
        <f t="shared" ref="L37:R37" si="26">L27-L33+L35</f>
        <v>-892414.26999902702</v>
      </c>
      <c r="M37" s="151">
        <f t="shared" si="26"/>
        <v>182164.18000000314</v>
      </c>
      <c r="N37" s="151">
        <f t="shared" si="26"/>
        <v>399867.13000000012</v>
      </c>
      <c r="O37" s="151">
        <f t="shared" si="26"/>
        <v>50297</v>
      </c>
      <c r="P37" s="151">
        <f t="shared" si="26"/>
        <v>66261.819999999992</v>
      </c>
      <c r="Q37" s="151">
        <f t="shared" ref="Q37" si="27">Q27-Q33+Q35</f>
        <v>214036.48999999996</v>
      </c>
      <c r="R37" s="151">
        <f t="shared" si="26"/>
        <v>96976.89</v>
      </c>
      <c r="S37" s="151">
        <f t="shared" si="23"/>
        <v>117189.24000097626</v>
      </c>
      <c r="T37" s="165"/>
      <c r="U37" s="136" t="s">
        <v>298</v>
      </c>
      <c r="W37" s="152">
        <f>W27-W33+W35</f>
        <v>646706.70999875513</v>
      </c>
      <c r="Y37" s="152">
        <f t="shared" si="13"/>
        <v>117189.24000097626</v>
      </c>
      <c r="AA37" s="152">
        <f>I37-S37</f>
        <v>529517.46999777888</v>
      </c>
      <c r="AB37" s="169"/>
      <c r="AC37" s="149">
        <f>I37/S37</f>
        <v>5.5184819868561963</v>
      </c>
      <c r="AD37" s="148"/>
      <c r="AE37" s="149">
        <f>AC37-1</f>
        <v>4.5184819868561963</v>
      </c>
      <c r="AF37" s="132"/>
    </row>
    <row r="38" spans="1:32" ht="30" customHeight="1" thickTop="1" x14ac:dyDescent="0.25">
      <c r="B38" s="124"/>
      <c r="C38" s="124"/>
      <c r="D38" s="124"/>
      <c r="E38" s="124"/>
      <c r="F38" s="124"/>
      <c r="G38" s="124"/>
      <c r="H38" s="124"/>
      <c r="I38" s="124"/>
      <c r="AB38" s="170"/>
      <c r="AD38" s="114"/>
      <c r="AF38" s="114"/>
    </row>
    <row r="39" spans="1:32" ht="30" customHeight="1" x14ac:dyDescent="0.25">
      <c r="AB39" s="170"/>
      <c r="AD39" s="114"/>
      <c r="AF39" s="114"/>
    </row>
    <row r="40" spans="1:32" s="128" customFormat="1" ht="30" customHeight="1" x14ac:dyDescent="0.5">
      <c r="A40" s="128" t="s">
        <v>363</v>
      </c>
      <c r="B40" s="137">
        <v>-43518.6</v>
      </c>
      <c r="C40" s="174">
        <v>252410.67</v>
      </c>
      <c r="D40" s="174">
        <v>387722.48</v>
      </c>
      <c r="E40" s="174">
        <v>13958.53</v>
      </c>
      <c r="F40" s="174">
        <v>60034.92</v>
      </c>
      <c r="G40" s="174">
        <v>65297.9</v>
      </c>
      <c r="H40" s="174">
        <v>-89199.19</v>
      </c>
      <c r="I40" s="137">
        <f>SUM(B40:H40)</f>
        <v>646706.7100000002</v>
      </c>
      <c r="J40" s="138"/>
      <c r="K40" s="127"/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f>SUM(L40:R40)</f>
        <v>0</v>
      </c>
      <c r="T40" s="137"/>
      <c r="U40" s="127"/>
      <c r="V40" s="139"/>
      <c r="W40" s="140"/>
      <c r="X40" s="139"/>
      <c r="Y40" s="140"/>
      <c r="Z40" s="139"/>
      <c r="AA40" s="140"/>
      <c r="AB40" s="140"/>
      <c r="AC40" s="132"/>
      <c r="AD40" s="132"/>
      <c r="AE40" s="132"/>
      <c r="AF40" s="132"/>
    </row>
    <row r="41" spans="1:32" s="128" customFormat="1" ht="30" customHeight="1" x14ac:dyDescent="0.5">
      <c r="B41" s="137">
        <f t="shared" ref="B41:D41" si="28">B37-B40</f>
        <v>-1.2397431419230998E-6</v>
      </c>
      <c r="C41" s="174">
        <f t="shared" si="28"/>
        <v>-5.6752469390630722E-9</v>
      </c>
      <c r="D41" s="174">
        <f t="shared" si="28"/>
        <v>0</v>
      </c>
      <c r="E41" s="174">
        <f>E37-E40</f>
        <v>0</v>
      </c>
      <c r="F41" s="174">
        <f>F37-F40</f>
        <v>1.1641532182693481E-10</v>
      </c>
      <c r="G41" s="174">
        <f>G37-G40</f>
        <v>0</v>
      </c>
      <c r="H41" s="174">
        <f>H37-H40</f>
        <v>0</v>
      </c>
      <c r="I41" s="137">
        <f>I37-I40</f>
        <v>-1.2450618669390678E-6</v>
      </c>
      <c r="J41" s="138"/>
      <c r="K41" s="127"/>
      <c r="L41" s="137">
        <f>L37-L40</f>
        <v>-892414.26999902702</v>
      </c>
      <c r="M41" s="137">
        <f t="shared" ref="M41:R41" si="29">M37-M40</f>
        <v>182164.18000000314</v>
      </c>
      <c r="N41" s="137">
        <f t="shared" si="29"/>
        <v>399867.13000000012</v>
      </c>
      <c r="O41" s="137">
        <f t="shared" si="29"/>
        <v>50297</v>
      </c>
      <c r="P41" s="137">
        <f t="shared" si="29"/>
        <v>66261.819999999992</v>
      </c>
      <c r="Q41" s="137">
        <f t="shared" ref="Q41" si="30">Q37-Q40</f>
        <v>214036.48999999996</v>
      </c>
      <c r="R41" s="137">
        <f t="shared" si="29"/>
        <v>96976.89</v>
      </c>
      <c r="S41" s="137">
        <f>S37-S40</f>
        <v>117189.24000097626</v>
      </c>
      <c r="T41" s="137"/>
      <c r="U41" s="127"/>
      <c r="V41" s="139"/>
      <c r="W41" s="140">
        <f>I37-W37</f>
        <v>0</v>
      </c>
      <c r="X41" s="139"/>
      <c r="Y41" s="140">
        <f>Y37-S37</f>
        <v>0</v>
      </c>
      <c r="Z41" s="139"/>
      <c r="AA41" s="140">
        <f>AA21-AA25-AA33+AA35-AA37</f>
        <v>-1.2526288628578186E-7</v>
      </c>
      <c r="AB41" s="140"/>
      <c r="AC41" s="132"/>
      <c r="AD41" s="132"/>
      <c r="AE41" s="132"/>
      <c r="AF41" s="132"/>
    </row>
    <row r="42" spans="1:32" s="128" customFormat="1" ht="30" customHeight="1" x14ac:dyDescent="0.5">
      <c r="B42" s="137"/>
      <c r="C42" s="137"/>
      <c r="D42" s="137"/>
      <c r="E42" s="137"/>
      <c r="F42" s="137"/>
      <c r="G42" s="137"/>
      <c r="H42" s="137"/>
      <c r="I42" s="137"/>
      <c r="J42" s="138"/>
      <c r="K42" s="127"/>
      <c r="L42" s="137"/>
      <c r="M42" s="137"/>
      <c r="N42" s="137"/>
      <c r="O42" s="137"/>
      <c r="P42" s="137"/>
      <c r="Q42" s="137"/>
      <c r="R42" s="137"/>
      <c r="S42" s="137"/>
      <c r="T42" s="137"/>
      <c r="U42" s="127"/>
      <c r="V42" s="139"/>
      <c r="W42" s="140"/>
      <c r="X42" s="139"/>
      <c r="Y42" s="140"/>
      <c r="Z42" s="139"/>
      <c r="AA42" s="140"/>
      <c r="AB42" s="140"/>
      <c r="AC42" s="132"/>
      <c r="AD42" s="132"/>
      <c r="AE42" s="132"/>
      <c r="AF42" s="132"/>
    </row>
    <row r="43" spans="1:32" x14ac:dyDescent="0.25">
      <c r="B43" s="122"/>
      <c r="C43" s="122"/>
      <c r="D43" s="122"/>
      <c r="E43" s="122"/>
    </row>
    <row r="44" spans="1:32" x14ac:dyDescent="0.25">
      <c r="B44" s="122"/>
      <c r="C44" s="122"/>
      <c r="D44" s="122"/>
      <c r="E44" s="122"/>
    </row>
    <row r="45" spans="1:32" x14ac:dyDescent="0.25">
      <c r="B45" s="122"/>
      <c r="C45" s="122"/>
      <c r="D45" s="122"/>
      <c r="E45" s="122"/>
    </row>
    <row r="46" spans="1:32" x14ac:dyDescent="0.25">
      <c r="B46" s="122"/>
      <c r="C46" s="122"/>
      <c r="D46" s="122"/>
      <c r="E46" s="122"/>
    </row>
    <row r="47" spans="1:32" x14ac:dyDescent="0.25">
      <c r="B47" s="122"/>
      <c r="C47" s="122"/>
      <c r="D47" s="122"/>
      <c r="E47" s="122"/>
    </row>
  </sheetData>
  <mergeCells count="12"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  <mergeCell ref="K11:S11"/>
    <mergeCell ref="A12:I12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C7F1F-A714-4459-863D-98E5F818960D}">
  <dimension ref="A2:AG127"/>
  <sheetViews>
    <sheetView view="pageBreakPreview" zoomScale="30" zoomScaleNormal="60" zoomScaleSheetLayoutView="30" workbookViewId="0">
      <pane ySplit="14" topLeftCell="A96" activePane="bottomLeft" state="frozen"/>
      <selection activeCell="A16" sqref="A16"/>
      <selection pane="bottomLeft" activeCell="B112" sqref="B112"/>
    </sheetView>
  </sheetViews>
  <sheetFormatPr defaultRowHeight="57.75" x14ac:dyDescent="0.85"/>
  <cols>
    <col min="1" max="1" width="155.42578125" style="191" bestFit="1" customWidth="1"/>
    <col min="2" max="2" width="72.5703125" style="192" bestFit="1" customWidth="1"/>
    <col min="3" max="8" width="65.7109375" style="192" customWidth="1"/>
    <col min="9" max="9" width="72.5703125" style="192" bestFit="1" customWidth="1"/>
    <col min="10" max="10" width="40.7109375" style="192" customWidth="1"/>
    <col min="11" max="11" width="11.42578125" style="192" customWidth="1"/>
    <col min="12" max="12" width="155.42578125" style="192" bestFit="1" customWidth="1"/>
    <col min="13" max="13" width="72.5703125" style="192" bestFit="1" customWidth="1"/>
    <col min="14" max="14" width="58.28515625" style="192" customWidth="1"/>
    <col min="15" max="15" width="57.7109375" style="192" customWidth="1"/>
    <col min="16" max="16" width="69.7109375" style="192" customWidth="1"/>
    <col min="17" max="17" width="54" style="192" customWidth="1"/>
    <col min="18" max="18" width="68.28515625" style="192" customWidth="1"/>
    <col min="19" max="19" width="72.140625" style="192" customWidth="1"/>
    <col min="20" max="20" width="80.7109375" style="192" customWidth="1"/>
    <col min="21" max="21" width="50.140625" style="191" customWidth="1"/>
    <col min="22" max="22" width="155.42578125" style="192" bestFit="1" customWidth="1"/>
    <col min="23" max="23" width="11.42578125" style="191" customWidth="1"/>
    <col min="24" max="24" width="80.7109375" style="191" customWidth="1"/>
    <col min="25" max="25" width="11.42578125" style="191" customWidth="1"/>
    <col min="26" max="26" width="80.7109375" style="191" customWidth="1"/>
    <col min="27" max="27" width="11.42578125" style="191" customWidth="1"/>
    <col min="28" max="28" width="80.7109375" style="193" customWidth="1"/>
    <col min="29" max="29" width="4.28515625" style="193" customWidth="1"/>
    <col min="30" max="30" width="80.7109375" style="194" customWidth="1"/>
    <col min="31" max="31" width="4.28515625" style="193" customWidth="1"/>
    <col min="32" max="32" width="50.7109375" style="194" customWidth="1"/>
  </cols>
  <sheetData>
    <row r="2" spans="1:32" ht="40.5" customHeight="1" x14ac:dyDescent="0.85">
      <c r="A2" s="258" t="s">
        <v>379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</row>
    <row r="3" spans="1:32" ht="40.5" customHeight="1" x14ac:dyDescent="0.85">
      <c r="A3" s="258" t="s">
        <v>455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</row>
    <row r="4" spans="1:32" ht="14.25" customHeight="1" thickBot="1" x14ac:dyDescent="0.9"/>
    <row r="5" spans="1:32" s="119" customFormat="1" ht="54.95" customHeight="1" x14ac:dyDescent="0.85">
      <c r="A5" s="259">
        <v>2018</v>
      </c>
      <c r="B5" s="260"/>
      <c r="C5" s="260"/>
      <c r="D5" s="260"/>
      <c r="E5" s="260"/>
      <c r="F5" s="260"/>
      <c r="G5" s="260"/>
      <c r="H5" s="260"/>
      <c r="I5" s="260"/>
      <c r="J5" s="261"/>
      <c r="K5" s="192"/>
      <c r="L5" s="259">
        <v>2017</v>
      </c>
      <c r="M5" s="260"/>
      <c r="N5" s="260"/>
      <c r="O5" s="260"/>
      <c r="P5" s="260"/>
      <c r="Q5" s="260"/>
      <c r="R5" s="260"/>
      <c r="S5" s="260"/>
      <c r="T5" s="260"/>
      <c r="U5" s="261"/>
      <c r="V5" s="265" t="s">
        <v>438</v>
      </c>
      <c r="W5" s="266"/>
      <c r="X5" s="266"/>
      <c r="Y5" s="266"/>
      <c r="Z5" s="266"/>
      <c r="AA5" s="266"/>
      <c r="AB5" s="266"/>
      <c r="AC5" s="266"/>
      <c r="AD5" s="266"/>
      <c r="AE5" s="266"/>
      <c r="AF5" s="267"/>
    </row>
    <row r="6" spans="1:32" s="119" customFormat="1" ht="54.95" customHeight="1" x14ac:dyDescent="0.85">
      <c r="A6" s="262" t="s">
        <v>439</v>
      </c>
      <c r="B6" s="263"/>
      <c r="C6" s="263"/>
      <c r="D6" s="263"/>
      <c r="E6" s="263"/>
      <c r="F6" s="263"/>
      <c r="G6" s="263"/>
      <c r="H6" s="263"/>
      <c r="I6" s="263"/>
      <c r="J6" s="264"/>
      <c r="K6" s="192"/>
      <c r="L6" s="262" t="s">
        <v>439</v>
      </c>
      <c r="M6" s="263"/>
      <c r="N6" s="263"/>
      <c r="O6" s="263"/>
      <c r="P6" s="263"/>
      <c r="Q6" s="263"/>
      <c r="R6" s="263"/>
      <c r="S6" s="263"/>
      <c r="T6" s="263"/>
      <c r="U6" s="264"/>
      <c r="V6" s="268"/>
      <c r="W6" s="269"/>
      <c r="X6" s="269"/>
      <c r="Y6" s="269"/>
      <c r="Z6" s="269"/>
      <c r="AA6" s="269"/>
      <c r="AB6" s="269"/>
      <c r="AC6" s="269"/>
      <c r="AD6" s="269"/>
      <c r="AE6" s="269"/>
      <c r="AF6" s="270"/>
    </row>
    <row r="7" spans="1:32" s="119" customFormat="1" ht="54.95" customHeight="1" x14ac:dyDescent="0.85">
      <c r="A7" s="262" t="s">
        <v>378</v>
      </c>
      <c r="B7" s="263"/>
      <c r="C7" s="263"/>
      <c r="D7" s="263"/>
      <c r="E7" s="263"/>
      <c r="F7" s="263"/>
      <c r="G7" s="263"/>
      <c r="H7" s="263"/>
      <c r="I7" s="263"/>
      <c r="J7" s="264"/>
      <c r="K7" s="192"/>
      <c r="L7" s="262" t="s">
        <v>378</v>
      </c>
      <c r="M7" s="263"/>
      <c r="N7" s="263"/>
      <c r="O7" s="263"/>
      <c r="P7" s="263"/>
      <c r="Q7" s="263"/>
      <c r="R7" s="263"/>
      <c r="S7" s="263"/>
      <c r="T7" s="263"/>
      <c r="U7" s="264"/>
      <c r="V7" s="268"/>
      <c r="W7" s="269"/>
      <c r="X7" s="269"/>
      <c r="Y7" s="269"/>
      <c r="Z7" s="269"/>
      <c r="AA7" s="269"/>
      <c r="AB7" s="269"/>
      <c r="AC7" s="269"/>
      <c r="AD7" s="269"/>
      <c r="AE7" s="269"/>
      <c r="AF7" s="270"/>
    </row>
    <row r="8" spans="1:32" s="119" customFormat="1" ht="54.95" customHeight="1" thickBot="1" x14ac:dyDescent="0.9">
      <c r="A8" s="255">
        <v>43281</v>
      </c>
      <c r="B8" s="256"/>
      <c r="C8" s="256"/>
      <c r="D8" s="256"/>
      <c r="E8" s="256"/>
      <c r="F8" s="256"/>
      <c r="G8" s="256"/>
      <c r="H8" s="256"/>
      <c r="I8" s="256"/>
      <c r="J8" s="257"/>
      <c r="K8" s="192"/>
      <c r="L8" s="255">
        <v>42916</v>
      </c>
      <c r="M8" s="256"/>
      <c r="N8" s="256"/>
      <c r="O8" s="256"/>
      <c r="P8" s="256"/>
      <c r="Q8" s="256"/>
      <c r="R8" s="256"/>
      <c r="S8" s="256"/>
      <c r="T8" s="256"/>
      <c r="U8" s="257"/>
      <c r="V8" s="271"/>
      <c r="W8" s="272"/>
      <c r="X8" s="272"/>
      <c r="Y8" s="272"/>
      <c r="Z8" s="272"/>
      <c r="AA8" s="272"/>
      <c r="AB8" s="272"/>
      <c r="AC8" s="272"/>
      <c r="AD8" s="272"/>
      <c r="AE8" s="272"/>
      <c r="AF8" s="273"/>
    </row>
    <row r="9" spans="1:32" s="128" customFormat="1" ht="54.95" customHeight="1" x14ac:dyDescent="0.85">
      <c r="A9" s="195"/>
      <c r="B9" s="196"/>
      <c r="C9" s="196"/>
      <c r="D9" s="196"/>
      <c r="E9" s="196"/>
      <c r="F9" s="196"/>
      <c r="G9" s="196"/>
      <c r="H9" s="196"/>
      <c r="I9" s="196"/>
      <c r="J9" s="196"/>
      <c r="K9" s="192"/>
      <c r="L9" s="196"/>
      <c r="M9" s="196"/>
      <c r="N9" s="196"/>
      <c r="O9" s="196"/>
      <c r="P9" s="196"/>
      <c r="Q9" s="196"/>
      <c r="R9" s="196"/>
      <c r="S9" s="196"/>
      <c r="T9" s="196"/>
      <c r="U9" s="195"/>
      <c r="V9" s="196"/>
      <c r="W9" s="191"/>
      <c r="X9" s="197"/>
      <c r="Y9" s="191"/>
      <c r="Z9" s="197"/>
      <c r="AA9" s="191"/>
      <c r="AB9" s="197"/>
      <c r="AC9" s="197"/>
      <c r="AD9" s="197"/>
      <c r="AE9" s="197"/>
      <c r="AF9" s="197"/>
    </row>
    <row r="10" spans="1:32" s="128" customFormat="1" ht="54.95" customHeight="1" x14ac:dyDescent="0.85">
      <c r="A10" s="191"/>
      <c r="B10" s="192"/>
      <c r="C10" s="192"/>
      <c r="D10" s="192"/>
      <c r="E10" s="192"/>
      <c r="F10" s="192"/>
      <c r="G10" s="192"/>
      <c r="H10" s="192"/>
      <c r="I10" s="192"/>
      <c r="J10" s="196">
        <v>2018</v>
      </c>
      <c r="K10" s="196"/>
      <c r="L10" s="198"/>
      <c r="M10" s="198"/>
      <c r="N10" s="198"/>
      <c r="O10" s="198"/>
      <c r="P10" s="198"/>
      <c r="Q10" s="198"/>
      <c r="R10" s="198"/>
      <c r="S10" s="198"/>
      <c r="T10" s="198"/>
      <c r="U10" s="195">
        <v>2017</v>
      </c>
      <c r="V10" s="198"/>
      <c r="W10" s="195"/>
      <c r="X10" s="193"/>
      <c r="Y10" s="195"/>
      <c r="Z10" s="193"/>
      <c r="AA10" s="195"/>
      <c r="AB10" s="193"/>
      <c r="AC10" s="193"/>
      <c r="AD10" s="194"/>
      <c r="AE10" s="193"/>
      <c r="AF10" s="194"/>
    </row>
    <row r="11" spans="1:32" s="128" customFormat="1" ht="54.95" customHeight="1" x14ac:dyDescent="0.85">
      <c r="A11" s="191"/>
      <c r="B11" s="192"/>
      <c r="C11" s="192"/>
      <c r="D11" s="192"/>
      <c r="E11" s="192"/>
      <c r="F11" s="192"/>
      <c r="G11" s="192"/>
      <c r="H11" s="192"/>
      <c r="I11" s="192"/>
      <c r="J11" s="196" t="s">
        <v>377</v>
      </c>
      <c r="K11" s="196"/>
      <c r="L11" s="198"/>
      <c r="M11" s="198"/>
      <c r="N11" s="198"/>
      <c r="O11" s="198"/>
      <c r="P11" s="198"/>
      <c r="Q11" s="198"/>
      <c r="R11" s="198"/>
      <c r="S11" s="198"/>
      <c r="T11" s="198"/>
      <c r="U11" s="195" t="s">
        <v>377</v>
      </c>
      <c r="V11" s="198"/>
      <c r="W11" s="195"/>
      <c r="X11" s="193"/>
      <c r="Y11" s="195"/>
      <c r="Z11" s="193"/>
      <c r="AA11" s="195"/>
      <c r="AB11" s="193"/>
      <c r="AC11" s="193"/>
      <c r="AD11" s="195" t="s">
        <v>372</v>
      </c>
      <c r="AE11" s="193"/>
      <c r="AF11" s="194"/>
    </row>
    <row r="12" spans="1:32" s="128" customFormat="1" ht="54.95" customHeight="1" x14ac:dyDescent="0.85">
      <c r="A12" s="191"/>
      <c r="B12" s="192"/>
      <c r="C12" s="192"/>
      <c r="D12" s="192"/>
      <c r="E12" s="192"/>
      <c r="F12" s="192"/>
      <c r="G12" s="192"/>
      <c r="H12" s="192"/>
      <c r="I12" s="192"/>
      <c r="J12" s="196" t="s">
        <v>375</v>
      </c>
      <c r="K12" s="196"/>
      <c r="L12" s="192"/>
      <c r="M12" s="192"/>
      <c r="N12" s="192"/>
      <c r="O12" s="192"/>
      <c r="P12" s="192"/>
      <c r="Q12" s="192"/>
      <c r="R12" s="192"/>
      <c r="S12" s="192"/>
      <c r="T12" s="192"/>
      <c r="U12" s="195" t="s">
        <v>375</v>
      </c>
      <c r="V12" s="192"/>
      <c r="W12" s="195"/>
      <c r="X12" s="195"/>
      <c r="Y12" s="195"/>
      <c r="Z12" s="195"/>
      <c r="AA12" s="195"/>
      <c r="AB12" s="195" t="s">
        <v>372</v>
      </c>
      <c r="AC12" s="195"/>
      <c r="AD12" s="194" t="s">
        <v>375</v>
      </c>
      <c r="AE12" s="195"/>
      <c r="AF12" s="195" t="s">
        <v>374</v>
      </c>
    </row>
    <row r="13" spans="1:32" s="128" customFormat="1" ht="54.95" customHeight="1" x14ac:dyDescent="0.85">
      <c r="A13" s="191"/>
      <c r="B13" s="192"/>
      <c r="C13" s="192"/>
      <c r="D13" s="192"/>
      <c r="E13" s="192"/>
      <c r="F13" s="192"/>
      <c r="G13" s="192"/>
      <c r="H13" s="192"/>
      <c r="I13" s="196" t="s">
        <v>216</v>
      </c>
      <c r="J13" s="196" t="s">
        <v>216</v>
      </c>
      <c r="K13" s="196"/>
      <c r="L13" s="192"/>
      <c r="M13" s="192"/>
      <c r="N13" s="192"/>
      <c r="O13" s="192"/>
      <c r="P13" s="192"/>
      <c r="Q13" s="192"/>
      <c r="R13" s="192"/>
      <c r="S13" s="192"/>
      <c r="T13" s="196" t="s">
        <v>216</v>
      </c>
      <c r="U13" s="195" t="s">
        <v>216</v>
      </c>
      <c r="V13" s="192"/>
      <c r="W13" s="195"/>
      <c r="X13" s="195">
        <v>2018</v>
      </c>
      <c r="Y13" s="195"/>
      <c r="Z13" s="195">
        <v>2017</v>
      </c>
      <c r="AA13" s="195"/>
      <c r="AB13" s="195" t="s">
        <v>373</v>
      </c>
      <c r="AC13" s="195"/>
      <c r="AD13" s="195" t="s">
        <v>373</v>
      </c>
      <c r="AE13" s="195"/>
      <c r="AF13" s="195" t="s">
        <v>376</v>
      </c>
    </row>
    <row r="14" spans="1:32" s="128" customFormat="1" ht="54.95" customHeight="1" x14ac:dyDescent="0.85">
      <c r="A14" s="191"/>
      <c r="B14" s="199" t="s">
        <v>242</v>
      </c>
      <c r="C14" s="199" t="s">
        <v>244</v>
      </c>
      <c r="D14" s="199" t="s">
        <v>243</v>
      </c>
      <c r="E14" s="199" t="s">
        <v>245</v>
      </c>
      <c r="F14" s="199" t="s">
        <v>246</v>
      </c>
      <c r="G14" s="199" t="s">
        <v>440</v>
      </c>
      <c r="H14" s="199" t="s">
        <v>452</v>
      </c>
      <c r="I14" s="199">
        <v>2018</v>
      </c>
      <c r="J14" s="200" t="s">
        <v>371</v>
      </c>
      <c r="K14" s="200"/>
      <c r="L14" s="192"/>
      <c r="M14" s="199" t="s">
        <v>242</v>
      </c>
      <c r="N14" s="199" t="s">
        <v>244</v>
      </c>
      <c r="O14" s="199" t="s">
        <v>243</v>
      </c>
      <c r="P14" s="199" t="s">
        <v>245</v>
      </c>
      <c r="Q14" s="199" t="s">
        <v>246</v>
      </c>
      <c r="R14" s="199" t="s">
        <v>440</v>
      </c>
      <c r="S14" s="199" t="s">
        <v>452</v>
      </c>
      <c r="T14" s="199">
        <v>2017</v>
      </c>
      <c r="U14" s="200" t="s">
        <v>371</v>
      </c>
      <c r="V14" s="192"/>
      <c r="W14" s="200"/>
      <c r="X14" s="201"/>
      <c r="Y14" s="200"/>
      <c r="Z14" s="201"/>
      <c r="AA14" s="200"/>
      <c r="AB14" s="201" t="s">
        <v>370</v>
      </c>
      <c r="AC14" s="201"/>
      <c r="AD14" s="201" t="s">
        <v>371</v>
      </c>
      <c r="AE14" s="201"/>
      <c r="AF14" s="201" t="s">
        <v>371</v>
      </c>
    </row>
    <row r="15" spans="1:32" s="128" customFormat="1" ht="54.95" customHeight="1" x14ac:dyDescent="0.85">
      <c r="A15" s="202" t="s">
        <v>62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203" t="s">
        <v>62</v>
      </c>
      <c r="M15" s="192"/>
      <c r="N15" s="192"/>
      <c r="O15" s="192"/>
      <c r="P15" s="192"/>
      <c r="Q15" s="192"/>
      <c r="R15" s="192"/>
      <c r="S15" s="192"/>
      <c r="T15" s="192"/>
      <c r="U15" s="191"/>
      <c r="V15" s="203" t="s">
        <v>62</v>
      </c>
      <c r="W15" s="191"/>
      <c r="X15" s="191"/>
      <c r="Y15" s="191"/>
      <c r="Z15" s="191"/>
      <c r="AA15" s="191"/>
      <c r="AB15" s="191"/>
      <c r="AC15" s="191"/>
      <c r="AD15" s="194"/>
      <c r="AE15" s="191"/>
      <c r="AF15" s="194"/>
    </row>
    <row r="16" spans="1:32" s="128" customFormat="1" ht="54.95" customHeight="1" x14ac:dyDescent="0.85">
      <c r="A16" s="192" t="s">
        <v>247</v>
      </c>
      <c r="B16" s="204">
        <f>'CNT (from FS Analysis)'!N103+'CNT (from FS Analysis)'!N114</f>
        <v>644946409.35000002</v>
      </c>
      <c r="C16" s="204">
        <f>BPM!H8+BPM!H14</f>
        <v>37804107.189999998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f t="shared" ref="I16:I49" si="0">SUM(B16:H16)</f>
        <v>682750516.53999996</v>
      </c>
      <c r="J16" s="205">
        <f>I16/$I$23</f>
        <v>0.22182763353564494</v>
      </c>
      <c r="K16" s="205"/>
      <c r="L16" s="192" t="s">
        <v>247</v>
      </c>
      <c r="M16" s="204">
        <f>1127826308.41+-2992360.49</f>
        <v>1124833947.9200001</v>
      </c>
      <c r="N16" s="204">
        <v>18857657.870000001</v>
      </c>
      <c r="O16" s="204">
        <v>0</v>
      </c>
      <c r="P16" s="204">
        <v>0</v>
      </c>
      <c r="Q16" s="204">
        <v>0</v>
      </c>
      <c r="R16" s="204">
        <v>0</v>
      </c>
      <c r="S16" s="204">
        <v>0</v>
      </c>
      <c r="T16" s="204">
        <f>SUM(M16:S16)</f>
        <v>1143691605.79</v>
      </c>
      <c r="U16" s="206">
        <f>T16/$T$23</f>
        <v>0.5350579477215317</v>
      </c>
      <c r="V16" s="192" t="s">
        <v>247</v>
      </c>
      <c r="W16" s="206"/>
      <c r="X16" s="207">
        <f>I16</f>
        <v>682750516.53999996</v>
      </c>
      <c r="Y16" s="206"/>
      <c r="Z16" s="207">
        <f>T16</f>
        <v>1143691605.79</v>
      </c>
      <c r="AA16" s="206"/>
      <c r="AB16" s="207">
        <f>I16-T16</f>
        <v>-460941089.25</v>
      </c>
      <c r="AC16" s="207"/>
      <c r="AD16" s="206">
        <f>I16/T16</f>
        <v>0.59697082070336005</v>
      </c>
      <c r="AE16" s="207"/>
      <c r="AF16" s="206">
        <f>AD16-1</f>
        <v>-0.40302917929663995</v>
      </c>
    </row>
    <row r="17" spans="1:32" s="128" customFormat="1" ht="54.95" customHeight="1" x14ac:dyDescent="0.85">
      <c r="A17" s="191" t="s">
        <v>248</v>
      </c>
      <c r="B17" s="204">
        <f>'CNT (from FS Analysis)'!N104+'CNT (from FS Analysis)'!N115</f>
        <v>2365125943.5599999</v>
      </c>
      <c r="C17" s="204">
        <f>BPM!H9</f>
        <v>1918478.2599999998</v>
      </c>
      <c r="D17" s="204">
        <v>0</v>
      </c>
      <c r="E17" s="204">
        <v>0</v>
      </c>
      <c r="F17" s="204">
        <v>0</v>
      </c>
      <c r="G17" s="204">
        <v>0</v>
      </c>
      <c r="H17" s="204">
        <v>0</v>
      </c>
      <c r="I17" s="204">
        <f t="shared" si="0"/>
        <v>2367044421.8200002</v>
      </c>
      <c r="J17" s="205">
        <f t="shared" ref="J17:J22" si="1">I17/$I$23</f>
        <v>0.76905963429661817</v>
      </c>
      <c r="K17" s="205"/>
      <c r="L17" s="192" t="s">
        <v>248</v>
      </c>
      <c r="M17" s="204">
        <f>999777144.53+-46135943.76</f>
        <v>953641200.76999998</v>
      </c>
      <c r="N17" s="204">
        <f>4840726.28-525.3</f>
        <v>4840200.9800000004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f t="shared" ref="T17:T93" si="2">SUM(M17:S17)</f>
        <v>958481401.75</v>
      </c>
      <c r="U17" s="206">
        <f t="shared" ref="U17:U22" si="3">T17/$T$23</f>
        <v>0.44841029623135847</v>
      </c>
      <c r="V17" s="192" t="s">
        <v>248</v>
      </c>
      <c r="W17" s="206"/>
      <c r="X17" s="207">
        <f t="shared" ref="X17:X80" si="4">I17</f>
        <v>2367044421.8200002</v>
      </c>
      <c r="Y17" s="206"/>
      <c r="Z17" s="207">
        <f t="shared" ref="Z17:Z80" si="5">T17</f>
        <v>958481401.75</v>
      </c>
      <c r="AA17" s="206"/>
      <c r="AB17" s="207">
        <f t="shared" ref="AB17:AB23" si="6">I17-T17</f>
        <v>1408563020.0700002</v>
      </c>
      <c r="AC17" s="207"/>
      <c r="AD17" s="206">
        <f t="shared" ref="AD17:AD22" si="7">I17/T17</f>
        <v>2.4695778316597892</v>
      </c>
      <c r="AE17" s="207"/>
      <c r="AF17" s="206">
        <f t="shared" ref="AF17:AF89" si="8">AD17-1</f>
        <v>1.4695778316597892</v>
      </c>
    </row>
    <row r="18" spans="1:32" s="128" customFormat="1" ht="54.95" customHeight="1" x14ac:dyDescent="0.85">
      <c r="A18" s="191" t="s">
        <v>249</v>
      </c>
      <c r="B18" s="204">
        <f>'CNT (from FS Analysis)'!N105+'CNT (from FS Analysis)'!N116</f>
        <v>10452198.59</v>
      </c>
      <c r="C18" s="204">
        <f>BPM!H10</f>
        <v>212590.22</v>
      </c>
      <c r="D18" s="204">
        <v>0</v>
      </c>
      <c r="E18" s="204">
        <v>0</v>
      </c>
      <c r="F18" s="204">
        <v>0</v>
      </c>
      <c r="G18" s="204">
        <v>0</v>
      </c>
      <c r="H18" s="204">
        <v>0</v>
      </c>
      <c r="I18" s="204">
        <f t="shared" si="0"/>
        <v>10664788.810000001</v>
      </c>
      <c r="J18" s="205">
        <f t="shared" si="1"/>
        <v>3.4650209799454998E-3</v>
      </c>
      <c r="K18" s="205"/>
      <c r="L18" s="192" t="s">
        <v>249</v>
      </c>
      <c r="M18" s="204">
        <f>13722674.91+-11691.5</f>
        <v>13710983.41</v>
      </c>
      <c r="N18" s="204">
        <v>1272555.82</v>
      </c>
      <c r="O18" s="204">
        <v>0</v>
      </c>
      <c r="P18" s="204">
        <v>0</v>
      </c>
      <c r="Q18" s="204">
        <v>0</v>
      </c>
      <c r="R18" s="204">
        <v>0</v>
      </c>
      <c r="S18" s="204">
        <v>0</v>
      </c>
      <c r="T18" s="204">
        <f t="shared" si="2"/>
        <v>14983539.23</v>
      </c>
      <c r="U18" s="206">
        <f t="shared" si="3"/>
        <v>7.0098107824015281E-3</v>
      </c>
      <c r="V18" s="192" t="s">
        <v>249</v>
      </c>
      <c r="W18" s="206"/>
      <c r="X18" s="207">
        <f t="shared" si="4"/>
        <v>10664788.810000001</v>
      </c>
      <c r="Y18" s="206"/>
      <c r="Z18" s="207">
        <f t="shared" si="5"/>
        <v>14983539.23</v>
      </c>
      <c r="AA18" s="206"/>
      <c r="AB18" s="207">
        <f t="shared" si="6"/>
        <v>-4318750.42</v>
      </c>
      <c r="AC18" s="207"/>
      <c r="AD18" s="206">
        <f t="shared" si="7"/>
        <v>0.71176700286184658</v>
      </c>
      <c r="AE18" s="207"/>
      <c r="AF18" s="206">
        <f t="shared" si="8"/>
        <v>-0.28823299713815342</v>
      </c>
    </row>
    <row r="19" spans="1:32" s="128" customFormat="1" ht="54.95" customHeight="1" x14ac:dyDescent="0.85">
      <c r="A19" s="192" t="s">
        <v>462</v>
      </c>
      <c r="B19" s="204">
        <f>'CNT (from FS Analysis)'!N106+'CNT (from FS Analysis)'!N117</f>
        <v>9945207.9700000007</v>
      </c>
      <c r="C19" s="204">
        <f>BPM!H11</f>
        <v>6512.9</v>
      </c>
      <c r="D19" s="204">
        <v>0</v>
      </c>
      <c r="E19" s="204">
        <v>0</v>
      </c>
      <c r="F19" s="204">
        <v>0</v>
      </c>
      <c r="G19" s="204">
        <v>0</v>
      </c>
      <c r="H19" s="204">
        <v>0</v>
      </c>
      <c r="I19" s="204">
        <f t="shared" si="0"/>
        <v>9951720.870000001</v>
      </c>
      <c r="J19" s="205">
        <f t="shared" si="1"/>
        <v>3.2333431271304738E-3</v>
      </c>
      <c r="K19" s="205"/>
      <c r="L19" s="192" t="s">
        <v>462</v>
      </c>
      <c r="M19" s="204">
        <f>15456108.54-860</f>
        <v>15455248.539999999</v>
      </c>
      <c r="N19" s="204">
        <v>11928.98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f t="shared" si="2"/>
        <v>15467177.52</v>
      </c>
      <c r="U19" s="206">
        <f t="shared" si="3"/>
        <v>7.2360732727239988E-3</v>
      </c>
      <c r="V19" s="192" t="s">
        <v>462</v>
      </c>
      <c r="W19" s="206"/>
      <c r="X19" s="207">
        <f t="shared" si="4"/>
        <v>9951720.870000001</v>
      </c>
      <c r="Y19" s="206"/>
      <c r="Z19" s="207">
        <f t="shared" si="5"/>
        <v>15467177.52</v>
      </c>
      <c r="AA19" s="206"/>
      <c r="AB19" s="207">
        <f t="shared" si="6"/>
        <v>-5515456.6499999985</v>
      </c>
      <c r="AC19" s="207"/>
      <c r="AD19" s="206">
        <f t="shared" si="7"/>
        <v>0.64340897730900304</v>
      </c>
      <c r="AE19" s="207"/>
      <c r="AF19" s="206">
        <f t="shared" si="8"/>
        <v>-0.35659102269099696</v>
      </c>
    </row>
    <row r="20" spans="1:32" s="128" customFormat="1" ht="54.95" customHeight="1" x14ac:dyDescent="0.85">
      <c r="A20" s="191" t="s">
        <v>250</v>
      </c>
      <c r="B20" s="204">
        <f>'CNT (from FS Analysis)'!N110+'CNT (from FS Analysis)'!N120</f>
        <v>3234545.97</v>
      </c>
      <c r="C20" s="204">
        <f>0</f>
        <v>0</v>
      </c>
      <c r="D20" s="204">
        <v>0</v>
      </c>
      <c r="E20" s="204">
        <v>0</v>
      </c>
      <c r="F20" s="204">
        <v>0</v>
      </c>
      <c r="G20" s="204">
        <v>0</v>
      </c>
      <c r="H20" s="204">
        <v>0</v>
      </c>
      <c r="I20" s="204">
        <f t="shared" si="0"/>
        <v>3234545.97</v>
      </c>
      <c r="J20" s="205">
        <f t="shared" si="1"/>
        <v>1.0509134166950436E-3</v>
      </c>
      <c r="K20" s="205"/>
      <c r="L20" s="192" t="s">
        <v>250</v>
      </c>
      <c r="M20" s="204">
        <f>894655+-4425</f>
        <v>890230</v>
      </c>
      <c r="N20" s="204">
        <v>25075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f t="shared" si="2"/>
        <v>915305</v>
      </c>
      <c r="U20" s="206">
        <f t="shared" si="3"/>
        <v>4.2821090262437487E-4</v>
      </c>
      <c r="V20" s="192" t="s">
        <v>250</v>
      </c>
      <c r="W20" s="206"/>
      <c r="X20" s="207">
        <f t="shared" si="4"/>
        <v>3234545.97</v>
      </c>
      <c r="Y20" s="206"/>
      <c r="Z20" s="207">
        <f t="shared" si="5"/>
        <v>915305</v>
      </c>
      <c r="AA20" s="206"/>
      <c r="AB20" s="207">
        <f t="shared" si="6"/>
        <v>2319240.9700000002</v>
      </c>
      <c r="AC20" s="207"/>
      <c r="AD20" s="206">
        <f t="shared" si="7"/>
        <v>3.5338449697095506</v>
      </c>
      <c r="AE20" s="207"/>
      <c r="AF20" s="206">
        <f t="shared" si="8"/>
        <v>2.5338449697095506</v>
      </c>
    </row>
    <row r="21" spans="1:32" s="128" customFormat="1" ht="54.95" customHeight="1" x14ac:dyDescent="0.85">
      <c r="A21" s="191" t="s">
        <v>251</v>
      </c>
      <c r="B21" s="204">
        <f>'CNT (from FS Analysis)'!N121+'CNT (from FS Analysis)'!N122</f>
        <v>294157.5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4">
        <f t="shared" si="0"/>
        <v>294157.5</v>
      </c>
      <c r="J21" s="205">
        <f t="shared" si="1"/>
        <v>9.5572629431967009E-5</v>
      </c>
      <c r="K21" s="205"/>
      <c r="L21" s="192" t="s">
        <v>251</v>
      </c>
      <c r="M21" s="204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f t="shared" si="2"/>
        <v>0</v>
      </c>
      <c r="U21" s="206">
        <f t="shared" si="3"/>
        <v>0</v>
      </c>
      <c r="V21" s="192" t="s">
        <v>251</v>
      </c>
      <c r="W21" s="206"/>
      <c r="X21" s="207">
        <f t="shared" si="4"/>
        <v>294157.5</v>
      </c>
      <c r="Y21" s="206"/>
      <c r="Z21" s="207">
        <f t="shared" si="5"/>
        <v>0</v>
      </c>
      <c r="AA21" s="206"/>
      <c r="AB21" s="207">
        <f t="shared" si="6"/>
        <v>294157.5</v>
      </c>
      <c r="AC21" s="207"/>
      <c r="AD21" s="208">
        <v>0</v>
      </c>
      <c r="AE21" s="207"/>
      <c r="AF21" s="208">
        <v>0</v>
      </c>
    </row>
    <row r="22" spans="1:32" s="128" customFormat="1" ht="54.95" customHeight="1" x14ac:dyDescent="0.85">
      <c r="A22" s="191" t="s">
        <v>252</v>
      </c>
      <c r="B22" s="204">
        <f>'CNT (from FS Analysis)'!N108+'CNT (from FS Analysis)'!N109+'CNT (from FS Analysis)'!N111+'CNT (from FS Analysis)'!N112+'CNT (from FS Analysis)'!N113+'CNT (from FS Analysis)'!N107</f>
        <v>498607.69999999995</v>
      </c>
      <c r="C22" s="204">
        <f>BPM!H12+BPM!H13</f>
        <v>1746434.25</v>
      </c>
      <c r="D22" s="204">
        <f>DEP!H17</f>
        <v>1137613.95</v>
      </c>
      <c r="E22" s="204">
        <v>0</v>
      </c>
      <c r="F22" s="204">
        <f>'BSC (Dome)'!H14</f>
        <v>519685.24000000005</v>
      </c>
      <c r="G22" s="204">
        <v>0</v>
      </c>
      <c r="H22" s="204">
        <v>0</v>
      </c>
      <c r="I22" s="204">
        <f t="shared" si="0"/>
        <v>3902341.1400000006</v>
      </c>
      <c r="J22" s="205">
        <f t="shared" si="1"/>
        <v>1.2678820145341856E-3</v>
      </c>
      <c r="K22" s="205"/>
      <c r="L22" s="192" t="s">
        <v>252</v>
      </c>
      <c r="M22" s="204">
        <f>330+916534.14+296304.45+40454.79+134375.1+-1089</f>
        <v>1386909.4800000002</v>
      </c>
      <c r="N22" s="204">
        <f>192+47095.07+924157.08</f>
        <v>971444.14999999991</v>
      </c>
      <c r="O22" s="204">
        <v>1068230.2</v>
      </c>
      <c r="P22" s="204">
        <v>0</v>
      </c>
      <c r="Q22" s="204">
        <f>524590.47+1000+4903.02+83.06+13608.4</f>
        <v>544184.95000000007</v>
      </c>
      <c r="R22" s="204">
        <v>0</v>
      </c>
      <c r="S22" s="204">
        <v>0</v>
      </c>
      <c r="T22" s="204">
        <f t="shared" si="2"/>
        <v>3970768.7800000003</v>
      </c>
      <c r="U22" s="206">
        <f t="shared" si="3"/>
        <v>1.8576610893598175E-3</v>
      </c>
      <c r="V22" s="192" t="s">
        <v>252</v>
      </c>
      <c r="W22" s="206"/>
      <c r="X22" s="207">
        <f t="shared" si="4"/>
        <v>3902341.1400000006</v>
      </c>
      <c r="Y22" s="206"/>
      <c r="Z22" s="207">
        <f t="shared" si="5"/>
        <v>3970768.7800000003</v>
      </c>
      <c r="AA22" s="206"/>
      <c r="AB22" s="207">
        <f t="shared" si="6"/>
        <v>-68427.639999999665</v>
      </c>
      <c r="AC22" s="207"/>
      <c r="AD22" s="206">
        <f t="shared" si="7"/>
        <v>0.98276715573451257</v>
      </c>
      <c r="AE22" s="207"/>
      <c r="AF22" s="206">
        <f t="shared" si="8"/>
        <v>-1.7232844265487435E-2</v>
      </c>
    </row>
    <row r="23" spans="1:32" s="128" customFormat="1" ht="54.95" customHeight="1" x14ac:dyDescent="0.85">
      <c r="A23" s="202" t="s">
        <v>253</v>
      </c>
      <c r="B23" s="209">
        <f>SUM(B16:B22)</f>
        <v>3034497070.6399994</v>
      </c>
      <c r="C23" s="209">
        <f t="shared" ref="C23:H23" si="9">SUM(C16:C22)</f>
        <v>41688122.819999993</v>
      </c>
      <c r="D23" s="209">
        <f t="shared" si="9"/>
        <v>1137613.95</v>
      </c>
      <c r="E23" s="209">
        <f t="shared" si="9"/>
        <v>0</v>
      </c>
      <c r="F23" s="209">
        <f t="shared" ref="F23:G23" si="10">SUM(F16:F22)</f>
        <v>519685.24000000005</v>
      </c>
      <c r="G23" s="209">
        <f t="shared" si="10"/>
        <v>0</v>
      </c>
      <c r="H23" s="209">
        <f t="shared" si="9"/>
        <v>0</v>
      </c>
      <c r="I23" s="209">
        <f t="shared" si="0"/>
        <v>3077842492.6499991</v>
      </c>
      <c r="J23" s="210">
        <f>SUM(J16:J22)</f>
        <v>1.0000000000000002</v>
      </c>
      <c r="K23" s="211"/>
      <c r="L23" s="203" t="s">
        <v>253</v>
      </c>
      <c r="M23" s="209">
        <f>SUM(M16:M22)</f>
        <v>2109918520.1200001</v>
      </c>
      <c r="N23" s="209">
        <f t="shared" ref="N23:S23" si="11">SUM(N16:N22)</f>
        <v>25978862.800000001</v>
      </c>
      <c r="O23" s="209">
        <f t="shared" si="11"/>
        <v>1068230.2</v>
      </c>
      <c r="P23" s="209">
        <f t="shared" si="11"/>
        <v>0</v>
      </c>
      <c r="Q23" s="209">
        <f t="shared" ref="Q23:R23" si="12">SUM(Q16:Q22)</f>
        <v>544184.95000000007</v>
      </c>
      <c r="R23" s="209">
        <f t="shared" si="12"/>
        <v>0</v>
      </c>
      <c r="S23" s="209">
        <f t="shared" si="11"/>
        <v>0</v>
      </c>
      <c r="T23" s="209">
        <f t="shared" si="2"/>
        <v>2137509798.0700002</v>
      </c>
      <c r="U23" s="212">
        <f>SUM(U16:U22)</f>
        <v>0.99999999999999978</v>
      </c>
      <c r="V23" s="203" t="s">
        <v>253</v>
      </c>
      <c r="W23" s="213"/>
      <c r="X23" s="214">
        <f t="shared" si="4"/>
        <v>3077842492.6499991</v>
      </c>
      <c r="Y23" s="213"/>
      <c r="Z23" s="214">
        <f t="shared" si="5"/>
        <v>2137509798.0700002</v>
      </c>
      <c r="AA23" s="213"/>
      <c r="AB23" s="214">
        <f t="shared" si="6"/>
        <v>940332694.57999897</v>
      </c>
      <c r="AC23" s="214"/>
      <c r="AD23" s="212">
        <f>I23/T23</f>
        <v>1.439919711913856</v>
      </c>
      <c r="AE23" s="214"/>
      <c r="AF23" s="212">
        <f t="shared" si="8"/>
        <v>0.43991971191385604</v>
      </c>
    </row>
    <row r="24" spans="1:32" s="128" customFormat="1" ht="54.95" customHeight="1" x14ac:dyDescent="0.85">
      <c r="A24" s="191"/>
      <c r="B24" s="204"/>
      <c r="C24" s="204"/>
      <c r="D24" s="204"/>
      <c r="E24" s="204"/>
      <c r="F24" s="204"/>
      <c r="G24" s="204"/>
      <c r="H24" s="204"/>
      <c r="I24" s="204">
        <f t="shared" si="0"/>
        <v>0</v>
      </c>
      <c r="J24" s="192"/>
      <c r="K24" s="192"/>
      <c r="L24" s="192"/>
      <c r="M24" s="204"/>
      <c r="N24" s="204"/>
      <c r="O24" s="204"/>
      <c r="P24" s="204"/>
      <c r="Q24" s="204"/>
      <c r="R24" s="204"/>
      <c r="S24" s="204"/>
      <c r="T24" s="204">
        <f t="shared" si="2"/>
        <v>0</v>
      </c>
      <c r="U24" s="191"/>
      <c r="V24" s="192"/>
      <c r="W24" s="191"/>
      <c r="X24" s="207"/>
      <c r="Y24" s="191"/>
      <c r="Z24" s="207">
        <f t="shared" si="5"/>
        <v>0</v>
      </c>
      <c r="AA24" s="191"/>
      <c r="AB24" s="207"/>
      <c r="AC24" s="207"/>
      <c r="AD24" s="215"/>
      <c r="AE24" s="207"/>
      <c r="AF24" s="215"/>
    </row>
    <row r="25" spans="1:32" s="128" customFormat="1" ht="54.95" customHeight="1" x14ac:dyDescent="0.85">
      <c r="A25" s="202" t="s">
        <v>217</v>
      </c>
      <c r="B25" s="204"/>
      <c r="C25" s="204"/>
      <c r="D25" s="204"/>
      <c r="E25" s="204"/>
      <c r="F25" s="204"/>
      <c r="G25" s="204"/>
      <c r="H25" s="204"/>
      <c r="I25" s="204">
        <f t="shared" si="0"/>
        <v>0</v>
      </c>
      <c r="J25" s="192"/>
      <c r="K25" s="192"/>
      <c r="L25" s="203" t="s">
        <v>217</v>
      </c>
      <c r="M25" s="204"/>
      <c r="N25" s="204"/>
      <c r="O25" s="204"/>
      <c r="P25" s="204"/>
      <c r="Q25" s="204"/>
      <c r="R25" s="204"/>
      <c r="S25" s="204"/>
      <c r="T25" s="204">
        <f t="shared" si="2"/>
        <v>0</v>
      </c>
      <c r="U25" s="191"/>
      <c r="V25" s="203" t="s">
        <v>217</v>
      </c>
      <c r="W25" s="191"/>
      <c r="X25" s="207"/>
      <c r="Y25" s="191"/>
      <c r="Z25" s="207">
        <f t="shared" si="5"/>
        <v>0</v>
      </c>
      <c r="AA25" s="191"/>
      <c r="AB25" s="207"/>
      <c r="AC25" s="207"/>
      <c r="AD25" s="215"/>
      <c r="AE25" s="207"/>
      <c r="AF25" s="215"/>
    </row>
    <row r="26" spans="1:32" s="128" customFormat="1" ht="54.95" customHeight="1" x14ac:dyDescent="0.85">
      <c r="A26" s="191" t="s">
        <v>247</v>
      </c>
      <c r="B26" s="204">
        <f>'CNT (from FS Analysis)'!N127+'CNT (from FS Analysis)'!N139+'CNT (from FS Analysis)'!N144+'CNT (from FS Analysis)'!N143+'CNT (from FS Analysis)'!N148+'CNT (from FS Analysis)'!N152+'CNT (from FS Analysis)'!N159</f>
        <v>641236419.20000005</v>
      </c>
      <c r="C26" s="204">
        <f>BPM!H18+BPM!H27</f>
        <v>37683996.719999999</v>
      </c>
      <c r="D26" s="204">
        <v>0</v>
      </c>
      <c r="E26" s="204">
        <v>0</v>
      </c>
      <c r="F26" s="204">
        <v>0</v>
      </c>
      <c r="G26" s="204">
        <v>0</v>
      </c>
      <c r="H26" s="204">
        <v>0</v>
      </c>
      <c r="I26" s="204">
        <f t="shared" si="0"/>
        <v>678920415.92000008</v>
      </c>
      <c r="J26" s="205">
        <f>I26/$I$33</f>
        <v>0.22098056838552169</v>
      </c>
      <c r="K26" s="205"/>
      <c r="L26" s="192" t="s">
        <v>247</v>
      </c>
      <c r="M26" s="204">
        <f>1121116224.21+170902379.14+-1943447736.4+-171029629.85+1936299624.82+-1402060.96+1865606.39</f>
        <v>1114304407.3499997</v>
      </c>
      <c r="N26" s="204">
        <f>18635531.65+6847.2+606.81</f>
        <v>18642985.659999996</v>
      </c>
      <c r="O26" s="204">
        <v>0</v>
      </c>
      <c r="P26" s="204">
        <v>0</v>
      </c>
      <c r="Q26" s="204">
        <v>0</v>
      </c>
      <c r="R26" s="204">
        <v>0</v>
      </c>
      <c r="S26" s="204">
        <v>0</v>
      </c>
      <c r="T26" s="204">
        <f t="shared" si="2"/>
        <v>1132947393.0099998</v>
      </c>
      <c r="U26" s="206">
        <f>T26/$T$33</f>
        <v>0.5312159055889043</v>
      </c>
      <c r="V26" s="192" t="s">
        <v>247</v>
      </c>
      <c r="W26" s="206"/>
      <c r="X26" s="207">
        <f t="shared" si="4"/>
        <v>678920415.92000008</v>
      </c>
      <c r="Y26" s="206"/>
      <c r="Z26" s="207">
        <f t="shared" si="5"/>
        <v>1132947393.0099998</v>
      </c>
      <c r="AA26" s="206"/>
      <c r="AB26" s="207">
        <f>I26-T26</f>
        <v>-454026977.08999968</v>
      </c>
      <c r="AC26" s="207"/>
      <c r="AD26" s="206">
        <f>I26/T26</f>
        <v>0.59925149226589702</v>
      </c>
      <c r="AE26" s="207"/>
      <c r="AF26" s="206">
        <f t="shared" si="8"/>
        <v>-0.40074850773410298</v>
      </c>
    </row>
    <row r="27" spans="1:32" s="128" customFormat="1" ht="54.95" customHeight="1" x14ac:dyDescent="0.85">
      <c r="A27" s="191" t="s">
        <v>248</v>
      </c>
      <c r="B27" s="204">
        <f>'CNT (from FS Analysis)'!N128+'CNT (from FS Analysis)'!N140+'CNT (from FS Analysis)'!N145+'CNT (from FS Analysis)'!N149+'CNT (from FS Analysis)'!N153+'CNT (from FS Analysis)'!N156+'CNT (from FS Analysis)'!N160</f>
        <v>2358941127.960001</v>
      </c>
      <c r="C27" s="204">
        <f>BPM!H19+BPM!H28</f>
        <v>1814172.5300000003</v>
      </c>
      <c r="D27" s="204">
        <v>0</v>
      </c>
      <c r="E27" s="204">
        <v>0</v>
      </c>
      <c r="F27" s="204">
        <v>0</v>
      </c>
      <c r="G27" s="204">
        <v>0</v>
      </c>
      <c r="H27" s="204">
        <v>0</v>
      </c>
      <c r="I27" s="204">
        <f t="shared" si="0"/>
        <v>2360755300.4900012</v>
      </c>
      <c r="J27" s="205">
        <f t="shared" ref="J27:J32" si="13">I27/$I$33</f>
        <v>0.76839793868105633</v>
      </c>
      <c r="K27" s="205"/>
      <c r="L27" s="192" t="s">
        <v>248</v>
      </c>
      <c r="M27" s="204">
        <f>958366677.77+489630947.87+-490134978.42+4023572564.92+-439303.76+-4019587018.89+-3536461.09</f>
        <v>957872428.39999926</v>
      </c>
      <c r="N27" s="204">
        <f>4825919.78-93017.65+156.76</f>
        <v>4733058.8899999997</v>
      </c>
      <c r="O27" s="204">
        <v>0</v>
      </c>
      <c r="P27" s="204">
        <v>0</v>
      </c>
      <c r="Q27" s="204">
        <v>0</v>
      </c>
      <c r="R27" s="204">
        <v>0</v>
      </c>
      <c r="S27" s="204">
        <v>0</v>
      </c>
      <c r="T27" s="204">
        <f t="shared" si="2"/>
        <v>962605487.28999925</v>
      </c>
      <c r="U27" s="206">
        <f t="shared" ref="U27:U32" si="14">T27/$T$33</f>
        <v>0.451346063206919</v>
      </c>
      <c r="V27" s="192" t="s">
        <v>248</v>
      </c>
      <c r="W27" s="206"/>
      <c r="X27" s="207">
        <f t="shared" si="4"/>
        <v>2360755300.4900012</v>
      </c>
      <c r="Y27" s="206"/>
      <c r="Z27" s="207">
        <f t="shared" si="5"/>
        <v>962605487.28999925</v>
      </c>
      <c r="AA27" s="206"/>
      <c r="AB27" s="207">
        <f t="shared" ref="AB27:AB32" si="15">I27-T27</f>
        <v>1398149813.200002</v>
      </c>
      <c r="AC27" s="207"/>
      <c r="AD27" s="206">
        <f t="shared" ref="AD27:AD32" si="16">I27/T27</f>
        <v>2.4524639965809674</v>
      </c>
      <c r="AE27" s="207"/>
      <c r="AF27" s="206">
        <f t="shared" si="8"/>
        <v>1.4524639965809674</v>
      </c>
    </row>
    <row r="28" spans="1:32" s="128" customFormat="1" ht="54.95" customHeight="1" x14ac:dyDescent="0.85">
      <c r="A28" s="191" t="s">
        <v>249</v>
      </c>
      <c r="B28" s="204">
        <f>'CNT (from FS Analysis)'!N129+'CNT (from FS Analysis)'!N141+'CNT (from FS Analysis)'!N146+'CNT (from FS Analysis)'!N150+'CNT (from FS Analysis)'!N154+'CNT (from FS Analysis)'!N158+'CNT (from FS Analysis)'!N161</f>
        <v>10382742.020000001</v>
      </c>
      <c r="C28" s="204">
        <f>BPM!H20+BPM!H29</f>
        <v>200831.6</v>
      </c>
      <c r="D28" s="204">
        <v>0</v>
      </c>
      <c r="E28" s="204">
        <v>0</v>
      </c>
      <c r="F28" s="204">
        <v>0</v>
      </c>
      <c r="G28" s="204">
        <v>0</v>
      </c>
      <c r="H28" s="204">
        <v>0</v>
      </c>
      <c r="I28" s="204">
        <f t="shared" si="0"/>
        <v>10583573.620000001</v>
      </c>
      <c r="J28" s="205">
        <f t="shared" si="13"/>
        <v>3.4448280818428056E-3</v>
      </c>
      <c r="K28" s="205"/>
      <c r="L28" s="192" t="s">
        <v>249</v>
      </c>
      <c r="M28" s="204">
        <f>13651421.94+6064045+-6150825+3286795.62+6739.58+-3322792.5+-71079.15</f>
        <v>13464305.489999996</v>
      </c>
      <c r="N28" s="204">
        <f>1220881.77+2880.85</f>
        <v>1223762.6200000001</v>
      </c>
      <c r="O28" s="204">
        <v>0</v>
      </c>
      <c r="P28" s="204">
        <v>0</v>
      </c>
      <c r="Q28" s="204">
        <v>0</v>
      </c>
      <c r="R28" s="204">
        <v>0</v>
      </c>
      <c r="S28" s="204">
        <v>0</v>
      </c>
      <c r="T28" s="204">
        <f t="shared" si="2"/>
        <v>14688068.109999996</v>
      </c>
      <c r="U28" s="206">
        <f t="shared" si="14"/>
        <v>6.8869353074510189E-3</v>
      </c>
      <c r="V28" s="192" t="s">
        <v>249</v>
      </c>
      <c r="W28" s="206"/>
      <c r="X28" s="207">
        <f t="shared" si="4"/>
        <v>10583573.620000001</v>
      </c>
      <c r="Y28" s="206"/>
      <c r="Z28" s="207">
        <f t="shared" si="5"/>
        <v>14688068.109999996</v>
      </c>
      <c r="AA28" s="206"/>
      <c r="AB28" s="207">
        <f>I28-T28</f>
        <v>-4104494.4899999946</v>
      </c>
      <c r="AC28" s="207"/>
      <c r="AD28" s="206">
        <f t="shared" si="16"/>
        <v>0.72055586485158285</v>
      </c>
      <c r="AE28" s="207"/>
      <c r="AF28" s="206">
        <f t="shared" si="8"/>
        <v>-0.27944413514841715</v>
      </c>
    </row>
    <row r="29" spans="1:32" s="128" customFormat="1" ht="54.95" customHeight="1" x14ac:dyDescent="0.85">
      <c r="A29" s="191" t="s">
        <v>462</v>
      </c>
      <c r="B29" s="204">
        <f>'CNT (from FS Analysis)'!N130+'CNT (from FS Analysis)'!N151+'CNT (from FS Analysis)'!N155+'CNT (from FS Analysis)'!N162+'CNT (from FS Analysis)'!N163</f>
        <v>10591726.950000001</v>
      </c>
      <c r="C29" s="204">
        <f>BPM!H21</f>
        <v>4090</v>
      </c>
      <c r="D29" s="204">
        <v>0</v>
      </c>
      <c r="E29" s="204">
        <v>0</v>
      </c>
      <c r="F29" s="204">
        <v>0</v>
      </c>
      <c r="G29" s="204">
        <v>0</v>
      </c>
      <c r="H29" s="204">
        <v>0</v>
      </c>
      <c r="I29" s="204">
        <f t="shared" si="0"/>
        <v>10595816.950000001</v>
      </c>
      <c r="J29" s="205">
        <f t="shared" si="13"/>
        <v>3.4488131410027444E-3</v>
      </c>
      <c r="K29" s="205"/>
      <c r="L29" s="192" t="s">
        <v>462</v>
      </c>
      <c r="M29" s="204">
        <f>15202268.45+153873.75+-157755+2039017.9+-76581.55+869991.12+-2382613.5</f>
        <v>15648201.169999998</v>
      </c>
      <c r="N29" s="204">
        <f>11092.65-65</f>
        <v>11027.65</v>
      </c>
      <c r="O29" s="204">
        <v>0</v>
      </c>
      <c r="P29" s="204">
        <v>0</v>
      </c>
      <c r="Q29" s="204">
        <v>0</v>
      </c>
      <c r="R29" s="204">
        <v>0</v>
      </c>
      <c r="S29" s="204">
        <v>0</v>
      </c>
      <c r="T29" s="204">
        <f t="shared" si="2"/>
        <v>15659228.819999998</v>
      </c>
      <c r="U29" s="206">
        <f t="shared" si="14"/>
        <v>7.3422927399478533E-3</v>
      </c>
      <c r="V29" s="192" t="s">
        <v>462</v>
      </c>
      <c r="W29" s="206"/>
      <c r="X29" s="207">
        <f t="shared" si="4"/>
        <v>10595816.950000001</v>
      </c>
      <c r="Y29" s="206"/>
      <c r="Z29" s="207">
        <f t="shared" si="5"/>
        <v>15659228.819999998</v>
      </c>
      <c r="AA29" s="206"/>
      <c r="AB29" s="207">
        <f t="shared" si="15"/>
        <v>-5063411.8699999973</v>
      </c>
      <c r="AC29" s="207"/>
      <c r="AD29" s="206">
        <f t="shared" si="16"/>
        <v>0.67664998524493125</v>
      </c>
      <c r="AE29" s="207"/>
      <c r="AF29" s="206">
        <f t="shared" si="8"/>
        <v>-0.32335001475506875</v>
      </c>
    </row>
    <row r="30" spans="1:32" s="128" customFormat="1" ht="54.95" customHeight="1" x14ac:dyDescent="0.85">
      <c r="A30" s="191" t="s">
        <v>250</v>
      </c>
      <c r="B30" s="204">
        <f>'CNT (from FS Analysis)'!N133+'CNT (from FS Analysis)'!N157</f>
        <v>3007303.66</v>
      </c>
      <c r="C30" s="204">
        <f>0</f>
        <v>0</v>
      </c>
      <c r="D30" s="204">
        <v>0</v>
      </c>
      <c r="E30" s="204">
        <v>0</v>
      </c>
      <c r="F30" s="204">
        <v>0</v>
      </c>
      <c r="G30" s="204">
        <v>0</v>
      </c>
      <c r="H30" s="204">
        <v>0</v>
      </c>
      <c r="I30" s="204">
        <f t="shared" si="0"/>
        <v>3007303.66</v>
      </c>
      <c r="J30" s="205">
        <f t="shared" si="13"/>
        <v>9.7884178544568466E-4</v>
      </c>
      <c r="K30" s="205"/>
      <c r="L30" s="192" t="s">
        <v>250</v>
      </c>
      <c r="M30" s="204">
        <f>840123.29+21000</f>
        <v>861123.29</v>
      </c>
      <c r="N30" s="204">
        <v>23167</v>
      </c>
      <c r="O30" s="204">
        <v>0</v>
      </c>
      <c r="P30" s="204">
        <v>0</v>
      </c>
      <c r="Q30" s="204">
        <v>0</v>
      </c>
      <c r="R30" s="204">
        <v>0</v>
      </c>
      <c r="S30" s="204">
        <v>0</v>
      </c>
      <c r="T30" s="204">
        <f t="shared" si="2"/>
        <v>884290.29</v>
      </c>
      <c r="U30" s="206">
        <f t="shared" si="14"/>
        <v>4.1462566585532417E-4</v>
      </c>
      <c r="V30" s="192" t="s">
        <v>250</v>
      </c>
      <c r="W30" s="206"/>
      <c r="X30" s="207">
        <f t="shared" si="4"/>
        <v>3007303.66</v>
      </c>
      <c r="Y30" s="206"/>
      <c r="Z30" s="207">
        <f t="shared" si="5"/>
        <v>884290.29</v>
      </c>
      <c r="AA30" s="206"/>
      <c r="AB30" s="207">
        <f t="shared" si="15"/>
        <v>2123013.37</v>
      </c>
      <c r="AC30" s="207"/>
      <c r="AD30" s="206">
        <f t="shared" si="16"/>
        <v>3.4008104510567452</v>
      </c>
      <c r="AE30" s="207"/>
      <c r="AF30" s="206">
        <f t="shared" si="8"/>
        <v>2.4008104510567452</v>
      </c>
    </row>
    <row r="31" spans="1:32" s="128" customFormat="1" ht="54.95" customHeight="1" x14ac:dyDescent="0.85">
      <c r="A31" s="191" t="s">
        <v>251</v>
      </c>
      <c r="B31" s="204">
        <f>'CNT (from FS Analysis)'!N179+'CNT (from FS Analysis)'!N180+'CNT (from FS Analysis)'!N181+'CNT (from FS Analysis)'!N182</f>
        <v>182197.71</v>
      </c>
      <c r="C31" s="204">
        <f>0</f>
        <v>0</v>
      </c>
      <c r="D31" s="204">
        <v>0</v>
      </c>
      <c r="E31" s="204">
        <v>0</v>
      </c>
      <c r="F31" s="204">
        <v>0</v>
      </c>
      <c r="G31" s="204">
        <v>0</v>
      </c>
      <c r="H31" s="204">
        <v>0</v>
      </c>
      <c r="I31" s="204">
        <f t="shared" si="0"/>
        <v>182197.71</v>
      </c>
      <c r="J31" s="205">
        <f t="shared" si="13"/>
        <v>5.9303200449174143E-5</v>
      </c>
      <c r="K31" s="205"/>
      <c r="L31" s="192" t="s">
        <v>251</v>
      </c>
      <c r="M31" s="204">
        <v>0</v>
      </c>
      <c r="N31" s="204">
        <v>0</v>
      </c>
      <c r="O31" s="204">
        <v>0</v>
      </c>
      <c r="P31" s="204">
        <v>0</v>
      </c>
      <c r="Q31" s="204">
        <v>0</v>
      </c>
      <c r="R31" s="204">
        <v>0</v>
      </c>
      <c r="S31" s="204">
        <v>0</v>
      </c>
      <c r="T31" s="204">
        <f t="shared" si="2"/>
        <v>0</v>
      </c>
      <c r="U31" s="206">
        <f t="shared" si="14"/>
        <v>0</v>
      </c>
      <c r="V31" s="192" t="s">
        <v>251</v>
      </c>
      <c r="W31" s="206"/>
      <c r="X31" s="207">
        <f t="shared" si="4"/>
        <v>182197.71</v>
      </c>
      <c r="Y31" s="206"/>
      <c r="Z31" s="207">
        <f t="shared" si="5"/>
        <v>0</v>
      </c>
      <c r="AA31" s="206"/>
      <c r="AB31" s="207">
        <f t="shared" si="15"/>
        <v>182197.71</v>
      </c>
      <c r="AC31" s="207"/>
      <c r="AD31" s="208">
        <v>0</v>
      </c>
      <c r="AE31" s="207"/>
      <c r="AF31" s="208">
        <v>0</v>
      </c>
    </row>
    <row r="32" spans="1:32" s="128" customFormat="1" ht="54.95" customHeight="1" x14ac:dyDescent="0.85">
      <c r="A32" s="191" t="s">
        <v>252</v>
      </c>
      <c r="B32" s="204">
        <f>'CNT (from FS Analysis)'!N125+'CNT (from FS Analysis)'!N132+'CNT (from FS Analysis)'!N134+'CNT (from FS Analysis)'!N135+'CNT (from FS Analysis)'!N137+'CNT (from FS Analysis)'!N138+'CNT (from FS Analysis)'!N164+'CNT (from FS Analysis)'!N165+'CNT (from FS Analysis)'!N166+'CNT (from FS Analysis)'!N168+'CNT (from FS Analysis)'!N169+'CNT (from FS Analysis)'!N170+'CNT (from FS Analysis)'!N171+'CNT (from FS Analysis)'!N172+'CNT (from FS Analysis)'!N173+'CNT (from FS Analysis)'!N174+'CNT (from FS Analysis)'!N175+'CNT (from FS Analysis)'!N176+'CNT (from FS Analysis)'!N177+'CNT (from FS Analysis)'!N178+'CNT (from FS Analysis)'!N167+'CNT (from FS Analysis)'!N19</f>
        <v>6667015.339999998</v>
      </c>
      <c r="C32" s="204">
        <f>BPM!H22+BPM!H23+BPM!H24+BPM!H30+BPM!H31+BPM!H25+BPM!H26</f>
        <v>1443083.0499999998</v>
      </c>
      <c r="D32" s="204">
        <f>DEP!H23</f>
        <v>151861.46000000002</v>
      </c>
      <c r="E32" s="204">
        <v>0</v>
      </c>
      <c r="F32" s="204">
        <f>'BSC (Dome)'!H18</f>
        <v>1648.2199999999998</v>
      </c>
      <c r="G32" s="204">
        <v>0</v>
      </c>
      <c r="H32" s="204">
        <v>0</v>
      </c>
      <c r="I32" s="204">
        <f t="shared" si="0"/>
        <v>8263608.0699999975</v>
      </c>
      <c r="J32" s="205">
        <f t="shared" si="13"/>
        <v>2.689706724681792E-3</v>
      </c>
      <c r="K32" s="205"/>
      <c r="L32" s="192" t="s">
        <v>252</v>
      </c>
      <c r="M32" s="204">
        <f>-8752.09+48+814718.38+897393.85+22801.02+1250+9+42784.48+170257.84+2839112.18+148183.36+3807+14411.83+82465.07+277.16+-1266.32+1648.68</f>
        <v>5029149.4400000004</v>
      </c>
      <c r="N32" s="204">
        <f>46748.44+135776.55+-1576.9+2770.02+820.8+462305.92+260406.79</f>
        <v>907251.62</v>
      </c>
      <c r="O32" s="204">
        <v>21945.200000000001</v>
      </c>
      <c r="P32" s="204">
        <v>0</v>
      </c>
      <c r="Q32" s="204">
        <v>918.27</v>
      </c>
      <c r="R32" s="204">
        <v>0</v>
      </c>
      <c r="S32" s="204">
        <v>0</v>
      </c>
      <c r="T32" s="204">
        <f t="shared" si="2"/>
        <v>5959264.5300000003</v>
      </c>
      <c r="U32" s="206">
        <f t="shared" si="14"/>
        <v>2.7941774909224274E-3</v>
      </c>
      <c r="V32" s="192" t="s">
        <v>252</v>
      </c>
      <c r="W32" s="206"/>
      <c r="X32" s="207">
        <f t="shared" si="4"/>
        <v>8263608.0699999975</v>
      </c>
      <c r="Y32" s="206"/>
      <c r="Z32" s="207">
        <f t="shared" si="5"/>
        <v>5959264.5300000003</v>
      </c>
      <c r="AA32" s="206"/>
      <c r="AB32" s="207">
        <f t="shared" si="15"/>
        <v>2304343.5399999972</v>
      </c>
      <c r="AC32" s="207"/>
      <c r="AD32" s="206">
        <f t="shared" si="16"/>
        <v>1.3866825391622608</v>
      </c>
      <c r="AE32" s="207"/>
      <c r="AF32" s="206">
        <f t="shared" si="8"/>
        <v>0.38668253916226081</v>
      </c>
    </row>
    <row r="33" spans="1:32" s="128" customFormat="1" ht="54.95" customHeight="1" x14ac:dyDescent="0.85">
      <c r="A33" s="202" t="s">
        <v>254</v>
      </c>
      <c r="B33" s="209">
        <f>SUM(B26:B32)</f>
        <v>3031008532.8400006</v>
      </c>
      <c r="C33" s="209">
        <f t="shared" ref="C33:H33" si="17">SUM(C26:C32)</f>
        <v>41146173.899999999</v>
      </c>
      <c r="D33" s="209">
        <f t="shared" si="17"/>
        <v>151861.46000000002</v>
      </c>
      <c r="E33" s="209">
        <f t="shared" si="17"/>
        <v>0</v>
      </c>
      <c r="F33" s="209">
        <f t="shared" ref="F33:G33" si="18">SUM(F26:F32)</f>
        <v>1648.2199999999998</v>
      </c>
      <c r="G33" s="209">
        <f t="shared" si="18"/>
        <v>0</v>
      </c>
      <c r="H33" s="209">
        <f t="shared" si="17"/>
        <v>0</v>
      </c>
      <c r="I33" s="209">
        <f t="shared" si="0"/>
        <v>3072308216.4200006</v>
      </c>
      <c r="J33" s="210">
        <f>SUM(J26:J32)</f>
        <v>1.0000000000000002</v>
      </c>
      <c r="K33" s="211"/>
      <c r="L33" s="203" t="s">
        <v>254</v>
      </c>
      <c r="M33" s="209">
        <f>SUM(M26:M32)</f>
        <v>2107179615.1399992</v>
      </c>
      <c r="N33" s="209">
        <f t="shared" ref="N33:S33" si="19">SUM(N26:N32)</f>
        <v>25541253.439999998</v>
      </c>
      <c r="O33" s="209">
        <f t="shared" si="19"/>
        <v>21945.200000000001</v>
      </c>
      <c r="P33" s="209">
        <f t="shared" si="19"/>
        <v>0</v>
      </c>
      <c r="Q33" s="209">
        <f t="shared" ref="Q33:R33" si="20">SUM(Q26:Q32)</f>
        <v>918.27</v>
      </c>
      <c r="R33" s="209">
        <f t="shared" si="20"/>
        <v>0</v>
      </c>
      <c r="S33" s="209">
        <f t="shared" si="19"/>
        <v>0</v>
      </c>
      <c r="T33" s="209">
        <f t="shared" si="2"/>
        <v>2132743732.0499992</v>
      </c>
      <c r="U33" s="212">
        <f>SUM(U26:U32)</f>
        <v>1</v>
      </c>
      <c r="V33" s="203" t="s">
        <v>254</v>
      </c>
      <c r="W33" s="213"/>
      <c r="X33" s="214">
        <f t="shared" si="4"/>
        <v>3072308216.4200006</v>
      </c>
      <c r="Y33" s="213"/>
      <c r="Z33" s="214">
        <f t="shared" si="5"/>
        <v>2132743732.0499992</v>
      </c>
      <c r="AA33" s="213"/>
      <c r="AB33" s="214">
        <f>SUM(AB26:AB32)</f>
        <v>939564484.37000227</v>
      </c>
      <c r="AC33" s="214"/>
      <c r="AD33" s="212">
        <f>I33/T33</f>
        <v>1.4405426072765382</v>
      </c>
      <c r="AE33" s="214"/>
      <c r="AF33" s="212">
        <f t="shared" si="8"/>
        <v>0.44054260727653816</v>
      </c>
    </row>
    <row r="34" spans="1:32" s="128" customFormat="1" ht="54.95" customHeight="1" x14ac:dyDescent="0.85">
      <c r="A34" s="191"/>
      <c r="B34" s="204"/>
      <c r="C34" s="204"/>
      <c r="D34" s="204"/>
      <c r="E34" s="204"/>
      <c r="F34" s="204"/>
      <c r="G34" s="204"/>
      <c r="H34" s="204"/>
      <c r="I34" s="204">
        <f t="shared" si="0"/>
        <v>0</v>
      </c>
      <c r="J34" s="192"/>
      <c r="K34" s="192"/>
      <c r="L34" s="192"/>
      <c r="M34" s="204"/>
      <c r="N34" s="204"/>
      <c r="O34" s="204"/>
      <c r="P34" s="204"/>
      <c r="Q34" s="204"/>
      <c r="R34" s="204"/>
      <c r="S34" s="204"/>
      <c r="T34" s="204">
        <f t="shared" si="2"/>
        <v>0</v>
      </c>
      <c r="U34" s="191"/>
      <c r="V34" s="192"/>
      <c r="W34" s="191"/>
      <c r="X34" s="207">
        <f t="shared" si="4"/>
        <v>0</v>
      </c>
      <c r="Y34" s="191"/>
      <c r="Z34" s="207">
        <f t="shared" si="5"/>
        <v>0</v>
      </c>
      <c r="AA34" s="191"/>
      <c r="AB34" s="207"/>
      <c r="AC34" s="207"/>
      <c r="AD34" s="206"/>
      <c r="AE34" s="207"/>
      <c r="AF34" s="206"/>
    </row>
    <row r="35" spans="1:32" s="128" customFormat="1" ht="54.95" customHeight="1" thickBot="1" x14ac:dyDescent="0.9">
      <c r="A35" s="202" t="s">
        <v>241</v>
      </c>
      <c r="B35" s="216">
        <f>B23-B33</f>
        <v>3488537.7999987602</v>
      </c>
      <c r="C35" s="216">
        <f t="shared" ref="C35:H35" si="21">C23-C33</f>
        <v>541948.91999999434</v>
      </c>
      <c r="D35" s="216">
        <f t="shared" si="21"/>
        <v>985752.49</v>
      </c>
      <c r="E35" s="216">
        <f t="shared" si="21"/>
        <v>0</v>
      </c>
      <c r="F35" s="216">
        <f t="shared" ref="F35:G35" si="22">F23-F33</f>
        <v>518037.02000000008</v>
      </c>
      <c r="G35" s="216">
        <f t="shared" si="22"/>
        <v>0</v>
      </c>
      <c r="H35" s="216">
        <f t="shared" si="21"/>
        <v>0</v>
      </c>
      <c r="I35" s="216">
        <f t="shared" si="0"/>
        <v>5534276.2299987553</v>
      </c>
      <c r="J35" s="192"/>
      <c r="K35" s="192"/>
      <c r="L35" s="203" t="s">
        <v>241</v>
      </c>
      <c r="M35" s="216">
        <f>M23-M33</f>
        <v>2738904.9800009727</v>
      </c>
      <c r="N35" s="216">
        <f t="shared" ref="N35:S35" si="23">N23-N33</f>
        <v>437609.36000000313</v>
      </c>
      <c r="O35" s="216">
        <f t="shared" si="23"/>
        <v>1046285</v>
      </c>
      <c r="P35" s="216">
        <f t="shared" si="23"/>
        <v>0</v>
      </c>
      <c r="Q35" s="216">
        <f>Q23-Q33</f>
        <v>543266.68000000005</v>
      </c>
      <c r="R35" s="216">
        <f t="shared" ref="R35" si="24">R23-R33</f>
        <v>0</v>
      </c>
      <c r="S35" s="216">
        <f t="shared" si="23"/>
        <v>0</v>
      </c>
      <c r="T35" s="216">
        <f t="shared" si="2"/>
        <v>4766066.0200009756</v>
      </c>
      <c r="U35" s="191"/>
      <c r="V35" s="203" t="s">
        <v>241</v>
      </c>
      <c r="W35" s="191"/>
      <c r="X35" s="217">
        <f t="shared" si="4"/>
        <v>5534276.2299987553</v>
      </c>
      <c r="Y35" s="191"/>
      <c r="Z35" s="217">
        <f t="shared" si="5"/>
        <v>4766066.0200009756</v>
      </c>
      <c r="AA35" s="191"/>
      <c r="AB35" s="217">
        <f>I35-T35</f>
        <v>768210.20999777969</v>
      </c>
      <c r="AC35" s="217"/>
      <c r="AD35" s="218">
        <f>I35/T35</f>
        <v>1.1611832917911662</v>
      </c>
      <c r="AE35" s="217"/>
      <c r="AF35" s="218">
        <f t="shared" si="8"/>
        <v>0.16118329179116619</v>
      </c>
    </row>
    <row r="36" spans="1:32" s="128" customFormat="1" ht="54.95" customHeight="1" x14ac:dyDescent="0.85">
      <c r="A36" s="191"/>
      <c r="B36" s="204"/>
      <c r="C36" s="204"/>
      <c r="D36" s="204"/>
      <c r="E36" s="204"/>
      <c r="F36" s="204"/>
      <c r="G36" s="204"/>
      <c r="H36" s="204"/>
      <c r="I36" s="204">
        <f t="shared" si="0"/>
        <v>0</v>
      </c>
      <c r="J36" s="192"/>
      <c r="K36" s="192"/>
      <c r="L36" s="192"/>
      <c r="M36" s="204"/>
      <c r="N36" s="204"/>
      <c r="O36" s="204"/>
      <c r="P36" s="204"/>
      <c r="Q36" s="204"/>
      <c r="R36" s="204"/>
      <c r="S36" s="204"/>
      <c r="T36" s="204">
        <f t="shared" si="2"/>
        <v>0</v>
      </c>
      <c r="U36" s="191"/>
      <c r="V36" s="192"/>
      <c r="W36" s="191"/>
      <c r="X36" s="207"/>
      <c r="Y36" s="191"/>
      <c r="Z36" s="207">
        <f t="shared" si="5"/>
        <v>0</v>
      </c>
      <c r="AA36" s="191"/>
      <c r="AB36" s="207"/>
      <c r="AC36" s="207"/>
      <c r="AD36" s="215"/>
      <c r="AE36" s="207"/>
      <c r="AF36" s="215"/>
    </row>
    <row r="37" spans="1:32" s="128" customFormat="1" ht="54.95" customHeight="1" x14ac:dyDescent="0.85">
      <c r="A37" s="202" t="s">
        <v>239</v>
      </c>
      <c r="B37" s="204"/>
      <c r="C37" s="204"/>
      <c r="D37" s="204"/>
      <c r="E37" s="204"/>
      <c r="F37" s="204"/>
      <c r="G37" s="204"/>
      <c r="H37" s="204"/>
      <c r="I37" s="204">
        <f t="shared" si="0"/>
        <v>0</v>
      </c>
      <c r="J37" s="192"/>
      <c r="K37" s="192"/>
      <c r="L37" s="203" t="s">
        <v>239</v>
      </c>
      <c r="M37" s="204"/>
      <c r="N37" s="204"/>
      <c r="O37" s="204"/>
      <c r="P37" s="204"/>
      <c r="Q37" s="204"/>
      <c r="R37" s="204"/>
      <c r="S37" s="204"/>
      <c r="T37" s="204">
        <f t="shared" si="2"/>
        <v>0</v>
      </c>
      <c r="U37" s="191"/>
      <c r="V37" s="203" t="s">
        <v>239</v>
      </c>
      <c r="W37" s="191"/>
      <c r="X37" s="207"/>
      <c r="Y37" s="191"/>
      <c r="Z37" s="207">
        <f t="shared" si="5"/>
        <v>0</v>
      </c>
      <c r="AA37" s="191"/>
      <c r="AB37" s="207"/>
      <c r="AC37" s="207"/>
      <c r="AD37" s="215"/>
      <c r="AE37" s="207"/>
      <c r="AF37" s="215"/>
    </row>
    <row r="38" spans="1:32" s="128" customFormat="1" ht="54.95" customHeight="1" x14ac:dyDescent="0.85">
      <c r="A38" s="191"/>
      <c r="B38" s="204"/>
      <c r="C38" s="204"/>
      <c r="D38" s="204"/>
      <c r="E38" s="204"/>
      <c r="F38" s="204"/>
      <c r="G38" s="204"/>
      <c r="H38" s="204"/>
      <c r="I38" s="204">
        <f t="shared" si="0"/>
        <v>0</v>
      </c>
      <c r="J38" s="192"/>
      <c r="K38" s="192"/>
      <c r="L38" s="192"/>
      <c r="M38" s="204"/>
      <c r="N38" s="204"/>
      <c r="O38" s="204"/>
      <c r="P38" s="204"/>
      <c r="Q38" s="204"/>
      <c r="R38" s="204"/>
      <c r="S38" s="204"/>
      <c r="T38" s="204">
        <f t="shared" si="2"/>
        <v>0</v>
      </c>
      <c r="U38" s="191"/>
      <c r="V38" s="192"/>
      <c r="W38" s="191"/>
      <c r="X38" s="207"/>
      <c r="Y38" s="191"/>
      <c r="Z38" s="207">
        <f t="shared" si="5"/>
        <v>0</v>
      </c>
      <c r="AA38" s="191"/>
      <c r="AB38" s="207"/>
      <c r="AC38" s="207"/>
      <c r="AD38" s="215"/>
      <c r="AE38" s="207"/>
      <c r="AF38" s="215"/>
    </row>
    <row r="39" spans="1:32" s="128" customFormat="1" ht="54.95" customHeight="1" x14ac:dyDescent="0.85">
      <c r="A39" s="202" t="s">
        <v>255</v>
      </c>
      <c r="B39" s="204"/>
      <c r="C39" s="204"/>
      <c r="D39" s="204"/>
      <c r="E39" s="204"/>
      <c r="F39" s="204"/>
      <c r="G39" s="204"/>
      <c r="H39" s="204"/>
      <c r="I39" s="204">
        <f t="shared" si="0"/>
        <v>0</v>
      </c>
      <c r="J39" s="192"/>
      <c r="K39" s="192"/>
      <c r="L39" s="203" t="s">
        <v>255</v>
      </c>
      <c r="M39" s="204"/>
      <c r="N39" s="204"/>
      <c r="O39" s="204"/>
      <c r="P39" s="204"/>
      <c r="Q39" s="204"/>
      <c r="R39" s="204"/>
      <c r="S39" s="204"/>
      <c r="T39" s="204">
        <f t="shared" si="2"/>
        <v>0</v>
      </c>
      <c r="U39" s="191"/>
      <c r="V39" s="203" t="s">
        <v>255</v>
      </c>
      <c r="W39" s="191"/>
      <c r="X39" s="207"/>
      <c r="Y39" s="191"/>
      <c r="Z39" s="207">
        <f t="shared" si="5"/>
        <v>0</v>
      </c>
      <c r="AA39" s="191"/>
      <c r="AB39" s="207"/>
      <c r="AC39" s="207"/>
      <c r="AD39" s="215"/>
      <c r="AE39" s="207"/>
      <c r="AF39" s="215"/>
    </row>
    <row r="40" spans="1:32" s="128" customFormat="1" ht="54.95" customHeight="1" x14ac:dyDescent="0.85">
      <c r="A40" s="191" t="s">
        <v>256</v>
      </c>
      <c r="B40" s="204">
        <f>'CNT (from FS Analysis)'!N186</f>
        <v>1833742.82</v>
      </c>
      <c r="C40" s="204">
        <v>0</v>
      </c>
      <c r="D40" s="204">
        <f>DEP!H29</f>
        <v>51398.8</v>
      </c>
      <c r="E40" s="204">
        <v>0</v>
      </c>
      <c r="F40" s="204">
        <f>'BSC (Dome)'!H24+'BSC (Dome)'!H31</f>
        <v>176224.8</v>
      </c>
      <c r="G40" s="204">
        <v>0</v>
      </c>
      <c r="H40" s="204">
        <v>0</v>
      </c>
      <c r="I40" s="204">
        <f t="shared" si="0"/>
        <v>2061366.4200000002</v>
      </c>
      <c r="J40" s="205">
        <f>I40/$I$49</f>
        <v>0.7909608424914647</v>
      </c>
      <c r="K40" s="205"/>
      <c r="L40" s="192" t="s">
        <v>256</v>
      </c>
      <c r="M40" s="204">
        <v>2007828.39</v>
      </c>
      <c r="N40" s="204">
        <v>0</v>
      </c>
      <c r="O40" s="204">
        <v>87493.45</v>
      </c>
      <c r="P40" s="204">
        <v>0</v>
      </c>
      <c r="Q40" s="204">
        <f>127292.38+41368</f>
        <v>168660.38</v>
      </c>
      <c r="R40" s="204">
        <v>0</v>
      </c>
      <c r="S40" s="204">
        <v>0</v>
      </c>
      <c r="T40" s="204">
        <f t="shared" si="2"/>
        <v>2263982.2199999997</v>
      </c>
      <c r="U40" s="206">
        <f>T40/$T$49</f>
        <v>0.77174261713904979</v>
      </c>
      <c r="V40" s="192" t="s">
        <v>256</v>
      </c>
      <c r="W40" s="206"/>
      <c r="X40" s="207">
        <f t="shared" si="4"/>
        <v>2061366.4200000002</v>
      </c>
      <c r="Y40" s="206"/>
      <c r="Z40" s="207">
        <f t="shared" si="5"/>
        <v>2263982.2199999997</v>
      </c>
      <c r="AA40" s="206"/>
      <c r="AB40" s="207">
        <f>I40-T40</f>
        <v>-202615.79999999958</v>
      </c>
      <c r="AC40" s="207"/>
      <c r="AD40" s="206">
        <f>I40/T40</f>
        <v>0.91050468585393762</v>
      </c>
      <c r="AE40" s="207"/>
      <c r="AF40" s="206">
        <f t="shared" si="8"/>
        <v>-8.9495314146062377E-2</v>
      </c>
    </row>
    <row r="41" spans="1:32" s="128" customFormat="1" ht="54.95" customHeight="1" x14ac:dyDescent="0.85">
      <c r="A41" s="191" t="s">
        <v>257</v>
      </c>
      <c r="B41" s="204">
        <f>'CNT (from FS Analysis)'!N188</f>
        <v>13753</v>
      </c>
      <c r="C41" s="204">
        <v>0</v>
      </c>
      <c r="D41" s="204">
        <v>0</v>
      </c>
      <c r="E41" s="204">
        <v>0</v>
      </c>
      <c r="F41" s="204">
        <v>0</v>
      </c>
      <c r="G41" s="204">
        <v>0</v>
      </c>
      <c r="H41" s="204">
        <v>0</v>
      </c>
      <c r="I41" s="204">
        <f t="shared" si="0"/>
        <v>13753</v>
      </c>
      <c r="J41" s="205">
        <f t="shared" ref="J41:J48" si="25">I41/$I$49</f>
        <v>5.2771231554189736E-3</v>
      </c>
      <c r="K41" s="205"/>
      <c r="L41" s="192" t="s">
        <v>257</v>
      </c>
      <c r="M41" s="204">
        <v>21098</v>
      </c>
      <c r="N41" s="204">
        <v>0</v>
      </c>
      <c r="O41" s="204">
        <v>0</v>
      </c>
      <c r="P41" s="204">
        <v>0</v>
      </c>
      <c r="Q41" s="204">
        <v>0</v>
      </c>
      <c r="R41" s="204">
        <v>0</v>
      </c>
      <c r="S41" s="204">
        <v>0</v>
      </c>
      <c r="T41" s="204">
        <f t="shared" si="2"/>
        <v>21098</v>
      </c>
      <c r="U41" s="206">
        <f t="shared" ref="U41:U48" si="26">T41/$T$49</f>
        <v>7.191852300147337E-3</v>
      </c>
      <c r="V41" s="192" t="s">
        <v>257</v>
      </c>
      <c r="W41" s="206"/>
      <c r="X41" s="207">
        <f t="shared" si="4"/>
        <v>13753</v>
      </c>
      <c r="Y41" s="206"/>
      <c r="Z41" s="207">
        <f t="shared" si="5"/>
        <v>21098</v>
      </c>
      <c r="AA41" s="206"/>
      <c r="AB41" s="207">
        <f t="shared" ref="AB41:AB48" si="27">I41-T41</f>
        <v>-7345</v>
      </c>
      <c r="AC41" s="207"/>
      <c r="AD41" s="206">
        <f t="shared" ref="AD41:AD48" si="28">I41/T41</f>
        <v>0.65186273580434162</v>
      </c>
      <c r="AE41" s="207"/>
      <c r="AF41" s="206">
        <f t="shared" si="8"/>
        <v>-0.34813726419565838</v>
      </c>
    </row>
    <row r="42" spans="1:32" s="128" customFormat="1" ht="54.95" customHeight="1" x14ac:dyDescent="0.85">
      <c r="A42" s="191" t="s">
        <v>258</v>
      </c>
      <c r="B42" s="204">
        <f>'CNT (from FS Analysis)'!N189</f>
        <v>166018.66999999998</v>
      </c>
      <c r="C42" s="204">
        <v>0</v>
      </c>
      <c r="D42" s="204">
        <f>DEP!H30</f>
        <v>6053.7900000000009</v>
      </c>
      <c r="E42" s="204">
        <v>0</v>
      </c>
      <c r="F42" s="204">
        <f>'BSC (Dome)'!H25</f>
        <v>11653.990000000002</v>
      </c>
      <c r="G42" s="204">
        <v>0</v>
      </c>
      <c r="H42" s="204">
        <v>0</v>
      </c>
      <c r="I42" s="204">
        <f t="shared" si="0"/>
        <v>183726.44999999998</v>
      </c>
      <c r="J42" s="205">
        <f t="shared" si="25"/>
        <v>7.0497135429210087E-2</v>
      </c>
      <c r="K42" s="205"/>
      <c r="L42" s="192" t="s">
        <v>258</v>
      </c>
      <c r="M42" s="204">
        <v>173238.29</v>
      </c>
      <c r="N42" s="204">
        <v>0</v>
      </c>
      <c r="O42" s="204">
        <v>7301.45</v>
      </c>
      <c r="P42" s="204">
        <v>0</v>
      </c>
      <c r="Q42" s="204">
        <v>11068.38</v>
      </c>
      <c r="R42" s="204">
        <v>0</v>
      </c>
      <c r="S42" s="204">
        <v>0</v>
      </c>
      <c r="T42" s="204">
        <f t="shared" si="2"/>
        <v>191608.12000000002</v>
      </c>
      <c r="U42" s="206">
        <f t="shared" si="26"/>
        <v>6.5315067710157701E-2</v>
      </c>
      <c r="V42" s="192" t="s">
        <v>258</v>
      </c>
      <c r="W42" s="206"/>
      <c r="X42" s="207">
        <f t="shared" si="4"/>
        <v>183726.44999999998</v>
      </c>
      <c r="Y42" s="206"/>
      <c r="Z42" s="207">
        <f t="shared" si="5"/>
        <v>191608.12000000002</v>
      </c>
      <c r="AA42" s="206"/>
      <c r="AB42" s="207">
        <f t="shared" si="27"/>
        <v>-7881.6700000000419</v>
      </c>
      <c r="AC42" s="207"/>
      <c r="AD42" s="206">
        <f t="shared" si="28"/>
        <v>0.95886567855266236</v>
      </c>
      <c r="AE42" s="207"/>
      <c r="AF42" s="206">
        <f t="shared" si="8"/>
        <v>-4.1134321447337641E-2</v>
      </c>
    </row>
    <row r="43" spans="1:32" s="128" customFormat="1" ht="54.95" customHeight="1" x14ac:dyDescent="0.85">
      <c r="A43" s="191" t="s">
        <v>259</v>
      </c>
      <c r="B43" s="204">
        <f>'CNT (from FS Analysis)'!N190</f>
        <v>166343.09</v>
      </c>
      <c r="C43" s="204">
        <v>0</v>
      </c>
      <c r="D43" s="204">
        <f>DEP!H31</f>
        <v>18903.95</v>
      </c>
      <c r="E43" s="204">
        <v>0</v>
      </c>
      <c r="F43" s="204">
        <f>'BSC (Dome)'!H26</f>
        <v>31276.87</v>
      </c>
      <c r="G43" s="204">
        <v>0</v>
      </c>
      <c r="H43" s="204">
        <v>0</v>
      </c>
      <c r="I43" s="204">
        <f t="shared" si="0"/>
        <v>216523.91</v>
      </c>
      <c r="J43" s="205">
        <f t="shared" si="25"/>
        <v>8.3081752284072857E-2</v>
      </c>
      <c r="K43" s="205"/>
      <c r="L43" s="192" t="s">
        <v>259</v>
      </c>
      <c r="M43" s="204">
        <v>224323.21</v>
      </c>
      <c r="N43" s="204">
        <v>0</v>
      </c>
      <c r="O43" s="204">
        <v>30543.06</v>
      </c>
      <c r="P43" s="204">
        <v>0</v>
      </c>
      <c r="Q43" s="204">
        <v>27140.19</v>
      </c>
      <c r="R43" s="204">
        <v>0</v>
      </c>
      <c r="S43" s="204">
        <v>0</v>
      </c>
      <c r="T43" s="204">
        <f t="shared" si="2"/>
        <v>282006.45999999996</v>
      </c>
      <c r="U43" s="206">
        <f t="shared" si="26"/>
        <v>9.6129908427690203E-2</v>
      </c>
      <c r="V43" s="192" t="s">
        <v>259</v>
      </c>
      <c r="W43" s="206"/>
      <c r="X43" s="207">
        <f t="shared" si="4"/>
        <v>216523.91</v>
      </c>
      <c r="Y43" s="206"/>
      <c r="Z43" s="207">
        <f t="shared" si="5"/>
        <v>282006.45999999996</v>
      </c>
      <c r="AA43" s="206"/>
      <c r="AB43" s="207">
        <f t="shared" si="27"/>
        <v>-65482.549999999959</v>
      </c>
      <c r="AC43" s="207"/>
      <c r="AD43" s="206">
        <f t="shared" si="28"/>
        <v>0.76779769513081375</v>
      </c>
      <c r="AE43" s="207"/>
      <c r="AF43" s="206">
        <f t="shared" si="8"/>
        <v>-0.23220230486918625</v>
      </c>
    </row>
    <row r="44" spans="1:32" s="128" customFormat="1" ht="54.95" customHeight="1" x14ac:dyDescent="0.85">
      <c r="A44" s="191" t="s">
        <v>260</v>
      </c>
      <c r="B44" s="204">
        <f>'CNT (from FS Analysis)'!N191</f>
        <v>23183.760000000002</v>
      </c>
      <c r="C44" s="204">
        <v>0</v>
      </c>
      <c r="D44" s="204">
        <f>DEP!H32</f>
        <v>1301.8799999999999</v>
      </c>
      <c r="E44" s="204">
        <v>0</v>
      </c>
      <c r="F44" s="204">
        <f>'BSC (Dome)'!H27</f>
        <v>1813.95</v>
      </c>
      <c r="G44" s="204">
        <v>0</v>
      </c>
      <c r="H44" s="204">
        <v>0</v>
      </c>
      <c r="I44" s="204">
        <f t="shared" si="0"/>
        <v>26299.590000000004</v>
      </c>
      <c r="J44" s="205">
        <f t="shared" si="25"/>
        <v>1.0091338280158898E-2</v>
      </c>
      <c r="K44" s="205"/>
      <c r="L44" s="192" t="s">
        <v>260</v>
      </c>
      <c r="M44" s="204">
        <v>35752.29</v>
      </c>
      <c r="N44" s="204">
        <v>0</v>
      </c>
      <c r="O44" s="204">
        <v>3258.53</v>
      </c>
      <c r="P44" s="204">
        <v>0</v>
      </c>
      <c r="Q44" s="204">
        <v>0</v>
      </c>
      <c r="R44" s="204">
        <v>0</v>
      </c>
      <c r="S44" s="204">
        <v>0</v>
      </c>
      <c r="T44" s="204">
        <f t="shared" si="2"/>
        <v>39010.82</v>
      </c>
      <c r="U44" s="206">
        <f t="shared" si="26"/>
        <v>1.3297945565818264E-2</v>
      </c>
      <c r="V44" s="192" t="s">
        <v>260</v>
      </c>
      <c r="W44" s="206"/>
      <c r="X44" s="207">
        <f t="shared" si="4"/>
        <v>26299.590000000004</v>
      </c>
      <c r="Y44" s="206"/>
      <c r="Z44" s="207">
        <f t="shared" si="5"/>
        <v>39010.82</v>
      </c>
      <c r="AA44" s="206"/>
      <c r="AB44" s="207">
        <f t="shared" si="27"/>
        <v>-12711.229999999996</v>
      </c>
      <c r="AC44" s="207"/>
      <c r="AD44" s="206">
        <f t="shared" si="28"/>
        <v>0.67416142495851161</v>
      </c>
      <c r="AE44" s="207"/>
      <c r="AF44" s="206">
        <f t="shared" si="8"/>
        <v>-0.32583857504148839</v>
      </c>
    </row>
    <row r="45" spans="1:32" s="128" customFormat="1" ht="54.95" customHeight="1" x14ac:dyDescent="0.85">
      <c r="A45" s="191" t="s">
        <v>261</v>
      </c>
      <c r="B45" s="204">
        <f>'CNT (from FS Analysis)'!N192</f>
        <v>54435</v>
      </c>
      <c r="C45" s="204">
        <v>0</v>
      </c>
      <c r="D45" s="204">
        <f>DEP!H33</f>
        <v>2200</v>
      </c>
      <c r="E45" s="204">
        <v>0</v>
      </c>
      <c r="F45" s="204">
        <f>'BSC (Dome)'!H29</f>
        <v>2750</v>
      </c>
      <c r="G45" s="204">
        <v>0</v>
      </c>
      <c r="H45" s="204">
        <v>0</v>
      </c>
      <c r="I45" s="204">
        <f t="shared" si="0"/>
        <v>59385</v>
      </c>
      <c r="J45" s="205">
        <f t="shared" si="25"/>
        <v>2.2786443582095237E-2</v>
      </c>
      <c r="K45" s="205"/>
      <c r="L45" s="192" t="s">
        <v>261</v>
      </c>
      <c r="M45" s="204">
        <v>68808</v>
      </c>
      <c r="N45" s="204">
        <v>0</v>
      </c>
      <c r="O45" s="204">
        <v>2730</v>
      </c>
      <c r="P45" s="204">
        <v>0</v>
      </c>
      <c r="Q45" s="204">
        <v>13938</v>
      </c>
      <c r="R45" s="204">
        <v>0</v>
      </c>
      <c r="S45" s="204">
        <v>0</v>
      </c>
      <c r="T45" s="204">
        <f t="shared" si="2"/>
        <v>85476</v>
      </c>
      <c r="U45" s="206">
        <f t="shared" si="26"/>
        <v>2.9136921376784235E-2</v>
      </c>
      <c r="V45" s="192" t="s">
        <v>261</v>
      </c>
      <c r="W45" s="206"/>
      <c r="X45" s="207">
        <f t="shared" si="4"/>
        <v>59385</v>
      </c>
      <c r="Y45" s="206"/>
      <c r="Z45" s="207">
        <f t="shared" si="5"/>
        <v>85476</v>
      </c>
      <c r="AA45" s="206"/>
      <c r="AB45" s="207">
        <f t="shared" si="27"/>
        <v>-26091</v>
      </c>
      <c r="AC45" s="207"/>
      <c r="AD45" s="206">
        <f t="shared" si="28"/>
        <v>0.6947564228555384</v>
      </c>
      <c r="AE45" s="207"/>
      <c r="AF45" s="206">
        <f t="shared" si="8"/>
        <v>-0.3052435771444616</v>
      </c>
    </row>
    <row r="46" spans="1:32" s="128" customFormat="1" ht="54.95" customHeight="1" x14ac:dyDescent="0.85">
      <c r="A46" s="191" t="s">
        <v>339</v>
      </c>
      <c r="B46" s="204">
        <f>'CNT (from FS Analysis)'!N194+'CNT (from FS Analysis)'!N193</f>
        <v>7963.8200000000006</v>
      </c>
      <c r="C46" s="204">
        <v>0</v>
      </c>
      <c r="D46" s="204">
        <f>DEP!H34</f>
        <v>795.66</v>
      </c>
      <c r="E46" s="204">
        <v>0</v>
      </c>
      <c r="F46" s="204">
        <f>'BSC (Dome)'!H28+'BSC (Dome)'!H30</f>
        <v>2362.7799999999997</v>
      </c>
      <c r="G46" s="204">
        <v>0</v>
      </c>
      <c r="H46" s="204">
        <v>0</v>
      </c>
      <c r="I46" s="204">
        <f t="shared" si="0"/>
        <v>11122.260000000002</v>
      </c>
      <c r="J46" s="205">
        <f t="shared" si="25"/>
        <v>4.2676896521915402E-3</v>
      </c>
      <c r="K46" s="205"/>
      <c r="L46" s="192" t="s">
        <v>339</v>
      </c>
      <c r="M46" s="204">
        <f>3980.09+15721.88</f>
        <v>19701.97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f t="shared" si="2"/>
        <v>19701.97</v>
      </c>
      <c r="U46" s="206">
        <f t="shared" si="26"/>
        <v>6.7159758395077184E-3</v>
      </c>
      <c r="V46" s="192" t="s">
        <v>339</v>
      </c>
      <c r="W46" s="206"/>
      <c r="X46" s="207">
        <f t="shared" si="4"/>
        <v>11122.260000000002</v>
      </c>
      <c r="Y46" s="206"/>
      <c r="Z46" s="207">
        <f t="shared" si="5"/>
        <v>19701.97</v>
      </c>
      <c r="AA46" s="206"/>
      <c r="AB46" s="207">
        <f t="shared" si="27"/>
        <v>-8579.7099999999991</v>
      </c>
      <c r="AC46" s="207"/>
      <c r="AD46" s="206">
        <f t="shared" si="28"/>
        <v>0.5645252733609889</v>
      </c>
      <c r="AE46" s="207"/>
      <c r="AF46" s="206">
        <f t="shared" si="8"/>
        <v>-0.4354747266390111</v>
      </c>
    </row>
    <row r="47" spans="1:32" s="128" customFormat="1" ht="54.95" customHeight="1" x14ac:dyDescent="0.85">
      <c r="A47" s="191" t="s">
        <v>262</v>
      </c>
      <c r="B47" s="204">
        <f>'CNT (from FS Analysis)'!N195+'CNT (from FS Analysis)'!N196</f>
        <v>3329.48</v>
      </c>
      <c r="C47" s="204">
        <v>0</v>
      </c>
      <c r="D47" s="204">
        <v>0</v>
      </c>
      <c r="E47" s="204">
        <v>0</v>
      </c>
      <c r="F47" s="204">
        <v>0</v>
      </c>
      <c r="G47" s="204">
        <v>0</v>
      </c>
      <c r="H47" s="204">
        <v>0</v>
      </c>
      <c r="I47" s="204">
        <f t="shared" si="0"/>
        <v>3329.48</v>
      </c>
      <c r="J47" s="205">
        <f t="shared" si="25"/>
        <v>1.277544972260915E-3</v>
      </c>
      <c r="K47" s="205"/>
      <c r="L47" s="192" t="s">
        <v>262</v>
      </c>
      <c r="M47" s="204">
        <v>0</v>
      </c>
      <c r="N47" s="204">
        <v>0</v>
      </c>
      <c r="O47" s="204">
        <v>0</v>
      </c>
      <c r="P47" s="204">
        <v>0</v>
      </c>
      <c r="Q47" s="204">
        <v>0</v>
      </c>
      <c r="R47" s="204">
        <v>0</v>
      </c>
      <c r="S47" s="204">
        <v>0</v>
      </c>
      <c r="T47" s="204">
        <f t="shared" si="2"/>
        <v>0</v>
      </c>
      <c r="U47" s="206">
        <f t="shared" si="26"/>
        <v>0</v>
      </c>
      <c r="V47" s="192" t="s">
        <v>262</v>
      </c>
      <c r="W47" s="206"/>
      <c r="X47" s="207">
        <f t="shared" si="4"/>
        <v>3329.48</v>
      </c>
      <c r="Y47" s="206"/>
      <c r="Z47" s="207">
        <f t="shared" si="5"/>
        <v>0</v>
      </c>
      <c r="AA47" s="206"/>
      <c r="AB47" s="207">
        <f t="shared" si="27"/>
        <v>3329.48</v>
      </c>
      <c r="AC47" s="207"/>
      <c r="AD47" s="206" t="e">
        <f t="shared" si="28"/>
        <v>#DIV/0!</v>
      </c>
      <c r="AE47" s="207"/>
      <c r="AF47" s="206" t="e">
        <f t="shared" si="8"/>
        <v>#DIV/0!</v>
      </c>
    </row>
    <row r="48" spans="1:32" s="128" customFormat="1" ht="54.95" customHeight="1" x14ac:dyDescent="0.85">
      <c r="A48" s="191" t="s">
        <v>278</v>
      </c>
      <c r="B48" s="204">
        <f>'CNT (from FS Analysis)'!N219</f>
        <v>30648.720000000001</v>
      </c>
      <c r="C48" s="204">
        <v>0</v>
      </c>
      <c r="D48" s="204">
        <v>0</v>
      </c>
      <c r="E48" s="204">
        <v>0</v>
      </c>
      <c r="F48" s="204">
        <v>0</v>
      </c>
      <c r="G48" s="204">
        <v>0</v>
      </c>
      <c r="H48" s="204">
        <v>0</v>
      </c>
      <c r="I48" s="204">
        <f t="shared" si="0"/>
        <v>30648.720000000001</v>
      </c>
      <c r="J48" s="205">
        <f t="shared" si="25"/>
        <v>1.1760130153126781E-2</v>
      </c>
      <c r="K48" s="205"/>
      <c r="L48" s="192" t="s">
        <v>278</v>
      </c>
      <c r="M48" s="204">
        <v>30713.919999999998</v>
      </c>
      <c r="N48" s="204">
        <v>0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f t="shared" si="2"/>
        <v>30713.919999999998</v>
      </c>
      <c r="U48" s="206">
        <f t="shared" si="26"/>
        <v>1.0469711640844691E-2</v>
      </c>
      <c r="V48" s="192" t="s">
        <v>278</v>
      </c>
      <c r="W48" s="206"/>
      <c r="X48" s="207">
        <f t="shared" si="4"/>
        <v>30648.720000000001</v>
      </c>
      <c r="Y48" s="206"/>
      <c r="Z48" s="207">
        <f t="shared" si="5"/>
        <v>30713.919999999998</v>
      </c>
      <c r="AA48" s="206"/>
      <c r="AB48" s="207">
        <f t="shared" si="27"/>
        <v>-65.19999999999709</v>
      </c>
      <c r="AC48" s="207"/>
      <c r="AD48" s="206">
        <f t="shared" si="28"/>
        <v>0.99787718402600523</v>
      </c>
      <c r="AE48" s="207"/>
      <c r="AF48" s="206">
        <f t="shared" si="8"/>
        <v>-2.1228159739947738E-3</v>
      </c>
    </row>
    <row r="49" spans="1:32" s="128" customFormat="1" ht="54.95" customHeight="1" x14ac:dyDescent="0.85">
      <c r="A49" s="202" t="s">
        <v>263</v>
      </c>
      <c r="B49" s="209">
        <f t="shared" ref="B49:H49" si="29">SUM(B40:B48)</f>
        <v>2299418.36</v>
      </c>
      <c r="C49" s="209">
        <f t="shared" si="29"/>
        <v>0</v>
      </c>
      <c r="D49" s="209">
        <f t="shared" si="29"/>
        <v>80654.080000000016</v>
      </c>
      <c r="E49" s="209">
        <f t="shared" si="29"/>
        <v>0</v>
      </c>
      <c r="F49" s="209">
        <f>SUM(F40:F48)</f>
        <v>226082.38999999998</v>
      </c>
      <c r="G49" s="209">
        <f t="shared" si="29"/>
        <v>0</v>
      </c>
      <c r="H49" s="209">
        <f t="shared" si="29"/>
        <v>0</v>
      </c>
      <c r="I49" s="209">
        <f t="shared" si="0"/>
        <v>2606154.83</v>
      </c>
      <c r="J49" s="210">
        <f>SUM(J40:J48)</f>
        <v>1</v>
      </c>
      <c r="K49" s="211"/>
      <c r="L49" s="203" t="s">
        <v>263</v>
      </c>
      <c r="M49" s="209">
        <f t="shared" ref="M49:S49" si="30">SUM(M40:M48)</f>
        <v>2581464.0699999998</v>
      </c>
      <c r="N49" s="209">
        <f t="shared" si="30"/>
        <v>0</v>
      </c>
      <c r="O49" s="209">
        <f t="shared" si="30"/>
        <v>131326.49</v>
      </c>
      <c r="P49" s="209">
        <f t="shared" si="30"/>
        <v>0</v>
      </c>
      <c r="Q49" s="209">
        <f t="shared" si="30"/>
        <v>220806.95</v>
      </c>
      <c r="R49" s="209">
        <f t="shared" si="30"/>
        <v>0</v>
      </c>
      <c r="S49" s="209">
        <f t="shared" si="30"/>
        <v>0</v>
      </c>
      <c r="T49" s="209">
        <f t="shared" si="2"/>
        <v>2933597.51</v>
      </c>
      <c r="U49" s="212">
        <f>SUM(U40:U48)</f>
        <v>0.99999999999999989</v>
      </c>
      <c r="V49" s="203" t="s">
        <v>263</v>
      </c>
      <c r="W49" s="213"/>
      <c r="X49" s="214">
        <f t="shared" si="4"/>
        <v>2606154.83</v>
      </c>
      <c r="Y49" s="213"/>
      <c r="Z49" s="214">
        <f t="shared" si="5"/>
        <v>2933597.51</v>
      </c>
      <c r="AA49" s="213"/>
      <c r="AB49" s="214">
        <f>I49-T49</f>
        <v>-327442.6799999997</v>
      </c>
      <c r="AC49" s="214"/>
      <c r="AD49" s="212">
        <f>I49/T49</f>
        <v>0.88838186599088032</v>
      </c>
      <c r="AE49" s="214"/>
      <c r="AF49" s="212">
        <f t="shared" si="8"/>
        <v>-0.11161813400911968</v>
      </c>
    </row>
    <row r="50" spans="1:32" s="128" customFormat="1" ht="54.95" customHeight="1" x14ac:dyDescent="0.85">
      <c r="A50" s="191"/>
      <c r="B50" s="204"/>
      <c r="C50" s="204"/>
      <c r="D50" s="204"/>
      <c r="E50" s="204"/>
      <c r="F50" s="204"/>
      <c r="G50" s="204"/>
      <c r="H50" s="204"/>
      <c r="I50" s="204"/>
      <c r="J50" s="192"/>
      <c r="K50" s="192"/>
      <c r="L50" s="192"/>
      <c r="M50" s="204"/>
      <c r="N50" s="204"/>
      <c r="O50" s="204"/>
      <c r="P50" s="204"/>
      <c r="Q50" s="204"/>
      <c r="R50" s="204"/>
      <c r="S50" s="204"/>
      <c r="T50" s="204"/>
      <c r="U50" s="191"/>
      <c r="V50" s="192"/>
      <c r="W50" s="191"/>
      <c r="X50" s="207"/>
      <c r="Y50" s="191"/>
      <c r="Z50" s="207">
        <f t="shared" si="5"/>
        <v>0</v>
      </c>
      <c r="AA50" s="191"/>
      <c r="AB50" s="207"/>
      <c r="AC50" s="207"/>
      <c r="AD50" s="215"/>
      <c r="AE50" s="207"/>
      <c r="AF50" s="215"/>
    </row>
    <row r="51" spans="1:32" s="128" customFormat="1" ht="54.95" customHeight="1" x14ac:dyDescent="0.85">
      <c r="A51" s="202" t="s">
        <v>264</v>
      </c>
      <c r="B51" s="204"/>
      <c r="C51" s="204"/>
      <c r="D51" s="204"/>
      <c r="E51" s="204"/>
      <c r="F51" s="204"/>
      <c r="G51" s="204"/>
      <c r="H51" s="204"/>
      <c r="I51" s="204"/>
      <c r="J51" s="192"/>
      <c r="K51" s="192"/>
      <c r="L51" s="203" t="s">
        <v>264</v>
      </c>
      <c r="M51" s="204"/>
      <c r="N51" s="204"/>
      <c r="O51" s="204"/>
      <c r="P51" s="204"/>
      <c r="Q51" s="204"/>
      <c r="R51" s="204"/>
      <c r="S51" s="204"/>
      <c r="T51" s="204"/>
      <c r="U51" s="191"/>
      <c r="V51" s="203" t="s">
        <v>264</v>
      </c>
      <c r="W51" s="191"/>
      <c r="X51" s="207"/>
      <c r="Y51" s="191"/>
      <c r="Z51" s="207">
        <f t="shared" si="5"/>
        <v>0</v>
      </c>
      <c r="AA51" s="191"/>
      <c r="AB51" s="207"/>
      <c r="AC51" s="207"/>
      <c r="AD51" s="215"/>
      <c r="AE51" s="207"/>
      <c r="AF51" s="215"/>
    </row>
    <row r="52" spans="1:32" s="128" customFormat="1" ht="54.95" customHeight="1" x14ac:dyDescent="0.85">
      <c r="A52" s="191" t="s">
        <v>265</v>
      </c>
      <c r="B52" s="204">
        <f>'CNT (from FS Analysis)'!N199+'CNT (from FS Analysis)'!N200</f>
        <v>205200</v>
      </c>
      <c r="C52" s="204">
        <v>0</v>
      </c>
      <c r="D52" s="204">
        <f>DEP!H38</f>
        <v>225000</v>
      </c>
      <c r="E52" s="204">
        <v>0</v>
      </c>
      <c r="F52" s="204">
        <f>'BSC (Dome)'!H35</f>
        <v>6000</v>
      </c>
      <c r="G52" s="204">
        <v>0</v>
      </c>
      <c r="H52" s="204">
        <v>0</v>
      </c>
      <c r="I52" s="204">
        <f t="shared" ref="I52:I74" si="31">SUM(B52:H52)</f>
        <v>436200</v>
      </c>
      <c r="J52" s="205">
        <f t="shared" ref="J52:J73" si="32">I52/$I$74</f>
        <v>0.20180064466839781</v>
      </c>
      <c r="K52" s="205"/>
      <c r="L52" s="192" t="s">
        <v>265</v>
      </c>
      <c r="M52" s="204">
        <v>200200</v>
      </c>
      <c r="N52" s="204">
        <v>0</v>
      </c>
      <c r="O52" s="204">
        <v>150000</v>
      </c>
      <c r="P52" s="204">
        <v>0</v>
      </c>
      <c r="Q52" s="204">
        <v>6000</v>
      </c>
      <c r="R52" s="204">
        <v>0</v>
      </c>
      <c r="S52" s="204">
        <v>0</v>
      </c>
      <c r="T52" s="204">
        <f t="shared" si="2"/>
        <v>356200</v>
      </c>
      <c r="U52" s="206">
        <f t="shared" ref="U52:U69" si="33">T52/$T$74</f>
        <v>0.22781177433963348</v>
      </c>
      <c r="V52" s="192" t="s">
        <v>265</v>
      </c>
      <c r="W52" s="206"/>
      <c r="X52" s="207">
        <f t="shared" si="4"/>
        <v>436200</v>
      </c>
      <c r="Y52" s="206"/>
      <c r="Z52" s="207">
        <f t="shared" si="5"/>
        <v>356200</v>
      </c>
      <c r="AA52" s="206"/>
      <c r="AB52" s="207">
        <f>I52-T52</f>
        <v>80000</v>
      </c>
      <c r="AC52" s="207"/>
      <c r="AD52" s="206">
        <f>I52/T52</f>
        <v>1.2245929253228522</v>
      </c>
      <c r="AE52" s="207"/>
      <c r="AF52" s="206">
        <f t="shared" si="8"/>
        <v>0.22459292532285224</v>
      </c>
    </row>
    <row r="53" spans="1:32" s="128" customFormat="1" ht="54.95" customHeight="1" x14ac:dyDescent="0.85">
      <c r="A53" s="191" t="s">
        <v>266</v>
      </c>
      <c r="B53" s="204">
        <f>'CNT (from FS Analysis)'!N201</f>
        <v>10302.240000000002</v>
      </c>
      <c r="C53" s="204">
        <v>0</v>
      </c>
      <c r="D53" s="204">
        <f>DEP!H39</f>
        <v>39429.379999999997</v>
      </c>
      <c r="E53" s="204">
        <v>0</v>
      </c>
      <c r="F53" s="204">
        <f>'BSC (Dome)'!H37</f>
        <v>4083</v>
      </c>
      <c r="G53" s="204">
        <v>0</v>
      </c>
      <c r="H53" s="204">
        <v>0</v>
      </c>
      <c r="I53" s="204">
        <f t="shared" si="31"/>
        <v>53814.619999999995</v>
      </c>
      <c r="J53" s="205">
        <f t="shared" si="32"/>
        <v>2.4896435141184899E-2</v>
      </c>
      <c r="K53" s="205"/>
      <c r="L53" s="192" t="s">
        <v>266</v>
      </c>
      <c r="M53" s="204">
        <v>41270.39</v>
      </c>
      <c r="N53" s="204">
        <v>0</v>
      </c>
      <c r="O53" s="204">
        <v>34086.46</v>
      </c>
      <c r="P53" s="204">
        <v>0</v>
      </c>
      <c r="Q53" s="204">
        <v>21828.26</v>
      </c>
      <c r="R53" s="204">
        <v>0</v>
      </c>
      <c r="S53" s="204">
        <v>0</v>
      </c>
      <c r="T53" s="204">
        <f t="shared" si="2"/>
        <v>97185.11</v>
      </c>
      <c r="U53" s="206">
        <f t="shared" si="33"/>
        <v>6.2155846009243287E-2</v>
      </c>
      <c r="V53" s="192" t="s">
        <v>266</v>
      </c>
      <c r="W53" s="206"/>
      <c r="X53" s="207">
        <f t="shared" si="4"/>
        <v>53814.619999999995</v>
      </c>
      <c r="Y53" s="206"/>
      <c r="Z53" s="207">
        <f t="shared" si="5"/>
        <v>97185.11</v>
      </c>
      <c r="AA53" s="206"/>
      <c r="AB53" s="207">
        <f t="shared" ref="AB53:AB73" si="34">I53-T53</f>
        <v>-43370.490000000005</v>
      </c>
      <c r="AC53" s="207"/>
      <c r="AD53" s="206">
        <f t="shared" ref="AD53:AD71" si="35">I53/T53</f>
        <v>0.55373317990790971</v>
      </c>
      <c r="AE53" s="207"/>
      <c r="AF53" s="206">
        <f t="shared" si="8"/>
        <v>-0.44626682009209029</v>
      </c>
    </row>
    <row r="54" spans="1:32" s="128" customFormat="1" ht="54.95" customHeight="1" x14ac:dyDescent="0.85">
      <c r="A54" s="191" t="s">
        <v>267</v>
      </c>
      <c r="B54" s="204">
        <f>'CNT (from FS Analysis)'!N202</f>
        <v>8675.619999999999</v>
      </c>
      <c r="C54" s="204">
        <v>0</v>
      </c>
      <c r="D54" s="204">
        <v>0</v>
      </c>
      <c r="E54" s="204">
        <v>0</v>
      </c>
      <c r="F54" s="204">
        <f>'BSC (Dome)'!H36</f>
        <v>58446.65</v>
      </c>
      <c r="G54" s="204">
        <v>0</v>
      </c>
      <c r="H54" s="204">
        <v>0</v>
      </c>
      <c r="I54" s="204">
        <f t="shared" si="31"/>
        <v>67122.27</v>
      </c>
      <c r="J54" s="205">
        <f t="shared" si="32"/>
        <v>3.1052997151779595E-2</v>
      </c>
      <c r="K54" s="205"/>
      <c r="L54" s="192" t="s">
        <v>267</v>
      </c>
      <c r="M54" s="204">
        <v>6593.17</v>
      </c>
      <c r="N54" s="204">
        <v>0</v>
      </c>
      <c r="O54" s="204">
        <v>0</v>
      </c>
      <c r="P54" s="204">
        <v>0</v>
      </c>
      <c r="Q54" s="204">
        <v>67820.09</v>
      </c>
      <c r="R54" s="204">
        <v>0</v>
      </c>
      <c r="S54" s="204">
        <v>0</v>
      </c>
      <c r="T54" s="204">
        <f t="shared" si="2"/>
        <v>74413.259999999995</v>
      </c>
      <c r="U54" s="206">
        <f t="shared" si="33"/>
        <v>4.7591849508693079E-2</v>
      </c>
      <c r="V54" s="192" t="s">
        <v>267</v>
      </c>
      <c r="W54" s="206"/>
      <c r="X54" s="207">
        <f t="shared" si="4"/>
        <v>67122.27</v>
      </c>
      <c r="Y54" s="206"/>
      <c r="Z54" s="207">
        <f t="shared" si="5"/>
        <v>74413.259999999995</v>
      </c>
      <c r="AA54" s="206"/>
      <c r="AB54" s="207">
        <f t="shared" si="34"/>
        <v>-7290.9899999999907</v>
      </c>
      <c r="AC54" s="207"/>
      <c r="AD54" s="206">
        <f t="shared" si="35"/>
        <v>0.90202028509435028</v>
      </c>
      <c r="AE54" s="207"/>
      <c r="AF54" s="206">
        <f t="shared" si="8"/>
        <v>-9.7979714905649717E-2</v>
      </c>
    </row>
    <row r="55" spans="1:32" s="128" customFormat="1" ht="54.95" customHeight="1" x14ac:dyDescent="0.85">
      <c r="A55" s="191" t="s">
        <v>369</v>
      </c>
      <c r="B55" s="204">
        <f>'CNT (from FS Analysis)'!N203</f>
        <v>579.03</v>
      </c>
      <c r="C55" s="204">
        <v>0</v>
      </c>
      <c r="D55" s="204">
        <v>0</v>
      </c>
      <c r="E55" s="204">
        <v>0</v>
      </c>
      <c r="F55" s="204">
        <f>'BSC (Dome)'!H38</f>
        <v>1532.02</v>
      </c>
      <c r="G55" s="204">
        <v>0</v>
      </c>
      <c r="H55" s="204">
        <v>0</v>
      </c>
      <c r="I55" s="204">
        <f t="shared" si="31"/>
        <v>2111.0500000000002</v>
      </c>
      <c r="J55" s="205">
        <f t="shared" si="32"/>
        <v>9.7664202413393227E-4</v>
      </c>
      <c r="K55" s="205"/>
      <c r="L55" s="192" t="s">
        <v>369</v>
      </c>
      <c r="M55" s="204">
        <v>1061.8699999999999</v>
      </c>
      <c r="N55" s="204">
        <v>0</v>
      </c>
      <c r="O55" s="204">
        <v>0</v>
      </c>
      <c r="P55" s="204">
        <v>0</v>
      </c>
      <c r="Q55" s="204">
        <v>1091.22</v>
      </c>
      <c r="R55" s="204">
        <v>0</v>
      </c>
      <c r="S55" s="204">
        <v>0</v>
      </c>
      <c r="T55" s="204">
        <f t="shared" si="2"/>
        <v>2153.09</v>
      </c>
      <c r="U55" s="206">
        <f t="shared" si="33"/>
        <v>1.3770332768470565E-3</v>
      </c>
      <c r="V55" s="192" t="s">
        <v>369</v>
      </c>
      <c r="W55" s="206"/>
      <c r="X55" s="207">
        <f t="shared" si="4"/>
        <v>2111.0500000000002</v>
      </c>
      <c r="Y55" s="206"/>
      <c r="Z55" s="207">
        <f t="shared" si="5"/>
        <v>2153.09</v>
      </c>
      <c r="AA55" s="206"/>
      <c r="AB55" s="207">
        <f t="shared" si="34"/>
        <v>-42.039999999999964</v>
      </c>
      <c r="AC55" s="207"/>
      <c r="AD55" s="206">
        <f t="shared" si="35"/>
        <v>0.98047457375214231</v>
      </c>
      <c r="AE55" s="207"/>
      <c r="AF55" s="206">
        <f t="shared" si="8"/>
        <v>-1.9525426247857691E-2</v>
      </c>
    </row>
    <row r="56" spans="1:32" s="128" customFormat="1" ht="54.95" customHeight="1" x14ac:dyDescent="0.85">
      <c r="A56" s="191" t="s">
        <v>322</v>
      </c>
      <c r="B56" s="204">
        <v>0</v>
      </c>
      <c r="C56" s="204">
        <v>0</v>
      </c>
      <c r="D56" s="204">
        <f>DEP!H40</f>
        <v>900</v>
      </c>
      <c r="E56" s="204">
        <v>0</v>
      </c>
      <c r="F56" s="204">
        <f>'BSC (Dome)'!H39</f>
        <v>3628.5600000000004</v>
      </c>
      <c r="G56" s="204">
        <v>0</v>
      </c>
      <c r="H56" s="204">
        <v>0</v>
      </c>
      <c r="I56" s="204">
        <f t="shared" si="31"/>
        <v>4528.5600000000004</v>
      </c>
      <c r="J56" s="205">
        <f t="shared" si="32"/>
        <v>2.0950626488297104E-3</v>
      </c>
      <c r="K56" s="205"/>
      <c r="L56" s="192" t="s">
        <v>322</v>
      </c>
      <c r="M56" s="204">
        <v>0</v>
      </c>
      <c r="N56" s="204">
        <v>0</v>
      </c>
      <c r="O56" s="204">
        <v>693.5</v>
      </c>
      <c r="P56" s="204">
        <v>0</v>
      </c>
      <c r="Q56" s="204">
        <v>3112.06</v>
      </c>
      <c r="R56" s="204">
        <v>0</v>
      </c>
      <c r="S56" s="204">
        <v>0</v>
      </c>
      <c r="T56" s="204">
        <f t="shared" si="2"/>
        <v>3805.56</v>
      </c>
      <c r="U56" s="206">
        <f t="shared" si="33"/>
        <v>2.433889320482694E-3</v>
      </c>
      <c r="V56" s="192" t="s">
        <v>322</v>
      </c>
      <c r="W56" s="206"/>
      <c r="X56" s="207">
        <f t="shared" si="4"/>
        <v>4528.5600000000004</v>
      </c>
      <c r="Y56" s="206"/>
      <c r="Z56" s="207">
        <f t="shared" si="5"/>
        <v>3805.56</v>
      </c>
      <c r="AA56" s="206"/>
      <c r="AB56" s="207">
        <f t="shared" si="34"/>
        <v>723.00000000000045</v>
      </c>
      <c r="AC56" s="207"/>
      <c r="AD56" s="206">
        <f t="shared" si="35"/>
        <v>1.1899851795793523</v>
      </c>
      <c r="AE56" s="207"/>
      <c r="AF56" s="206">
        <f t="shared" si="8"/>
        <v>0.18998517957935235</v>
      </c>
    </row>
    <row r="57" spans="1:32" s="128" customFormat="1" ht="54.95" customHeight="1" x14ac:dyDescent="0.85">
      <c r="A57" s="191" t="s">
        <v>268</v>
      </c>
      <c r="B57" s="204">
        <f>'CNT (from FS Analysis)'!N204</f>
        <v>14225</v>
      </c>
      <c r="C57" s="204">
        <v>0</v>
      </c>
      <c r="D57" s="204">
        <f>DEP!H41</f>
        <v>10504.35</v>
      </c>
      <c r="E57" s="204">
        <v>0</v>
      </c>
      <c r="F57" s="204">
        <v>0</v>
      </c>
      <c r="G57" s="204">
        <v>0</v>
      </c>
      <c r="H57" s="204">
        <v>0</v>
      </c>
      <c r="I57" s="204">
        <f t="shared" si="31"/>
        <v>24729.35</v>
      </c>
      <c r="J57" s="205">
        <f t="shared" si="32"/>
        <v>1.1440620752476944E-2</v>
      </c>
      <c r="K57" s="205"/>
      <c r="L57" s="192" t="s">
        <v>268</v>
      </c>
      <c r="M57" s="204">
        <v>9589</v>
      </c>
      <c r="N57" s="204">
        <v>0</v>
      </c>
      <c r="O57" s="204">
        <v>4418</v>
      </c>
      <c r="P57" s="204">
        <v>0</v>
      </c>
      <c r="Q57" s="204">
        <v>0</v>
      </c>
      <c r="R57" s="204">
        <v>0</v>
      </c>
      <c r="S57" s="204">
        <v>0</v>
      </c>
      <c r="T57" s="204">
        <f t="shared" si="2"/>
        <v>14007</v>
      </c>
      <c r="U57" s="206">
        <f t="shared" si="33"/>
        <v>8.9583366737092818E-3</v>
      </c>
      <c r="V57" s="192" t="s">
        <v>268</v>
      </c>
      <c r="W57" s="206"/>
      <c r="X57" s="207">
        <f t="shared" si="4"/>
        <v>24729.35</v>
      </c>
      <c r="Y57" s="206"/>
      <c r="Z57" s="207">
        <f t="shared" si="5"/>
        <v>14007</v>
      </c>
      <c r="AA57" s="206"/>
      <c r="AB57" s="207">
        <f t="shared" si="34"/>
        <v>10722.349999999999</v>
      </c>
      <c r="AC57" s="207"/>
      <c r="AD57" s="206">
        <f t="shared" si="35"/>
        <v>1.7654993931605625</v>
      </c>
      <c r="AE57" s="207"/>
      <c r="AF57" s="206">
        <f t="shared" si="8"/>
        <v>0.76549939316056248</v>
      </c>
    </row>
    <row r="58" spans="1:32" s="128" customFormat="1" ht="54.95" customHeight="1" x14ac:dyDescent="0.85">
      <c r="A58" s="191" t="s">
        <v>407</v>
      </c>
      <c r="B58" s="204">
        <f>'CNT (from FS Analysis)'!N205+'CNT (from FS Analysis)'!N213</f>
        <v>68322.709999999992</v>
      </c>
      <c r="C58" s="204">
        <f>BPM!H38</f>
        <v>1511.66</v>
      </c>
      <c r="D58" s="204">
        <f>DEP!H42</f>
        <v>17535.55</v>
      </c>
      <c r="E58" s="204">
        <v>0</v>
      </c>
      <c r="F58" s="204">
        <f>'BSC (Dome)'!H41</f>
        <v>2448.1799999999998</v>
      </c>
      <c r="G58" s="204">
        <v>0</v>
      </c>
      <c r="H58" s="204">
        <v>0</v>
      </c>
      <c r="I58" s="204">
        <f t="shared" si="31"/>
        <v>89818.099999999991</v>
      </c>
      <c r="J58" s="205">
        <f t="shared" si="32"/>
        <v>4.1552843839730902E-2</v>
      </c>
      <c r="K58" s="205"/>
      <c r="L58" s="192" t="s">
        <v>269</v>
      </c>
      <c r="M58" s="204">
        <v>84348.800000000003</v>
      </c>
      <c r="N58" s="204">
        <v>0</v>
      </c>
      <c r="O58" s="204">
        <v>20912.8</v>
      </c>
      <c r="P58" s="204">
        <v>0</v>
      </c>
      <c r="Q58" s="204">
        <v>712.05</v>
      </c>
      <c r="R58" s="204">
        <v>0</v>
      </c>
      <c r="S58" s="204">
        <v>0</v>
      </c>
      <c r="T58" s="204">
        <f t="shared" si="2"/>
        <v>105973.65000000001</v>
      </c>
      <c r="U58" s="206">
        <f t="shared" si="33"/>
        <v>6.7776657045893612E-2</v>
      </c>
      <c r="V58" s="192" t="s">
        <v>269</v>
      </c>
      <c r="W58" s="206"/>
      <c r="X58" s="207">
        <f t="shared" si="4"/>
        <v>89818.099999999991</v>
      </c>
      <c r="Y58" s="206"/>
      <c r="Z58" s="207">
        <f t="shared" si="5"/>
        <v>105973.65000000001</v>
      </c>
      <c r="AA58" s="206"/>
      <c r="AB58" s="207">
        <f t="shared" si="34"/>
        <v>-16155.550000000017</v>
      </c>
      <c r="AC58" s="207"/>
      <c r="AD58" s="206">
        <f t="shared" si="35"/>
        <v>0.84755125448637447</v>
      </c>
      <c r="AE58" s="207"/>
      <c r="AF58" s="206">
        <f t="shared" si="8"/>
        <v>-0.15244874551362553</v>
      </c>
    </row>
    <row r="59" spans="1:32" s="128" customFormat="1" ht="54.95" customHeight="1" x14ac:dyDescent="0.85">
      <c r="A59" s="191" t="s">
        <v>408</v>
      </c>
      <c r="B59" s="204"/>
      <c r="C59" s="204">
        <v>0</v>
      </c>
      <c r="D59" s="204">
        <v>0</v>
      </c>
      <c r="E59" s="204">
        <v>0</v>
      </c>
      <c r="F59" s="204">
        <f>'BSC (Dome)'!H42+'BSC (Dome)'!H48</f>
        <v>9527.82</v>
      </c>
      <c r="G59" s="204">
        <v>0</v>
      </c>
      <c r="H59" s="204">
        <v>0</v>
      </c>
      <c r="I59" s="204">
        <f t="shared" si="31"/>
        <v>9527.82</v>
      </c>
      <c r="J59" s="205">
        <f t="shared" si="32"/>
        <v>4.4078867911152087E-3</v>
      </c>
      <c r="K59" s="205"/>
      <c r="L59" s="192" t="s">
        <v>408</v>
      </c>
      <c r="M59" s="204">
        <v>0</v>
      </c>
      <c r="N59" s="204">
        <v>6994.33</v>
      </c>
      <c r="O59" s="204">
        <v>0</v>
      </c>
      <c r="P59" s="204">
        <v>0</v>
      </c>
      <c r="Q59" s="204">
        <f>5821.66+3281.4+862.3+620.4</f>
        <v>10585.759999999998</v>
      </c>
      <c r="R59" s="204">
        <v>0</v>
      </c>
      <c r="S59" s="204">
        <v>0</v>
      </c>
      <c r="T59" s="204">
        <f t="shared" si="2"/>
        <v>17580.089999999997</v>
      </c>
      <c r="U59" s="206">
        <f t="shared" si="33"/>
        <v>1.1243547153145555E-2</v>
      </c>
      <c r="V59" s="192" t="s">
        <v>408</v>
      </c>
      <c r="W59" s="206"/>
      <c r="X59" s="207">
        <f t="shared" si="4"/>
        <v>9527.82</v>
      </c>
      <c r="Y59" s="206"/>
      <c r="Z59" s="207">
        <f t="shared" si="5"/>
        <v>17580.089999999997</v>
      </c>
      <c r="AA59" s="206"/>
      <c r="AB59" s="207">
        <f>I59-T59</f>
        <v>-8052.2699999999968</v>
      </c>
      <c r="AC59" s="207"/>
      <c r="AD59" s="206">
        <f t="shared" si="35"/>
        <v>0.54196650870388041</v>
      </c>
      <c r="AE59" s="207"/>
      <c r="AF59" s="206">
        <f t="shared" si="8"/>
        <v>-0.45803349129611959</v>
      </c>
    </row>
    <row r="60" spans="1:32" s="128" customFormat="1" ht="54.95" customHeight="1" x14ac:dyDescent="0.85">
      <c r="A60" s="191" t="s">
        <v>271</v>
      </c>
      <c r="B60" s="204">
        <f>'CNT (from FS Analysis)'!N206</f>
        <v>52059.100000000013</v>
      </c>
      <c r="C60" s="204">
        <v>0</v>
      </c>
      <c r="D60" s="204">
        <f>DEP!H43</f>
        <v>32365.08</v>
      </c>
      <c r="E60" s="204">
        <v>0</v>
      </c>
      <c r="F60" s="204">
        <f>'BSC (Dome)'!H44</f>
        <v>233.66</v>
      </c>
      <c r="G60" s="204">
        <v>0</v>
      </c>
      <c r="H60" s="204">
        <v>0</v>
      </c>
      <c r="I60" s="204">
        <f t="shared" si="31"/>
        <v>84657.840000000026</v>
      </c>
      <c r="J60" s="205">
        <f t="shared" si="32"/>
        <v>3.91655357364376E-2</v>
      </c>
      <c r="K60" s="205"/>
      <c r="L60" s="192" t="s">
        <v>271</v>
      </c>
      <c r="M60" s="204">
        <v>54439.68</v>
      </c>
      <c r="N60" s="204">
        <v>0</v>
      </c>
      <c r="O60" s="204">
        <v>25902</v>
      </c>
      <c r="P60" s="204">
        <v>0</v>
      </c>
      <c r="Q60" s="204">
        <v>0</v>
      </c>
      <c r="R60" s="204">
        <v>0</v>
      </c>
      <c r="S60" s="204">
        <v>0</v>
      </c>
      <c r="T60" s="204">
        <f t="shared" si="2"/>
        <v>80341.679999999993</v>
      </c>
      <c r="U60" s="206">
        <f t="shared" si="33"/>
        <v>5.1383438164590241E-2</v>
      </c>
      <c r="V60" s="192" t="s">
        <v>271</v>
      </c>
      <c r="W60" s="206"/>
      <c r="X60" s="207">
        <f t="shared" si="4"/>
        <v>84657.840000000026</v>
      </c>
      <c r="Y60" s="206"/>
      <c r="Z60" s="207">
        <f t="shared" si="5"/>
        <v>80341.679999999993</v>
      </c>
      <c r="AA60" s="206"/>
      <c r="AB60" s="207">
        <f t="shared" si="34"/>
        <v>4316.1600000000326</v>
      </c>
      <c r="AC60" s="207"/>
      <c r="AD60" s="206">
        <f t="shared" si="35"/>
        <v>1.0537225509847445</v>
      </c>
      <c r="AE60" s="207"/>
      <c r="AF60" s="206">
        <f t="shared" si="8"/>
        <v>5.3722550984744544E-2</v>
      </c>
    </row>
    <row r="61" spans="1:32" s="128" customFormat="1" ht="54.95" customHeight="1" x14ac:dyDescent="0.85">
      <c r="A61" s="191" t="s">
        <v>272</v>
      </c>
      <c r="B61" s="204">
        <f>'CNT (from FS Analysis)'!N207</f>
        <v>20000</v>
      </c>
      <c r="C61" s="204">
        <v>0</v>
      </c>
      <c r="D61" s="204">
        <f>DEP!H44</f>
        <v>9571.7999999999993</v>
      </c>
      <c r="E61" s="204">
        <v>0</v>
      </c>
      <c r="F61" s="204">
        <v>0</v>
      </c>
      <c r="G61" s="204">
        <v>0</v>
      </c>
      <c r="H61" s="204">
        <v>0</v>
      </c>
      <c r="I61" s="204">
        <f t="shared" si="31"/>
        <v>29571.8</v>
      </c>
      <c r="J61" s="205">
        <f t="shared" si="32"/>
        <v>1.3680899367274017E-2</v>
      </c>
      <c r="K61" s="205"/>
      <c r="L61" s="192" t="s">
        <v>272</v>
      </c>
      <c r="M61" s="204">
        <v>17586.45</v>
      </c>
      <c r="N61" s="204">
        <v>0</v>
      </c>
      <c r="O61" s="204">
        <v>10930.29</v>
      </c>
      <c r="P61" s="204">
        <v>0</v>
      </c>
      <c r="Q61" s="204">
        <v>0</v>
      </c>
      <c r="R61" s="204">
        <v>0</v>
      </c>
      <c r="S61" s="204">
        <v>0</v>
      </c>
      <c r="T61" s="204">
        <f t="shared" si="2"/>
        <v>28516.74</v>
      </c>
      <c r="U61" s="206">
        <f t="shared" si="33"/>
        <v>1.8238206450819767E-2</v>
      </c>
      <c r="V61" s="192" t="s">
        <v>272</v>
      </c>
      <c r="W61" s="206"/>
      <c r="X61" s="207">
        <f t="shared" si="4"/>
        <v>29571.8</v>
      </c>
      <c r="Y61" s="206"/>
      <c r="Z61" s="207">
        <f t="shared" si="5"/>
        <v>28516.74</v>
      </c>
      <c r="AA61" s="206"/>
      <c r="AB61" s="207">
        <f t="shared" si="34"/>
        <v>1055.0599999999977</v>
      </c>
      <c r="AC61" s="207"/>
      <c r="AD61" s="206">
        <f t="shared" si="35"/>
        <v>1.0369979177142969</v>
      </c>
      <c r="AE61" s="207"/>
      <c r="AF61" s="206">
        <f t="shared" si="8"/>
        <v>3.6997917714296946E-2</v>
      </c>
    </row>
    <row r="62" spans="1:32" s="128" customFormat="1" ht="54.95" customHeight="1" x14ac:dyDescent="0.85">
      <c r="A62" s="191" t="s">
        <v>270</v>
      </c>
      <c r="B62" s="204">
        <f>'CNT (from FS Analysis)'!N208</f>
        <v>30508.03</v>
      </c>
      <c r="C62" s="204">
        <v>0</v>
      </c>
      <c r="D62" s="204">
        <f>DEP!H45</f>
        <v>94972.9</v>
      </c>
      <c r="E62" s="204">
        <v>0</v>
      </c>
      <c r="F62" s="204">
        <f>'BSC (Dome)'!H46</f>
        <v>14546</v>
      </c>
      <c r="G62" s="204">
        <v>0</v>
      </c>
      <c r="H62" s="204">
        <v>0</v>
      </c>
      <c r="I62" s="204">
        <f t="shared" si="31"/>
        <v>140026.93</v>
      </c>
      <c r="J62" s="205">
        <f t="shared" si="32"/>
        <v>6.4781120460652486E-2</v>
      </c>
      <c r="K62" s="205"/>
      <c r="L62" s="192" t="s">
        <v>270</v>
      </c>
      <c r="M62" s="204">
        <v>26055.25</v>
      </c>
      <c r="N62" s="204">
        <v>0</v>
      </c>
      <c r="O62" s="204">
        <v>109286.21</v>
      </c>
      <c r="P62" s="204">
        <v>0</v>
      </c>
      <c r="Q62" s="204">
        <v>23420</v>
      </c>
      <c r="R62" s="204">
        <v>0</v>
      </c>
      <c r="S62" s="204">
        <v>0</v>
      </c>
      <c r="T62" s="204">
        <f t="shared" si="2"/>
        <v>158761.46000000002</v>
      </c>
      <c r="U62" s="206">
        <f t="shared" si="33"/>
        <v>0.10153770325477472</v>
      </c>
      <c r="V62" s="192" t="s">
        <v>270</v>
      </c>
      <c r="W62" s="206"/>
      <c r="X62" s="207">
        <f t="shared" si="4"/>
        <v>140026.93</v>
      </c>
      <c r="Y62" s="206"/>
      <c r="Z62" s="207">
        <f t="shared" si="5"/>
        <v>158761.46000000002</v>
      </c>
      <c r="AA62" s="206"/>
      <c r="AB62" s="207">
        <f t="shared" si="34"/>
        <v>-18734.530000000028</v>
      </c>
      <c r="AC62" s="207"/>
      <c r="AD62" s="206">
        <f t="shared" si="35"/>
        <v>0.88199573120579755</v>
      </c>
      <c r="AE62" s="207"/>
      <c r="AF62" s="206">
        <f t="shared" si="8"/>
        <v>-0.11800426879420245</v>
      </c>
    </row>
    <row r="63" spans="1:32" s="128" customFormat="1" ht="54.95" customHeight="1" x14ac:dyDescent="0.85">
      <c r="A63" s="191" t="s">
        <v>392</v>
      </c>
      <c r="B63" s="204">
        <v>0</v>
      </c>
      <c r="C63" s="204">
        <v>0</v>
      </c>
      <c r="D63" s="204">
        <v>0</v>
      </c>
      <c r="E63" s="204">
        <v>0</v>
      </c>
      <c r="F63" s="204">
        <f>'BSC (Dome)'!H43</f>
        <v>10840.56</v>
      </c>
      <c r="G63" s="204">
        <v>0</v>
      </c>
      <c r="H63" s="204">
        <v>0</v>
      </c>
      <c r="I63" s="204">
        <f t="shared" si="31"/>
        <v>10840.56</v>
      </c>
      <c r="J63" s="205">
        <f t="shared" si="32"/>
        <v>5.015204026974889E-3</v>
      </c>
      <c r="K63" s="205"/>
      <c r="L63" s="192" t="s">
        <v>392</v>
      </c>
      <c r="M63" s="204">
        <v>0</v>
      </c>
      <c r="N63" s="204">
        <v>0</v>
      </c>
      <c r="O63" s="204">
        <v>4557.79</v>
      </c>
      <c r="P63" s="204">
        <v>0</v>
      </c>
      <c r="Q63" s="204">
        <v>5446.94</v>
      </c>
      <c r="R63" s="204">
        <v>0</v>
      </c>
      <c r="S63" s="204">
        <v>0</v>
      </c>
      <c r="T63" s="204">
        <f t="shared" si="2"/>
        <v>10004.73</v>
      </c>
      <c r="U63" s="206">
        <f t="shared" si="33"/>
        <v>6.3986392282115705E-3</v>
      </c>
      <c r="V63" s="192" t="s">
        <v>392</v>
      </c>
      <c r="W63" s="206"/>
      <c r="X63" s="207">
        <f t="shared" si="4"/>
        <v>10840.56</v>
      </c>
      <c r="Y63" s="206"/>
      <c r="Z63" s="207">
        <f t="shared" si="5"/>
        <v>10004.73</v>
      </c>
      <c r="AA63" s="206"/>
      <c r="AB63" s="207">
        <f t="shared" si="34"/>
        <v>835.82999999999993</v>
      </c>
      <c r="AC63" s="207"/>
      <c r="AD63" s="206">
        <f t="shared" si="35"/>
        <v>1.0835434839321001</v>
      </c>
      <c r="AE63" s="207"/>
      <c r="AF63" s="206">
        <f t="shared" si="8"/>
        <v>8.3543483932100093E-2</v>
      </c>
    </row>
    <row r="64" spans="1:32" s="128" customFormat="1" ht="54.95" customHeight="1" x14ac:dyDescent="0.85">
      <c r="A64" s="191" t="s">
        <v>273</v>
      </c>
      <c r="B64" s="204">
        <f>'CNT (from FS Analysis)'!N209</f>
        <v>7756.71</v>
      </c>
      <c r="C64" s="204">
        <v>0</v>
      </c>
      <c r="D64" s="204">
        <f>DEP!H46</f>
        <v>152.47</v>
      </c>
      <c r="E64" s="204">
        <v>0</v>
      </c>
      <c r="F64" s="204">
        <f>'BSC (Dome)'!H49</f>
        <v>1417.5100000000002</v>
      </c>
      <c r="G64" s="204">
        <v>0</v>
      </c>
      <c r="H64" s="204">
        <v>0</v>
      </c>
      <c r="I64" s="204">
        <f t="shared" si="31"/>
        <v>9326.69</v>
      </c>
      <c r="J64" s="205">
        <f t="shared" si="32"/>
        <v>4.3148373558512133E-3</v>
      </c>
      <c r="K64" s="205"/>
      <c r="L64" s="192" t="s">
        <v>273</v>
      </c>
      <c r="M64" s="204">
        <v>17136.68</v>
      </c>
      <c r="N64" s="204">
        <v>0</v>
      </c>
      <c r="O64" s="204">
        <v>3209.41</v>
      </c>
      <c r="P64" s="204">
        <v>0</v>
      </c>
      <c r="Q64" s="204">
        <v>794.62</v>
      </c>
      <c r="R64" s="204">
        <v>0</v>
      </c>
      <c r="S64" s="204">
        <v>0</v>
      </c>
      <c r="T64" s="204">
        <f t="shared" si="2"/>
        <v>21140.71</v>
      </c>
      <c r="U64" s="206">
        <f t="shared" si="33"/>
        <v>1.3520782301795714E-2</v>
      </c>
      <c r="V64" s="192" t="s">
        <v>273</v>
      </c>
      <c r="W64" s="206"/>
      <c r="X64" s="207">
        <f t="shared" si="4"/>
        <v>9326.69</v>
      </c>
      <c r="Y64" s="206"/>
      <c r="Z64" s="207">
        <f t="shared" si="5"/>
        <v>21140.71</v>
      </c>
      <c r="AA64" s="206"/>
      <c r="AB64" s="207">
        <f t="shared" si="34"/>
        <v>-11814.019999999999</v>
      </c>
      <c r="AC64" s="207"/>
      <c r="AD64" s="206">
        <f t="shared" si="35"/>
        <v>0.44117203253816928</v>
      </c>
      <c r="AE64" s="207"/>
      <c r="AF64" s="206">
        <f t="shared" si="8"/>
        <v>-0.55882796746183072</v>
      </c>
    </row>
    <row r="65" spans="1:32" s="128" customFormat="1" ht="54.95" customHeight="1" x14ac:dyDescent="0.85">
      <c r="A65" s="191" t="s">
        <v>274</v>
      </c>
      <c r="B65" s="204">
        <f>'CNT (from FS Analysis)'!N210</f>
        <v>2564.1</v>
      </c>
      <c r="C65" s="204">
        <v>0</v>
      </c>
      <c r="D65" s="204">
        <f>DEP!H48</f>
        <v>1947.3999999999999</v>
      </c>
      <c r="E65" s="204">
        <v>0</v>
      </c>
      <c r="F65" s="204">
        <v>0</v>
      </c>
      <c r="G65" s="204">
        <v>0</v>
      </c>
      <c r="H65" s="204">
        <v>0</v>
      </c>
      <c r="I65" s="204">
        <f t="shared" si="31"/>
        <v>4511.5</v>
      </c>
      <c r="J65" s="205">
        <f t="shared" si="32"/>
        <v>2.08717012476267E-3</v>
      </c>
      <c r="K65" s="205"/>
      <c r="L65" s="192" t="s">
        <v>274</v>
      </c>
      <c r="M65" s="204">
        <v>1754.39</v>
      </c>
      <c r="N65" s="204">
        <v>402.68</v>
      </c>
      <c r="O65" s="204">
        <v>1936.72</v>
      </c>
      <c r="P65" s="204">
        <v>0</v>
      </c>
      <c r="Q65" s="204">
        <v>0</v>
      </c>
      <c r="R65" s="204">
        <v>0</v>
      </c>
      <c r="S65" s="204">
        <v>0</v>
      </c>
      <c r="T65" s="204">
        <f t="shared" si="2"/>
        <v>4093.79</v>
      </c>
      <c r="U65" s="206">
        <f t="shared" si="33"/>
        <v>2.6182301057659971E-3</v>
      </c>
      <c r="V65" s="192" t="s">
        <v>274</v>
      </c>
      <c r="W65" s="206"/>
      <c r="X65" s="207">
        <f t="shared" si="4"/>
        <v>4511.5</v>
      </c>
      <c r="Y65" s="206"/>
      <c r="Z65" s="207">
        <f t="shared" si="5"/>
        <v>4093.79</v>
      </c>
      <c r="AA65" s="206"/>
      <c r="AB65" s="207">
        <f t="shared" si="34"/>
        <v>417.71000000000004</v>
      </c>
      <c r="AC65" s="207"/>
      <c r="AD65" s="206">
        <f t="shared" si="35"/>
        <v>1.1020350335508173</v>
      </c>
      <c r="AE65" s="207"/>
      <c r="AF65" s="206">
        <f t="shared" si="8"/>
        <v>0.10203503355081733</v>
      </c>
    </row>
    <row r="66" spans="1:32" s="128" customFormat="1" ht="54.95" customHeight="1" x14ac:dyDescent="0.85">
      <c r="A66" s="191" t="s">
        <v>275</v>
      </c>
      <c r="B66" s="204">
        <f>'CNT (from FS Analysis)'!N211</f>
        <v>1999.9799999999998</v>
      </c>
      <c r="C66" s="204">
        <v>0</v>
      </c>
      <c r="D66" s="204">
        <v>0</v>
      </c>
      <c r="E66" s="204">
        <v>0</v>
      </c>
      <c r="F66" s="204">
        <v>0</v>
      </c>
      <c r="G66" s="204">
        <v>0</v>
      </c>
      <c r="H66" s="204">
        <v>0</v>
      </c>
      <c r="I66" s="204">
        <f t="shared" si="31"/>
        <v>1999.9799999999998</v>
      </c>
      <c r="J66" s="205">
        <f t="shared" si="32"/>
        <v>9.2525734370449842E-4</v>
      </c>
      <c r="K66" s="205"/>
      <c r="L66" s="192" t="s">
        <v>275</v>
      </c>
      <c r="M66" s="204">
        <v>2400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f t="shared" si="2"/>
        <v>2400</v>
      </c>
      <c r="U66" s="206">
        <f t="shared" si="33"/>
        <v>1.5349473846578338E-3</v>
      </c>
      <c r="V66" s="192" t="s">
        <v>275</v>
      </c>
      <c r="W66" s="206"/>
      <c r="X66" s="207">
        <f t="shared" si="4"/>
        <v>1999.9799999999998</v>
      </c>
      <c r="Y66" s="206"/>
      <c r="Z66" s="207">
        <f t="shared" si="5"/>
        <v>2400</v>
      </c>
      <c r="AA66" s="206"/>
      <c r="AB66" s="207">
        <f t="shared" si="34"/>
        <v>-400.02000000000021</v>
      </c>
      <c r="AC66" s="207"/>
      <c r="AD66" s="219">
        <f t="shared" si="35"/>
        <v>0.83332499999999987</v>
      </c>
      <c r="AE66" s="207"/>
      <c r="AF66" s="206">
        <f t="shared" si="8"/>
        <v>-0.16667500000000013</v>
      </c>
    </row>
    <row r="67" spans="1:32" s="128" customFormat="1" ht="54.95" customHeight="1" x14ac:dyDescent="0.85">
      <c r="A67" s="191" t="s">
        <v>276</v>
      </c>
      <c r="B67" s="204">
        <f>'CNT (from FS Analysis)'!N212+'CNT (from FS Analysis)'!N215</f>
        <v>738820.29</v>
      </c>
      <c r="C67" s="204">
        <f>BPM!H39</f>
        <v>2233.87</v>
      </c>
      <c r="D67" s="204">
        <f>DEP!H49</f>
        <v>62530.3</v>
      </c>
      <c r="E67" s="204">
        <v>0</v>
      </c>
      <c r="F67" s="204">
        <f>'BSC (Dome)'!H52</f>
        <v>56292.94</v>
      </c>
      <c r="G67" s="204">
        <f>'Oliari Co.'!H11</f>
        <v>55507.62000000001</v>
      </c>
      <c r="H67" s="204">
        <f>'722 Bedford St'!H11</f>
        <v>88198.56</v>
      </c>
      <c r="I67" s="204">
        <f t="shared" si="31"/>
        <v>1003583.5800000001</v>
      </c>
      <c r="J67" s="205">
        <f t="shared" si="32"/>
        <v>0.46429118161994176</v>
      </c>
      <c r="K67" s="205"/>
      <c r="L67" s="192" t="s">
        <v>276</v>
      </c>
      <c r="M67" s="204">
        <v>390000</v>
      </c>
      <c r="N67" s="204">
        <v>2000</v>
      </c>
      <c r="O67" s="204">
        <v>55000</v>
      </c>
      <c r="P67" s="204">
        <v>0</v>
      </c>
      <c r="Q67" s="204">
        <v>54000</v>
      </c>
      <c r="R67" s="204">
        <v>35163.4</v>
      </c>
      <c r="S67" s="204">
        <v>0</v>
      </c>
      <c r="T67" s="204">
        <f t="shared" si="2"/>
        <v>536163.4</v>
      </c>
      <c r="U67" s="206">
        <f t="shared" si="33"/>
        <v>0.34290942024135501</v>
      </c>
      <c r="V67" s="192" t="s">
        <v>276</v>
      </c>
      <c r="W67" s="206"/>
      <c r="X67" s="207">
        <f t="shared" si="4"/>
        <v>1003583.5800000001</v>
      </c>
      <c r="Y67" s="206"/>
      <c r="Z67" s="207">
        <f t="shared" si="5"/>
        <v>536163.4</v>
      </c>
      <c r="AA67" s="206"/>
      <c r="AB67" s="207">
        <f t="shared" si="34"/>
        <v>467420.18000000005</v>
      </c>
      <c r="AC67" s="207"/>
      <c r="AD67" s="206">
        <f t="shared" si="35"/>
        <v>1.8717868097673209</v>
      </c>
      <c r="AE67" s="207"/>
      <c r="AF67" s="206">
        <f t="shared" si="8"/>
        <v>0.87178680976732092</v>
      </c>
    </row>
    <row r="68" spans="1:32" s="128" customFormat="1" ht="54.95" customHeight="1" x14ac:dyDescent="0.85">
      <c r="A68" s="191" t="s">
        <v>286</v>
      </c>
      <c r="B68" s="204">
        <f>'CNT (from FS Analysis)'!N230</f>
        <v>976.74</v>
      </c>
      <c r="C68" s="204">
        <v>0</v>
      </c>
      <c r="D68" s="204">
        <v>0</v>
      </c>
      <c r="E68" s="204">
        <v>0</v>
      </c>
      <c r="F68" s="204">
        <v>0</v>
      </c>
      <c r="G68" s="204">
        <v>0</v>
      </c>
      <c r="H68" s="204">
        <v>0</v>
      </c>
      <c r="I68" s="204">
        <f t="shared" si="31"/>
        <v>976.74</v>
      </c>
      <c r="J68" s="205">
        <f t="shared" si="32"/>
        <v>4.5187244766944261E-4</v>
      </c>
      <c r="K68" s="205"/>
      <c r="L68" s="192" t="s">
        <v>286</v>
      </c>
      <c r="M68" s="204">
        <v>2439.3000000000002</v>
      </c>
      <c r="N68" s="204">
        <v>0</v>
      </c>
      <c r="O68" s="204">
        <v>0</v>
      </c>
      <c r="P68" s="204">
        <v>0</v>
      </c>
      <c r="Q68" s="204">
        <v>496.97</v>
      </c>
      <c r="R68" s="204">
        <v>-1113.3599999999999</v>
      </c>
      <c r="S68" s="204">
        <v>0</v>
      </c>
      <c r="T68" s="204">
        <f t="shared" si="2"/>
        <v>1822.9100000000005</v>
      </c>
      <c r="U68" s="206">
        <f t="shared" si="33"/>
        <v>1.1658628904027551E-3</v>
      </c>
      <c r="V68" s="192" t="s">
        <v>286</v>
      </c>
      <c r="W68" s="206"/>
      <c r="X68" s="207">
        <f t="shared" si="4"/>
        <v>976.74</v>
      </c>
      <c r="Y68" s="206"/>
      <c r="Z68" s="207">
        <f t="shared" si="5"/>
        <v>1822.9100000000005</v>
      </c>
      <c r="AA68" s="206"/>
      <c r="AB68" s="207">
        <f t="shared" si="34"/>
        <v>-846.17000000000053</v>
      </c>
      <c r="AC68" s="207"/>
      <c r="AD68" s="206">
        <f t="shared" si="35"/>
        <v>0.53581361668979799</v>
      </c>
      <c r="AE68" s="207"/>
      <c r="AF68" s="206">
        <f t="shared" si="8"/>
        <v>-0.46418638331020201</v>
      </c>
    </row>
    <row r="69" spans="1:32" s="128" customFormat="1" ht="54.95" customHeight="1" x14ac:dyDescent="0.85">
      <c r="A69" s="191" t="s">
        <v>389</v>
      </c>
      <c r="B69" s="204">
        <f>'CNT (from FS Analysis)'!N244</f>
        <v>109</v>
      </c>
      <c r="C69" s="204">
        <f>BPM!H48</f>
        <v>228.96000000000004</v>
      </c>
      <c r="D69" s="204">
        <f>DEP!H64</f>
        <v>149</v>
      </c>
      <c r="E69" s="204">
        <f>Lending!H10</f>
        <v>109</v>
      </c>
      <c r="F69" s="204">
        <f>'BSC (Dome)'!H47</f>
        <v>565</v>
      </c>
      <c r="G69" s="204">
        <f>'Oliari Co.'!H10</f>
        <v>520</v>
      </c>
      <c r="H69" s="204">
        <f>'722 Bedford St'!H10</f>
        <v>520</v>
      </c>
      <c r="I69" s="204">
        <f t="shared" si="31"/>
        <v>2200.96</v>
      </c>
      <c r="J69" s="205">
        <f t="shared" si="32"/>
        <v>1.0182373839737662E-3</v>
      </c>
      <c r="K69" s="205"/>
      <c r="L69" s="192" t="s">
        <v>389</v>
      </c>
      <c r="M69" s="204">
        <v>0</v>
      </c>
      <c r="N69" s="204">
        <v>0</v>
      </c>
      <c r="O69" s="204">
        <v>0</v>
      </c>
      <c r="P69" s="204">
        <f>109+47.25+1000</f>
        <v>1156.25</v>
      </c>
      <c r="Q69" s="204">
        <v>565</v>
      </c>
      <c r="R69" s="204">
        <v>520</v>
      </c>
      <c r="S69" s="204">
        <v>520</v>
      </c>
      <c r="T69" s="204">
        <f t="shared" si="2"/>
        <v>2761.25</v>
      </c>
      <c r="U69" s="206">
        <f t="shared" si="33"/>
        <v>1.7659889441193515E-3</v>
      </c>
      <c r="V69" s="192" t="s">
        <v>389</v>
      </c>
      <c r="W69" s="206"/>
      <c r="X69" s="207">
        <f t="shared" si="4"/>
        <v>2200.96</v>
      </c>
      <c r="Y69" s="206"/>
      <c r="Z69" s="207">
        <f t="shared" si="5"/>
        <v>2761.25</v>
      </c>
      <c r="AA69" s="206"/>
      <c r="AB69" s="207">
        <f t="shared" si="34"/>
        <v>-560.29</v>
      </c>
      <c r="AC69" s="207"/>
      <c r="AD69" s="206">
        <f t="shared" si="35"/>
        <v>0.79708827523766412</v>
      </c>
      <c r="AE69" s="207"/>
      <c r="AF69" s="206">
        <f t="shared" si="8"/>
        <v>-0.20291172476233588</v>
      </c>
    </row>
    <row r="70" spans="1:32" s="128" customFormat="1" ht="54.95" customHeight="1" x14ac:dyDescent="0.85">
      <c r="A70" s="191" t="s">
        <v>279</v>
      </c>
      <c r="B70" s="204">
        <f>'CNT (from FS Analysis)'!N229</f>
        <v>10784.22</v>
      </c>
      <c r="C70" s="204">
        <v>0</v>
      </c>
      <c r="D70" s="204">
        <f>DEP!H50</f>
        <v>10674.939999999999</v>
      </c>
      <c r="E70" s="204">
        <v>0</v>
      </c>
      <c r="F70" s="204">
        <v>0</v>
      </c>
      <c r="G70" s="204">
        <v>0</v>
      </c>
      <c r="H70" s="204">
        <v>0</v>
      </c>
      <c r="I70" s="204">
        <f t="shared" si="31"/>
        <v>21459.159999999996</v>
      </c>
      <c r="J70" s="205">
        <f t="shared" si="32"/>
        <v>9.9277219670845813E-3</v>
      </c>
      <c r="K70" s="205"/>
      <c r="L70" s="192" t="s">
        <v>279</v>
      </c>
      <c r="M70" s="204">
        <v>3394.42</v>
      </c>
      <c r="N70" s="204">
        <v>0</v>
      </c>
      <c r="O70" s="204">
        <v>3630.04</v>
      </c>
      <c r="P70" s="204">
        <v>0</v>
      </c>
      <c r="Q70" s="204">
        <v>0</v>
      </c>
      <c r="R70" s="204">
        <v>0</v>
      </c>
      <c r="S70" s="204">
        <v>0</v>
      </c>
      <c r="T70" s="204">
        <f t="shared" si="2"/>
        <v>7024.46</v>
      </c>
      <c r="U70" s="206">
        <f>T70/$T$74</f>
        <v>4.4925735440139863E-3</v>
      </c>
      <c r="V70" s="192" t="s">
        <v>279</v>
      </c>
      <c r="W70" s="206"/>
      <c r="X70" s="207">
        <f t="shared" si="4"/>
        <v>21459.159999999996</v>
      </c>
      <c r="Y70" s="206"/>
      <c r="Z70" s="207">
        <f t="shared" si="5"/>
        <v>7024.46</v>
      </c>
      <c r="AA70" s="206"/>
      <c r="AB70" s="207">
        <f t="shared" si="34"/>
        <v>14434.699999999997</v>
      </c>
      <c r="AC70" s="207"/>
      <c r="AD70" s="206">
        <f t="shared" si="35"/>
        <v>3.0549195240630591</v>
      </c>
      <c r="AE70" s="207"/>
      <c r="AF70" s="206">
        <f t="shared" si="8"/>
        <v>2.0549195240630591</v>
      </c>
    </row>
    <row r="71" spans="1:32" s="128" customFormat="1" ht="54.95" customHeight="1" x14ac:dyDescent="0.85">
      <c r="A71" s="191" t="s">
        <v>280</v>
      </c>
      <c r="B71" s="204">
        <f>'CNT (from FS Analysis)'!N233+'CNT (from FS Analysis)'!N214</f>
        <v>88523.219999999987</v>
      </c>
      <c r="C71" s="204">
        <v>0</v>
      </c>
      <c r="D71" s="204">
        <f>DEP!H47</f>
        <v>44064.959999999999</v>
      </c>
      <c r="E71" s="204">
        <v>0</v>
      </c>
      <c r="F71" s="204">
        <v>0</v>
      </c>
      <c r="G71" s="204">
        <v>0</v>
      </c>
      <c r="H71" s="204">
        <v>0</v>
      </c>
      <c r="I71" s="204">
        <f t="shared" si="31"/>
        <v>132588.18</v>
      </c>
      <c r="J71" s="205">
        <f t="shared" si="32"/>
        <v>6.1339707013777091E-2</v>
      </c>
      <c r="K71" s="205"/>
      <c r="L71" s="192" t="s">
        <v>280</v>
      </c>
      <c r="M71" s="204">
        <v>1675</v>
      </c>
      <c r="N71" s="204">
        <v>0</v>
      </c>
      <c r="O71" s="204">
        <v>37547.620000000003</v>
      </c>
      <c r="P71" s="204">
        <v>0</v>
      </c>
      <c r="Q71" s="204">
        <v>0</v>
      </c>
      <c r="R71" s="204">
        <v>0</v>
      </c>
      <c r="S71" s="204">
        <v>0</v>
      </c>
      <c r="T71" s="204">
        <f t="shared" si="2"/>
        <v>39222.620000000003</v>
      </c>
      <c r="U71" s="206">
        <f>T71/$T$74</f>
        <v>2.5085274161845021E-2</v>
      </c>
      <c r="V71" s="192" t="s">
        <v>280</v>
      </c>
      <c r="W71" s="206"/>
      <c r="X71" s="207">
        <f t="shared" si="4"/>
        <v>132588.18</v>
      </c>
      <c r="Y71" s="206"/>
      <c r="Z71" s="207">
        <f t="shared" si="5"/>
        <v>39222.620000000003</v>
      </c>
      <c r="AA71" s="206"/>
      <c r="AB71" s="207">
        <f t="shared" si="34"/>
        <v>93365.56</v>
      </c>
      <c r="AC71" s="207"/>
      <c r="AD71" s="206">
        <f t="shared" si="35"/>
        <v>3.3804009013166376</v>
      </c>
      <c r="AE71" s="207"/>
      <c r="AF71" s="206">
        <f t="shared" si="8"/>
        <v>2.3804009013166376</v>
      </c>
    </row>
    <row r="72" spans="1:32" s="128" customFormat="1" ht="54.95" customHeight="1" x14ac:dyDescent="0.85">
      <c r="A72" s="191" t="s">
        <v>402</v>
      </c>
      <c r="B72" s="204">
        <f>'CNT (from FS Analysis)'!N238</f>
        <v>11515.52</v>
      </c>
      <c r="C72" s="204">
        <v>0</v>
      </c>
      <c r="D72" s="204">
        <f>DEP!H51</f>
        <v>4656.5</v>
      </c>
      <c r="E72" s="204">
        <v>0</v>
      </c>
      <c r="F72" s="204">
        <f>'BSC (Dome)'!H54</f>
        <v>2372.79</v>
      </c>
      <c r="G72" s="204">
        <v>0</v>
      </c>
      <c r="H72" s="204">
        <v>0</v>
      </c>
      <c r="I72" s="204">
        <f t="shared" si="31"/>
        <v>18544.810000000001</v>
      </c>
      <c r="J72" s="205">
        <f t="shared" si="32"/>
        <v>8.5794466145184562E-3</v>
      </c>
      <c r="K72" s="205"/>
      <c r="L72" s="192" t="s">
        <v>402</v>
      </c>
      <c r="M72" s="204">
        <v>0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f t="shared" si="2"/>
        <v>0</v>
      </c>
      <c r="U72" s="206">
        <f>T72/$T$74</f>
        <v>0</v>
      </c>
      <c r="V72" s="192" t="s">
        <v>402</v>
      </c>
      <c r="W72" s="206"/>
      <c r="X72" s="207">
        <f t="shared" si="4"/>
        <v>18544.810000000001</v>
      </c>
      <c r="Y72" s="206"/>
      <c r="Z72" s="207">
        <f t="shared" si="5"/>
        <v>0</v>
      </c>
      <c r="AA72" s="206"/>
      <c r="AB72" s="207">
        <f t="shared" si="34"/>
        <v>18544.810000000001</v>
      </c>
      <c r="AC72" s="207"/>
      <c r="AD72" s="219">
        <v>0</v>
      </c>
      <c r="AE72" s="207"/>
      <c r="AF72" s="206">
        <f t="shared" si="8"/>
        <v>-1</v>
      </c>
    </row>
    <row r="73" spans="1:32" s="128" customFormat="1" ht="54.95" customHeight="1" x14ac:dyDescent="0.85">
      <c r="A73" s="191" t="s">
        <v>403</v>
      </c>
      <c r="B73" s="204">
        <f>'CNT (from FS Analysis)'!N239</f>
        <v>3196.84</v>
      </c>
      <c r="C73" s="204">
        <f>BPM!H45</f>
        <v>2691.3</v>
      </c>
      <c r="D73" s="204">
        <f>DEP!H52</f>
        <v>3943.7799999999997</v>
      </c>
      <c r="E73" s="204">
        <v>0</v>
      </c>
      <c r="F73" s="204">
        <f>'BSC (Dome)'!H55</f>
        <v>3566.76</v>
      </c>
      <c r="G73" s="204">
        <v>0</v>
      </c>
      <c r="H73" s="204">
        <v>0</v>
      </c>
      <c r="I73" s="204">
        <f t="shared" si="31"/>
        <v>13398.68</v>
      </c>
      <c r="J73" s="205">
        <f t="shared" si="32"/>
        <v>6.1986755197284927E-3</v>
      </c>
      <c r="K73" s="205"/>
      <c r="L73" s="192" t="s">
        <v>403</v>
      </c>
      <c r="M73" s="204">
        <v>0</v>
      </c>
      <c r="N73" s="204">
        <v>0</v>
      </c>
      <c r="O73" s="204">
        <v>0</v>
      </c>
      <c r="P73" s="204">
        <v>0</v>
      </c>
      <c r="Q73" s="204">
        <v>0</v>
      </c>
      <c r="R73" s="204">
        <v>0</v>
      </c>
      <c r="S73" s="204">
        <v>0</v>
      </c>
      <c r="T73" s="204">
        <f t="shared" si="2"/>
        <v>0</v>
      </c>
      <c r="U73" s="206">
        <f>T73/$T$74</f>
        <v>0</v>
      </c>
      <c r="V73" s="192" t="s">
        <v>403</v>
      </c>
      <c r="W73" s="206"/>
      <c r="X73" s="207">
        <f t="shared" si="4"/>
        <v>13398.68</v>
      </c>
      <c r="Y73" s="206"/>
      <c r="Z73" s="207">
        <f t="shared" si="5"/>
        <v>0</v>
      </c>
      <c r="AA73" s="206"/>
      <c r="AB73" s="207">
        <f t="shared" si="34"/>
        <v>13398.68</v>
      </c>
      <c r="AC73" s="207"/>
      <c r="AD73" s="219">
        <v>0</v>
      </c>
      <c r="AE73" s="207"/>
      <c r="AF73" s="220">
        <f t="shared" si="8"/>
        <v>-1</v>
      </c>
    </row>
    <row r="74" spans="1:32" s="128" customFormat="1" ht="54.95" customHeight="1" x14ac:dyDescent="0.85">
      <c r="A74" s="202" t="s">
        <v>281</v>
      </c>
      <c r="B74" s="209">
        <f>SUM(B52:B73)</f>
        <v>1276118.3500000001</v>
      </c>
      <c r="C74" s="209">
        <f t="shared" ref="C74:H74" si="36">SUM(C52:C73)</f>
        <v>6665.79</v>
      </c>
      <c r="D74" s="209">
        <f t="shared" si="36"/>
        <v>558398.40999999992</v>
      </c>
      <c r="E74" s="209">
        <f t="shared" si="36"/>
        <v>109</v>
      </c>
      <c r="F74" s="209">
        <f>SUM(F52:F73)</f>
        <v>175501.44999999998</v>
      </c>
      <c r="G74" s="209">
        <f t="shared" ref="G74" si="37">SUM(G52:G73)</f>
        <v>56027.62000000001</v>
      </c>
      <c r="H74" s="209">
        <f t="shared" si="36"/>
        <v>88718.56</v>
      </c>
      <c r="I74" s="209">
        <f t="shared" si="31"/>
        <v>2161539.1800000002</v>
      </c>
      <c r="J74" s="210">
        <f>SUM(J52:J73)</f>
        <v>1</v>
      </c>
      <c r="K74" s="211"/>
      <c r="L74" s="203" t="s">
        <v>281</v>
      </c>
      <c r="M74" s="209">
        <f>SUM(M52:M73)</f>
        <v>859944.40000000014</v>
      </c>
      <c r="N74" s="209">
        <f t="shared" ref="N74:P74" si="38">SUM(N52:N73)</f>
        <v>9397.01</v>
      </c>
      <c r="O74" s="209">
        <f t="shared" si="38"/>
        <v>462110.83999999991</v>
      </c>
      <c r="P74" s="209">
        <f t="shared" si="38"/>
        <v>1156.25</v>
      </c>
      <c r="Q74" s="209">
        <f>SUM(Q52:Q73)</f>
        <v>195872.97</v>
      </c>
      <c r="R74" s="209">
        <f>SUM(R52:R73)</f>
        <v>34570.04</v>
      </c>
      <c r="S74" s="209">
        <f>SUM(S52:S73)</f>
        <v>520</v>
      </c>
      <c r="T74" s="209">
        <f t="shared" si="2"/>
        <v>1563571.51</v>
      </c>
      <c r="U74" s="212">
        <f>SUM(U52:U73)</f>
        <v>1.0000000000000002</v>
      </c>
      <c r="V74" s="203" t="s">
        <v>281</v>
      </c>
      <c r="W74" s="213"/>
      <c r="X74" s="214">
        <f t="shared" si="4"/>
        <v>2161539.1800000002</v>
      </c>
      <c r="Y74" s="213"/>
      <c r="Z74" s="214">
        <f t="shared" si="5"/>
        <v>1563571.51</v>
      </c>
      <c r="AA74" s="213"/>
      <c r="AB74" s="214">
        <f>I74-T74</f>
        <v>597967.67000000016</v>
      </c>
      <c r="AC74" s="214"/>
      <c r="AD74" s="212">
        <f>I74/T74</f>
        <v>1.3824370463235163</v>
      </c>
      <c r="AE74" s="214"/>
      <c r="AF74" s="212">
        <f t="shared" si="8"/>
        <v>0.38243704632351627</v>
      </c>
    </row>
    <row r="75" spans="1:32" s="128" customFormat="1" ht="54.95" customHeight="1" x14ac:dyDescent="0.85">
      <c r="A75" s="191"/>
      <c r="B75" s="204"/>
      <c r="C75" s="204"/>
      <c r="D75" s="204"/>
      <c r="E75" s="204"/>
      <c r="F75" s="204"/>
      <c r="G75" s="204"/>
      <c r="H75" s="204"/>
      <c r="I75" s="204"/>
      <c r="J75" s="192"/>
      <c r="K75" s="192"/>
      <c r="L75" s="192"/>
      <c r="M75" s="204"/>
      <c r="N75" s="204"/>
      <c r="O75" s="204"/>
      <c r="P75" s="204"/>
      <c r="Q75" s="204"/>
      <c r="R75" s="204"/>
      <c r="S75" s="204"/>
      <c r="T75" s="204"/>
      <c r="U75" s="191"/>
      <c r="V75" s="192"/>
      <c r="W75" s="191"/>
      <c r="X75" s="207"/>
      <c r="Y75" s="191"/>
      <c r="Z75" s="207">
        <f t="shared" si="5"/>
        <v>0</v>
      </c>
      <c r="AA75" s="191"/>
      <c r="AB75" s="207"/>
      <c r="AC75" s="207"/>
      <c r="AD75" s="206"/>
      <c r="AE75" s="207"/>
      <c r="AF75" s="206"/>
    </row>
    <row r="76" spans="1:32" s="128" customFormat="1" ht="54.95" customHeight="1" x14ac:dyDescent="0.85">
      <c r="A76" s="202" t="s">
        <v>282</v>
      </c>
      <c r="B76" s="204"/>
      <c r="C76" s="204"/>
      <c r="D76" s="204"/>
      <c r="E76" s="204"/>
      <c r="F76" s="204"/>
      <c r="G76" s="204"/>
      <c r="H76" s="204"/>
      <c r="I76" s="204"/>
      <c r="J76" s="192"/>
      <c r="K76" s="192"/>
      <c r="L76" s="203" t="s">
        <v>282</v>
      </c>
      <c r="M76" s="204"/>
      <c r="N76" s="204"/>
      <c r="O76" s="204"/>
      <c r="P76" s="204"/>
      <c r="Q76" s="204"/>
      <c r="R76" s="204"/>
      <c r="S76" s="204"/>
      <c r="T76" s="204"/>
      <c r="U76" s="191"/>
      <c r="V76" s="203" t="s">
        <v>282</v>
      </c>
      <c r="W76" s="191"/>
      <c r="X76" s="207"/>
      <c r="Y76" s="191"/>
      <c r="Z76" s="207">
        <f t="shared" si="5"/>
        <v>0</v>
      </c>
      <c r="AA76" s="191"/>
      <c r="AB76" s="207"/>
      <c r="AC76" s="207"/>
      <c r="AD76" s="206"/>
      <c r="AE76" s="207"/>
      <c r="AF76" s="206"/>
    </row>
    <row r="77" spans="1:32" s="128" customFormat="1" ht="54.95" customHeight="1" x14ac:dyDescent="0.85">
      <c r="A77" s="191" t="s">
        <v>283</v>
      </c>
      <c r="B77" s="204">
        <f>'CNT (from FS Analysis)'!N220</f>
        <v>5487.78</v>
      </c>
      <c r="C77" s="204">
        <v>0</v>
      </c>
      <c r="D77" s="204">
        <f>DEP!H56</f>
        <v>983.99</v>
      </c>
      <c r="E77" s="204">
        <v>0</v>
      </c>
      <c r="F77" s="204">
        <f>'BSC (Dome)'!H59</f>
        <v>2229.16</v>
      </c>
      <c r="G77" s="204">
        <v>0</v>
      </c>
      <c r="H77" s="204">
        <v>0</v>
      </c>
      <c r="I77" s="204">
        <f t="shared" ref="I77:I98" si="39">SUM(B77:H77)</f>
        <v>8700.93</v>
      </c>
      <c r="J77" s="205">
        <f t="shared" ref="J77:J95" si="40">I77/$I$96</f>
        <v>1.5328433128031799E-2</v>
      </c>
      <c r="K77" s="205"/>
      <c r="L77" s="192" t="s">
        <v>283</v>
      </c>
      <c r="M77" s="204">
        <v>6453.1</v>
      </c>
      <c r="N77" s="204">
        <v>0</v>
      </c>
      <c r="O77" s="204">
        <v>995.94</v>
      </c>
      <c r="P77" s="204">
        <v>0</v>
      </c>
      <c r="Q77" s="204">
        <v>0</v>
      </c>
      <c r="R77" s="204">
        <v>0</v>
      </c>
      <c r="S77" s="204">
        <v>0</v>
      </c>
      <c r="T77" s="204">
        <f t="shared" si="2"/>
        <v>7449.0400000000009</v>
      </c>
      <c r="U77" s="206">
        <f t="shared" ref="U77:U95" si="41">T77/$T$96</f>
        <v>1.3916547309888309E-2</v>
      </c>
      <c r="V77" s="192" t="s">
        <v>283</v>
      </c>
      <c r="W77" s="206"/>
      <c r="X77" s="207">
        <f t="shared" si="4"/>
        <v>8700.93</v>
      </c>
      <c r="Y77" s="206"/>
      <c r="Z77" s="207">
        <f t="shared" si="5"/>
        <v>7449.0400000000009</v>
      </c>
      <c r="AA77" s="206"/>
      <c r="AB77" s="207">
        <f>I77-T77</f>
        <v>1251.8899999999994</v>
      </c>
      <c r="AC77" s="207"/>
      <c r="AD77" s="206">
        <f>I77/T77</f>
        <v>1.1680605823032228</v>
      </c>
      <c r="AE77" s="207"/>
      <c r="AF77" s="206">
        <f t="shared" si="8"/>
        <v>0.16806058230322285</v>
      </c>
    </row>
    <row r="78" spans="1:32" s="128" customFormat="1" ht="54.95" customHeight="1" x14ac:dyDescent="0.85">
      <c r="A78" s="191" t="s">
        <v>425</v>
      </c>
      <c r="B78" s="204">
        <f>'CNT (from FS Analysis)'!N218</f>
        <v>2500</v>
      </c>
      <c r="C78" s="204">
        <v>0</v>
      </c>
      <c r="D78" s="204">
        <v>0</v>
      </c>
      <c r="E78" s="204">
        <v>0</v>
      </c>
      <c r="F78" s="204">
        <v>0</v>
      </c>
      <c r="G78" s="204">
        <v>0</v>
      </c>
      <c r="H78" s="204">
        <v>0</v>
      </c>
      <c r="I78" s="204">
        <f t="shared" si="39"/>
        <v>2500</v>
      </c>
      <c r="J78" s="205">
        <f t="shared" si="40"/>
        <v>4.4042513639437966E-3</v>
      </c>
      <c r="K78" s="205"/>
      <c r="L78" s="192" t="s">
        <v>425</v>
      </c>
      <c r="M78" s="204">
        <v>2500</v>
      </c>
      <c r="N78" s="204">
        <v>0</v>
      </c>
      <c r="O78" s="204">
        <v>0</v>
      </c>
      <c r="P78" s="204">
        <v>0</v>
      </c>
      <c r="Q78" s="204">
        <v>0</v>
      </c>
      <c r="R78" s="204">
        <v>0</v>
      </c>
      <c r="S78" s="204">
        <v>0</v>
      </c>
      <c r="T78" s="204">
        <f t="shared" ref="T78" si="42">SUM(M78:S78)</f>
        <v>2500</v>
      </c>
      <c r="U78" s="206">
        <f t="shared" si="41"/>
        <v>4.6705841658416071E-3</v>
      </c>
      <c r="V78" s="192" t="s">
        <v>425</v>
      </c>
      <c r="W78" s="206"/>
      <c r="X78" s="207">
        <f t="shared" si="4"/>
        <v>2500</v>
      </c>
      <c r="Y78" s="206"/>
      <c r="Z78" s="207">
        <f t="shared" si="5"/>
        <v>2500</v>
      </c>
      <c r="AA78" s="206"/>
      <c r="AB78" s="207">
        <f t="shared" ref="AB78" si="43">I78-T78</f>
        <v>0</v>
      </c>
      <c r="AC78" s="207"/>
      <c r="AD78" s="206">
        <f t="shared" ref="AD78" si="44">I78/T78</f>
        <v>1</v>
      </c>
      <c r="AE78" s="207"/>
      <c r="AF78" s="206">
        <f t="shared" ref="AF78" si="45">AD78-1</f>
        <v>0</v>
      </c>
    </row>
    <row r="79" spans="1:32" s="128" customFormat="1" ht="54.95" customHeight="1" x14ac:dyDescent="0.85">
      <c r="A79" s="191" t="s">
        <v>284</v>
      </c>
      <c r="B79" s="204">
        <f>'CNT (from FS Analysis)'!N221</f>
        <v>58251.789999999994</v>
      </c>
      <c r="C79" s="204">
        <f>BPM!H43</f>
        <v>4505.09</v>
      </c>
      <c r="D79" s="204">
        <f>DEP!H57</f>
        <v>4325.3</v>
      </c>
      <c r="E79" s="204">
        <f>Lending!H9</f>
        <v>1276.94</v>
      </c>
      <c r="F79" s="204">
        <f>'BSC (Dome)'!H60</f>
        <v>2462.0699999999997</v>
      </c>
      <c r="G79" s="204">
        <v>0</v>
      </c>
      <c r="H79" s="204">
        <f>'722 Bedford St'!H16</f>
        <v>480.63</v>
      </c>
      <c r="I79" s="204">
        <f t="shared" si="39"/>
        <v>71301.820000000007</v>
      </c>
      <c r="J79" s="205">
        <f t="shared" si="40"/>
        <v>0.12561245519467004</v>
      </c>
      <c r="K79" s="205"/>
      <c r="L79" s="192" t="s">
        <v>284</v>
      </c>
      <c r="M79" s="204">
        <v>67500.02</v>
      </c>
      <c r="N79" s="204">
        <v>4048.73</v>
      </c>
      <c r="O79" s="204">
        <v>4627.68</v>
      </c>
      <c r="P79" s="204">
        <v>1312.33</v>
      </c>
      <c r="Q79" s="204">
        <f>338.32+56+2065.33</f>
        <v>2459.65</v>
      </c>
      <c r="R79" s="204">
        <v>36</v>
      </c>
      <c r="S79" s="204">
        <v>678.11</v>
      </c>
      <c r="T79" s="204">
        <f t="shared" si="2"/>
        <v>80662.51999999999</v>
      </c>
      <c r="U79" s="206">
        <f t="shared" si="41"/>
        <v>0.15069643547555278</v>
      </c>
      <c r="V79" s="192" t="s">
        <v>284</v>
      </c>
      <c r="W79" s="206"/>
      <c r="X79" s="207">
        <f t="shared" si="4"/>
        <v>71301.820000000007</v>
      </c>
      <c r="Y79" s="206"/>
      <c r="Z79" s="207">
        <f t="shared" si="5"/>
        <v>80662.51999999999</v>
      </c>
      <c r="AA79" s="206"/>
      <c r="AB79" s="207">
        <f t="shared" ref="AB79:AB94" si="46">I79-T79</f>
        <v>-9360.6999999999825</v>
      </c>
      <c r="AC79" s="207"/>
      <c r="AD79" s="206">
        <f t="shared" ref="AD79:AD91" si="47">I79/T79</f>
        <v>0.8839522990355374</v>
      </c>
      <c r="AE79" s="207"/>
      <c r="AF79" s="206">
        <f t="shared" si="8"/>
        <v>-0.1160477009644626</v>
      </c>
    </row>
    <row r="80" spans="1:32" s="128" customFormat="1" ht="54.95" customHeight="1" x14ac:dyDescent="0.85">
      <c r="A80" s="191" t="s">
        <v>396</v>
      </c>
      <c r="B80" s="204">
        <v>0</v>
      </c>
      <c r="C80" s="204">
        <v>0</v>
      </c>
      <c r="D80" s="204">
        <v>0</v>
      </c>
      <c r="E80" s="204">
        <v>0</v>
      </c>
      <c r="F80" s="204">
        <f>'BSC (Dome)'!H61</f>
        <v>2725.63</v>
      </c>
      <c r="G80" s="204">
        <v>0</v>
      </c>
      <c r="H80" s="204">
        <v>0</v>
      </c>
      <c r="I80" s="204">
        <f t="shared" si="39"/>
        <v>2725.63</v>
      </c>
      <c r="J80" s="205">
        <f t="shared" si="40"/>
        <v>4.801743858042452E-3</v>
      </c>
      <c r="K80" s="205"/>
      <c r="L80" s="192" t="s">
        <v>396</v>
      </c>
      <c r="M80" s="204">
        <v>0</v>
      </c>
      <c r="N80" s="204">
        <v>0</v>
      </c>
      <c r="O80" s="204">
        <v>0</v>
      </c>
      <c r="P80" s="204">
        <v>0</v>
      </c>
      <c r="Q80" s="204">
        <v>2279.96</v>
      </c>
      <c r="R80" s="204">
        <v>0</v>
      </c>
      <c r="S80" s="204">
        <v>0</v>
      </c>
      <c r="T80" s="204">
        <f t="shared" ref="T80" si="48">SUM(M80:S80)</f>
        <v>2279.96</v>
      </c>
      <c r="U80" s="206">
        <f t="shared" si="41"/>
        <v>4.2594980299008921E-3</v>
      </c>
      <c r="V80" s="192" t="s">
        <v>396</v>
      </c>
      <c r="W80" s="206"/>
      <c r="X80" s="207">
        <f t="shared" si="4"/>
        <v>2725.63</v>
      </c>
      <c r="Y80" s="206"/>
      <c r="Z80" s="207">
        <f t="shared" si="5"/>
        <v>2279.96</v>
      </c>
      <c r="AA80" s="206"/>
      <c r="AB80" s="207">
        <f t="shared" si="46"/>
        <v>445.67000000000007</v>
      </c>
      <c r="AC80" s="207"/>
      <c r="AD80" s="206">
        <f t="shared" si="47"/>
        <v>1.1954727275917121</v>
      </c>
      <c r="AE80" s="207"/>
      <c r="AF80" s="206">
        <f t="shared" si="8"/>
        <v>0.19547272759171208</v>
      </c>
    </row>
    <row r="81" spans="1:32" s="128" customFormat="1" ht="54.95" customHeight="1" x14ac:dyDescent="0.85">
      <c r="A81" s="191" t="s">
        <v>285</v>
      </c>
      <c r="B81" s="204">
        <f>'CNT (from FS Analysis)'!N223</f>
        <v>3728.73</v>
      </c>
      <c r="C81" s="204">
        <v>0</v>
      </c>
      <c r="D81" s="204">
        <v>0</v>
      </c>
      <c r="E81" s="204">
        <v>0</v>
      </c>
      <c r="F81" s="204">
        <f>'BSC (Dome)'!H65</f>
        <v>975.56000000000006</v>
      </c>
      <c r="G81" s="204">
        <v>0</v>
      </c>
      <c r="H81" s="204">
        <v>0</v>
      </c>
      <c r="I81" s="204">
        <f t="shared" si="39"/>
        <v>4704.29</v>
      </c>
      <c r="J81" s="205">
        <f t="shared" si="40"/>
        <v>8.2875502595548649E-3</v>
      </c>
      <c r="K81" s="205"/>
      <c r="L81" s="192" t="s">
        <v>285</v>
      </c>
      <c r="M81" s="204">
        <v>1365.2</v>
      </c>
      <c r="N81" s="204">
        <v>0</v>
      </c>
      <c r="O81" s="204">
        <v>0</v>
      </c>
      <c r="P81" s="204">
        <v>0</v>
      </c>
      <c r="Q81" s="204">
        <f>2049.5+27.56</f>
        <v>2077.06</v>
      </c>
      <c r="R81" s="204">
        <v>0</v>
      </c>
      <c r="S81" s="204">
        <v>0</v>
      </c>
      <c r="T81" s="204">
        <f t="shared" si="2"/>
        <v>3442.26</v>
      </c>
      <c r="U81" s="206">
        <f t="shared" si="41"/>
        <v>6.4309460202839732E-3</v>
      </c>
      <c r="V81" s="192" t="s">
        <v>285</v>
      </c>
      <c r="W81" s="206"/>
      <c r="X81" s="207">
        <f t="shared" ref="X81:X115" si="49">I81</f>
        <v>4704.29</v>
      </c>
      <c r="Y81" s="206"/>
      <c r="Z81" s="207">
        <f t="shared" ref="Z81:Z115" si="50">T81</f>
        <v>3442.26</v>
      </c>
      <c r="AA81" s="206"/>
      <c r="AB81" s="207">
        <f t="shared" si="46"/>
        <v>1262.0299999999997</v>
      </c>
      <c r="AC81" s="207"/>
      <c r="AD81" s="206">
        <f t="shared" si="47"/>
        <v>1.3666283197666649</v>
      </c>
      <c r="AE81" s="207"/>
      <c r="AF81" s="206">
        <f t="shared" si="8"/>
        <v>0.36662831976666488</v>
      </c>
    </row>
    <row r="82" spans="1:32" s="128" customFormat="1" ht="54.95" customHeight="1" x14ac:dyDescent="0.85">
      <c r="A82" s="191" t="s">
        <v>393</v>
      </c>
      <c r="B82" s="204">
        <f>'CNT (from FS Analysis)'!N241</f>
        <v>173428.57</v>
      </c>
      <c r="C82" s="204">
        <f>BPM!H46</f>
        <v>17000</v>
      </c>
      <c r="D82" s="204">
        <f>DEP!H61</f>
        <v>29000</v>
      </c>
      <c r="E82" s="204">
        <f>-Lending!H17</f>
        <v>270</v>
      </c>
      <c r="F82" s="204">
        <f>'BSC (Dome)'!H66</f>
        <v>3125</v>
      </c>
      <c r="G82" s="204">
        <f>'Oliari Co.'!H15</f>
        <v>1590</v>
      </c>
      <c r="H82" s="204">
        <v>0</v>
      </c>
      <c r="I82" s="204">
        <f t="shared" si="39"/>
        <v>224413.57</v>
      </c>
      <c r="J82" s="205">
        <f t="shared" si="40"/>
        <v>0.39534950870399865</v>
      </c>
      <c r="K82" s="205"/>
      <c r="L82" s="192" t="s">
        <v>393</v>
      </c>
      <c r="M82" s="204">
        <v>205235.6</v>
      </c>
      <c r="N82" s="204">
        <v>35192.44</v>
      </c>
      <c r="O82" s="204">
        <v>44219.17</v>
      </c>
      <c r="P82" s="204">
        <v>1575</v>
      </c>
      <c r="Q82" s="204">
        <v>10650.53</v>
      </c>
      <c r="R82" s="204">
        <f>2300+11000</f>
        <v>13300</v>
      </c>
      <c r="S82" s="204">
        <v>1825</v>
      </c>
      <c r="T82" s="204">
        <f t="shared" si="2"/>
        <v>311997.74000000005</v>
      </c>
      <c r="U82" s="206">
        <f t="shared" si="41"/>
        <v>0.5828846816889468</v>
      </c>
      <c r="V82" s="192" t="s">
        <v>393</v>
      </c>
      <c r="W82" s="206"/>
      <c r="X82" s="207">
        <f t="shared" si="49"/>
        <v>224413.57</v>
      </c>
      <c r="Y82" s="206"/>
      <c r="Z82" s="207">
        <f t="shared" si="50"/>
        <v>311997.74000000005</v>
      </c>
      <c r="AA82" s="206"/>
      <c r="AB82" s="207">
        <f t="shared" si="46"/>
        <v>-87584.170000000042</v>
      </c>
      <c r="AC82" s="207"/>
      <c r="AD82" s="206">
        <f t="shared" si="47"/>
        <v>0.71927947298592598</v>
      </c>
      <c r="AE82" s="207"/>
      <c r="AF82" s="206">
        <f t="shared" si="8"/>
        <v>-0.28072052701407402</v>
      </c>
    </row>
    <row r="83" spans="1:32" s="128" customFormat="1" ht="54.95" customHeight="1" x14ac:dyDescent="0.85">
      <c r="A83" s="191" t="s">
        <v>394</v>
      </c>
      <c r="B83" s="204">
        <f>'CNT (from FS Analysis)'!N242</f>
        <v>45500</v>
      </c>
      <c r="C83" s="204">
        <f>BPM!H47</f>
        <v>22500</v>
      </c>
      <c r="D83" s="204">
        <f>DEP!H62</f>
        <v>13500</v>
      </c>
      <c r="E83" s="204">
        <v>0</v>
      </c>
      <c r="F83" s="204">
        <f>'BSC (Dome)'!H67</f>
        <v>9000</v>
      </c>
      <c r="G83" s="204">
        <v>0</v>
      </c>
      <c r="H83" s="204">
        <v>0</v>
      </c>
      <c r="I83" s="204">
        <f t="shared" si="39"/>
        <v>90500</v>
      </c>
      <c r="J83" s="205">
        <f t="shared" si="40"/>
        <v>0.15943389937476543</v>
      </c>
      <c r="K83" s="205"/>
      <c r="L83" s="192" t="s">
        <v>394</v>
      </c>
      <c r="M83" s="204">
        <v>0</v>
      </c>
      <c r="N83" s="204">
        <v>0</v>
      </c>
      <c r="O83" s="204">
        <v>0</v>
      </c>
      <c r="P83" s="204">
        <v>0</v>
      </c>
      <c r="Q83" s="204">
        <v>5112.0600000000004</v>
      </c>
      <c r="R83" s="204">
        <v>0</v>
      </c>
      <c r="S83" s="204">
        <v>0</v>
      </c>
      <c r="T83" s="204">
        <f t="shared" ref="T83:T86" si="51">SUM(M83:S83)</f>
        <v>5112.0600000000004</v>
      </c>
      <c r="U83" s="206">
        <f t="shared" si="41"/>
        <v>9.5505225963329003E-3</v>
      </c>
      <c r="V83" s="192" t="s">
        <v>394</v>
      </c>
      <c r="W83" s="206"/>
      <c r="X83" s="207">
        <f t="shared" si="49"/>
        <v>90500</v>
      </c>
      <c r="Y83" s="206"/>
      <c r="Z83" s="207">
        <f t="shared" si="50"/>
        <v>5112.0600000000004</v>
      </c>
      <c r="AA83" s="206"/>
      <c r="AB83" s="207">
        <f t="shared" si="46"/>
        <v>85387.94</v>
      </c>
      <c r="AC83" s="207"/>
      <c r="AD83" s="206">
        <f t="shared" si="47"/>
        <v>17.703235095049745</v>
      </c>
      <c r="AE83" s="207"/>
      <c r="AF83" s="206">
        <f t="shared" si="8"/>
        <v>16.703235095049745</v>
      </c>
    </row>
    <row r="84" spans="1:32" s="128" customFormat="1" ht="54.95" customHeight="1" x14ac:dyDescent="0.85">
      <c r="A84" s="191" t="s">
        <v>395</v>
      </c>
      <c r="B84" s="204">
        <f>'CNT (from FS Analysis)'!N240</f>
        <v>23232.91</v>
      </c>
      <c r="C84" s="204">
        <v>0</v>
      </c>
      <c r="D84" s="204">
        <f>DEP!H60</f>
        <v>-5776.56</v>
      </c>
      <c r="E84" s="204">
        <f>-Lending!H16</f>
        <v>2500</v>
      </c>
      <c r="F84" s="204">
        <v>0</v>
      </c>
      <c r="G84" s="204">
        <v>0</v>
      </c>
      <c r="H84" s="204">
        <v>0</v>
      </c>
      <c r="I84" s="204">
        <f t="shared" si="39"/>
        <v>19956.349999999999</v>
      </c>
      <c r="J84" s="205">
        <f t="shared" si="40"/>
        <v>3.5157112682735914E-2</v>
      </c>
      <c r="K84" s="205"/>
      <c r="L84" s="192" t="s">
        <v>395</v>
      </c>
      <c r="M84" s="204">
        <v>0</v>
      </c>
      <c r="N84" s="204">
        <v>0</v>
      </c>
      <c r="O84" s="204">
        <v>0</v>
      </c>
      <c r="P84" s="204">
        <v>0</v>
      </c>
      <c r="Q84" s="204">
        <v>0</v>
      </c>
      <c r="R84" s="204">
        <v>0</v>
      </c>
      <c r="S84" s="204">
        <v>0</v>
      </c>
      <c r="T84" s="204">
        <f t="shared" si="51"/>
        <v>0</v>
      </c>
      <c r="U84" s="206">
        <f t="shared" si="41"/>
        <v>0</v>
      </c>
      <c r="V84" s="192" t="s">
        <v>395</v>
      </c>
      <c r="W84" s="206"/>
      <c r="X84" s="207">
        <f t="shared" si="49"/>
        <v>19956.349999999999</v>
      </c>
      <c r="Y84" s="206"/>
      <c r="Z84" s="207">
        <f t="shared" si="50"/>
        <v>0</v>
      </c>
      <c r="AA84" s="206"/>
      <c r="AB84" s="207">
        <f t="shared" si="46"/>
        <v>19956.349999999999</v>
      </c>
      <c r="AC84" s="207"/>
      <c r="AD84" s="219">
        <v>0</v>
      </c>
      <c r="AE84" s="207"/>
      <c r="AF84" s="206">
        <f t="shared" si="8"/>
        <v>-1</v>
      </c>
    </row>
    <row r="85" spans="1:32" s="128" customFormat="1" ht="54.95" customHeight="1" x14ac:dyDescent="0.85">
      <c r="A85" s="191" t="s">
        <v>434</v>
      </c>
      <c r="B85" s="204">
        <f>'CNT (from FS Analysis)'!N243</f>
        <v>19552.5</v>
      </c>
      <c r="C85" s="204">
        <v>0</v>
      </c>
      <c r="D85" s="204"/>
      <c r="E85" s="204">
        <v>0</v>
      </c>
      <c r="F85" s="204">
        <v>0</v>
      </c>
      <c r="G85" s="204">
        <v>0</v>
      </c>
      <c r="H85" s="204">
        <v>0</v>
      </c>
      <c r="I85" s="204">
        <f t="shared" si="39"/>
        <v>19552.5</v>
      </c>
      <c r="J85" s="205">
        <f t="shared" si="40"/>
        <v>3.4445649917404432E-2</v>
      </c>
      <c r="K85" s="205"/>
      <c r="L85" s="192" t="s">
        <v>434</v>
      </c>
      <c r="M85" s="204">
        <v>0</v>
      </c>
      <c r="N85" s="204">
        <v>0</v>
      </c>
      <c r="O85" s="204">
        <v>0</v>
      </c>
      <c r="P85" s="204">
        <v>0</v>
      </c>
      <c r="Q85" s="204">
        <v>0</v>
      </c>
      <c r="R85" s="204">
        <v>0</v>
      </c>
      <c r="S85" s="204">
        <v>0</v>
      </c>
      <c r="T85" s="204">
        <f t="shared" ref="T85" si="52">SUM(M85:S85)</f>
        <v>0</v>
      </c>
      <c r="U85" s="206">
        <f t="shared" si="41"/>
        <v>0</v>
      </c>
      <c r="V85" s="192" t="s">
        <v>434</v>
      </c>
      <c r="W85" s="206"/>
      <c r="X85" s="207">
        <f t="shared" si="49"/>
        <v>19552.5</v>
      </c>
      <c r="Y85" s="206"/>
      <c r="Z85" s="207">
        <f t="shared" si="50"/>
        <v>0</v>
      </c>
      <c r="AA85" s="206"/>
      <c r="AB85" s="207">
        <f t="shared" ref="AB85" si="53">I85-T85</f>
        <v>19552.5</v>
      </c>
      <c r="AC85" s="207"/>
      <c r="AD85" s="219">
        <v>0</v>
      </c>
      <c r="AE85" s="207"/>
      <c r="AF85" s="206">
        <f t="shared" si="8"/>
        <v>-1</v>
      </c>
    </row>
    <row r="86" spans="1:32" s="128" customFormat="1" ht="54.95" customHeight="1" x14ac:dyDescent="0.85">
      <c r="A86" s="191" t="s">
        <v>423</v>
      </c>
      <c r="B86" s="204">
        <v>0</v>
      </c>
      <c r="C86" s="204">
        <v>0</v>
      </c>
      <c r="D86" s="204">
        <f>DEP!H63</f>
        <v>4625.0099999999993</v>
      </c>
      <c r="E86" s="204">
        <v>0</v>
      </c>
      <c r="F86" s="204">
        <v>0</v>
      </c>
      <c r="G86" s="204">
        <v>0</v>
      </c>
      <c r="H86" s="204">
        <v>0</v>
      </c>
      <c r="I86" s="204">
        <f t="shared" si="39"/>
        <v>4625.0099999999993</v>
      </c>
      <c r="J86" s="205">
        <f t="shared" si="40"/>
        <v>8.1478826403014789E-3</v>
      </c>
      <c r="K86" s="205"/>
      <c r="L86" s="192" t="s">
        <v>423</v>
      </c>
      <c r="M86" s="204">
        <v>0</v>
      </c>
      <c r="N86" s="204">
        <v>0</v>
      </c>
      <c r="O86" s="204">
        <v>0</v>
      </c>
      <c r="P86" s="204">
        <v>0</v>
      </c>
      <c r="Q86" s="204">
        <v>0</v>
      </c>
      <c r="R86" s="204">
        <v>0</v>
      </c>
      <c r="S86" s="204">
        <v>0</v>
      </c>
      <c r="T86" s="204">
        <f t="shared" si="51"/>
        <v>0</v>
      </c>
      <c r="U86" s="206">
        <f t="shared" si="41"/>
        <v>0</v>
      </c>
      <c r="V86" s="192" t="s">
        <v>423</v>
      </c>
      <c r="W86" s="206"/>
      <c r="X86" s="207">
        <f t="shared" si="49"/>
        <v>4625.0099999999993</v>
      </c>
      <c r="Y86" s="206"/>
      <c r="Z86" s="207">
        <f t="shared" si="50"/>
        <v>0</v>
      </c>
      <c r="AA86" s="206"/>
      <c r="AB86" s="207">
        <f t="shared" si="46"/>
        <v>4625.0099999999993</v>
      </c>
      <c r="AC86" s="207"/>
      <c r="AD86" s="219">
        <v>0</v>
      </c>
      <c r="AE86" s="207"/>
      <c r="AF86" s="206">
        <f t="shared" si="8"/>
        <v>-1</v>
      </c>
    </row>
    <row r="87" spans="1:32" s="128" customFormat="1" ht="54.95" customHeight="1" x14ac:dyDescent="0.85">
      <c r="A87" s="191" t="s">
        <v>287</v>
      </c>
      <c r="B87" s="204">
        <f>'CNT (from FS Analysis)'!N227+'CNT (from FS Analysis)'!N245</f>
        <v>21230.010000000002</v>
      </c>
      <c r="C87" s="204">
        <v>0</v>
      </c>
      <c r="D87" s="204">
        <f>DEP!H59</f>
        <v>1250</v>
      </c>
      <c r="E87" s="204">
        <v>0</v>
      </c>
      <c r="F87" s="204">
        <f>'BSC (Dome)'!H63:H63</f>
        <v>929.66999999999985</v>
      </c>
      <c r="G87" s="204">
        <v>0</v>
      </c>
      <c r="H87" s="204">
        <v>0</v>
      </c>
      <c r="I87" s="204">
        <f t="shared" si="39"/>
        <v>23409.68</v>
      </c>
      <c r="J87" s="205">
        <f t="shared" si="40"/>
        <v>4.1240846027795125E-2</v>
      </c>
      <c r="K87" s="205"/>
      <c r="L87" s="192" t="s">
        <v>287</v>
      </c>
      <c r="M87" s="204">
        <v>2562.1999999999998</v>
      </c>
      <c r="N87" s="204">
        <v>0</v>
      </c>
      <c r="O87" s="204">
        <v>1250</v>
      </c>
      <c r="P87" s="204">
        <v>0</v>
      </c>
      <c r="Q87" s="204">
        <v>2444.75</v>
      </c>
      <c r="R87" s="204">
        <v>0</v>
      </c>
      <c r="S87" s="204">
        <v>0</v>
      </c>
      <c r="T87" s="204">
        <f t="shared" si="2"/>
        <v>6256.95</v>
      </c>
      <c r="U87" s="206">
        <f t="shared" si="41"/>
        <v>1.1689444638585058E-2</v>
      </c>
      <c r="V87" s="192" t="s">
        <v>287</v>
      </c>
      <c r="W87" s="206"/>
      <c r="X87" s="207">
        <f t="shared" si="49"/>
        <v>23409.68</v>
      </c>
      <c r="Y87" s="206"/>
      <c r="Z87" s="207">
        <f t="shared" si="50"/>
        <v>6256.95</v>
      </c>
      <c r="AA87" s="206"/>
      <c r="AB87" s="207">
        <f t="shared" si="46"/>
        <v>17152.73</v>
      </c>
      <c r="AC87" s="207"/>
      <c r="AD87" s="206">
        <f t="shared" si="47"/>
        <v>3.7413883761257485</v>
      </c>
      <c r="AE87" s="207"/>
      <c r="AF87" s="206">
        <f t="shared" si="8"/>
        <v>2.7413883761257485</v>
      </c>
    </row>
    <row r="88" spans="1:32" s="128" customFormat="1" ht="54.95" customHeight="1" x14ac:dyDescent="0.85">
      <c r="A88" s="191" t="s">
        <v>288</v>
      </c>
      <c r="B88" s="204">
        <f>'CNT (from FS Analysis)'!N231</f>
        <v>20832.629999999997</v>
      </c>
      <c r="C88" s="204">
        <f>BPM!H44</f>
        <v>687.49</v>
      </c>
      <c r="D88" s="204">
        <f>DEP!H65</f>
        <v>1227.5</v>
      </c>
      <c r="E88" s="204">
        <v>0</v>
      </c>
      <c r="F88" s="204">
        <f>'BSC (Dome)'!G69</f>
        <v>642</v>
      </c>
      <c r="G88" s="204">
        <v>0</v>
      </c>
      <c r="H88" s="204">
        <v>0</v>
      </c>
      <c r="I88" s="204">
        <f t="shared" si="39"/>
        <v>23389.62</v>
      </c>
      <c r="J88" s="205">
        <f t="shared" si="40"/>
        <v>4.1205506314850836E-2</v>
      </c>
      <c r="K88" s="205"/>
      <c r="L88" s="192" t="s">
        <v>288</v>
      </c>
      <c r="M88" s="204">
        <v>23181.82</v>
      </c>
      <c r="N88" s="204">
        <v>900.75</v>
      </c>
      <c r="O88" s="204">
        <v>1887.75</v>
      </c>
      <c r="P88" s="204">
        <v>0</v>
      </c>
      <c r="Q88" s="204">
        <v>623</v>
      </c>
      <c r="R88" s="204">
        <v>0</v>
      </c>
      <c r="S88" s="204">
        <v>0</v>
      </c>
      <c r="T88" s="204">
        <f t="shared" si="2"/>
        <v>26593.32</v>
      </c>
      <c r="U88" s="206">
        <f t="shared" si="41"/>
        <v>4.9682535723663573E-2</v>
      </c>
      <c r="V88" s="192" t="s">
        <v>288</v>
      </c>
      <c r="W88" s="206"/>
      <c r="X88" s="207">
        <f t="shared" si="49"/>
        <v>23389.62</v>
      </c>
      <c r="Y88" s="206"/>
      <c r="Z88" s="207">
        <f t="shared" si="50"/>
        <v>26593.32</v>
      </c>
      <c r="AA88" s="206"/>
      <c r="AB88" s="207">
        <f t="shared" si="46"/>
        <v>-3203.7000000000007</v>
      </c>
      <c r="AC88" s="207"/>
      <c r="AD88" s="206">
        <f t="shared" si="47"/>
        <v>0.87952989698164796</v>
      </c>
      <c r="AE88" s="207"/>
      <c r="AF88" s="206">
        <f t="shared" si="8"/>
        <v>-0.12047010301835204</v>
      </c>
    </row>
    <row r="89" spans="1:32" s="128" customFormat="1" ht="54.95" customHeight="1" x14ac:dyDescent="0.85">
      <c r="A89" s="191" t="s">
        <v>289</v>
      </c>
      <c r="B89" s="204">
        <f>'CNT (from FS Analysis)'!N232</f>
        <v>16766.82</v>
      </c>
      <c r="C89" s="204">
        <f>0</f>
        <v>0</v>
      </c>
      <c r="D89" s="204">
        <v>0</v>
      </c>
      <c r="E89" s="204">
        <v>0</v>
      </c>
      <c r="F89" s="204">
        <v>0</v>
      </c>
      <c r="G89" s="204">
        <v>0</v>
      </c>
      <c r="H89" s="204">
        <v>0</v>
      </c>
      <c r="I89" s="204">
        <f t="shared" si="39"/>
        <v>16766.82</v>
      </c>
      <c r="J89" s="205">
        <f t="shared" si="40"/>
        <v>2.9538115941600052E-2</v>
      </c>
      <c r="K89" s="205"/>
      <c r="L89" s="192" t="s">
        <v>289</v>
      </c>
      <c r="M89" s="204">
        <v>14708.45</v>
      </c>
      <c r="N89" s="204">
        <v>0</v>
      </c>
      <c r="O89" s="204">
        <v>0</v>
      </c>
      <c r="P89" s="204">
        <v>0</v>
      </c>
      <c r="Q89" s="204">
        <v>0</v>
      </c>
      <c r="R89" s="204">
        <v>0</v>
      </c>
      <c r="S89" s="204">
        <v>0</v>
      </c>
      <c r="T89" s="204">
        <f t="shared" si="2"/>
        <v>14708.45</v>
      </c>
      <c r="U89" s="206">
        <f t="shared" si="41"/>
        <v>2.7478821469629197E-2</v>
      </c>
      <c r="V89" s="192" t="s">
        <v>289</v>
      </c>
      <c r="W89" s="206"/>
      <c r="X89" s="207">
        <f t="shared" si="49"/>
        <v>16766.82</v>
      </c>
      <c r="Y89" s="206"/>
      <c r="Z89" s="207">
        <f t="shared" si="50"/>
        <v>14708.45</v>
      </c>
      <c r="AA89" s="206"/>
      <c r="AB89" s="207">
        <f t="shared" si="46"/>
        <v>2058.369999999999</v>
      </c>
      <c r="AC89" s="207"/>
      <c r="AD89" s="219">
        <v>0</v>
      </c>
      <c r="AE89" s="207"/>
      <c r="AF89" s="206">
        <f t="shared" si="8"/>
        <v>-1</v>
      </c>
    </row>
    <row r="90" spans="1:32" s="128" customFormat="1" ht="54.95" customHeight="1" x14ac:dyDescent="0.85">
      <c r="A90" s="191" t="s">
        <v>326</v>
      </c>
      <c r="B90" s="204">
        <v>0</v>
      </c>
      <c r="C90" s="204">
        <f>0</f>
        <v>0</v>
      </c>
      <c r="D90" s="204">
        <f>DEP!H58</f>
        <v>300</v>
      </c>
      <c r="E90" s="204">
        <v>0</v>
      </c>
      <c r="F90" s="204">
        <f>'BSC (Dome)'!H62</f>
        <v>1600</v>
      </c>
      <c r="G90" s="204">
        <v>0</v>
      </c>
      <c r="H90" s="204">
        <v>0</v>
      </c>
      <c r="I90" s="204">
        <f t="shared" si="39"/>
        <v>1900</v>
      </c>
      <c r="J90" s="205">
        <f t="shared" si="40"/>
        <v>3.3472310365972855E-3</v>
      </c>
      <c r="K90" s="205"/>
      <c r="L90" s="192" t="s">
        <v>326</v>
      </c>
      <c r="M90" s="204">
        <v>0</v>
      </c>
      <c r="N90" s="204">
        <v>0</v>
      </c>
      <c r="O90" s="204">
        <v>0</v>
      </c>
      <c r="P90" s="204">
        <v>0</v>
      </c>
      <c r="Q90" s="204">
        <v>850</v>
      </c>
      <c r="R90" s="204">
        <v>0</v>
      </c>
      <c r="S90" s="204">
        <v>0</v>
      </c>
      <c r="T90" s="204">
        <f>SUM(M90:S90)</f>
        <v>850</v>
      </c>
      <c r="U90" s="206">
        <f t="shared" si="41"/>
        <v>1.5879986163861465E-3</v>
      </c>
      <c r="V90" s="192" t="s">
        <v>326</v>
      </c>
      <c r="W90" s="206"/>
      <c r="X90" s="207">
        <f t="shared" si="49"/>
        <v>1900</v>
      </c>
      <c r="Y90" s="206"/>
      <c r="Z90" s="207">
        <f t="shared" si="50"/>
        <v>850</v>
      </c>
      <c r="AA90" s="206"/>
      <c r="AB90" s="207">
        <f t="shared" si="46"/>
        <v>1050</v>
      </c>
      <c r="AC90" s="207"/>
      <c r="AD90" s="219">
        <v>0</v>
      </c>
      <c r="AE90" s="207"/>
      <c r="AF90" s="220">
        <v>0</v>
      </c>
    </row>
    <row r="91" spans="1:32" s="128" customFormat="1" ht="54.95" customHeight="1" x14ac:dyDescent="0.85">
      <c r="A91" s="191" t="s">
        <v>409</v>
      </c>
      <c r="B91" s="204">
        <f>'CNT (from FS Analysis)'!N228</f>
        <v>234.03</v>
      </c>
      <c r="C91" s="204">
        <v>0</v>
      </c>
      <c r="D91" s="204">
        <v>0</v>
      </c>
      <c r="E91" s="204">
        <v>0</v>
      </c>
      <c r="F91" s="204">
        <f>'BSC (Dome)'!H64</f>
        <v>10329.9</v>
      </c>
      <c r="G91" s="204">
        <v>0</v>
      </c>
      <c r="H91" s="204">
        <v>0</v>
      </c>
      <c r="I91" s="204">
        <f t="shared" si="39"/>
        <v>10563.93</v>
      </c>
      <c r="J91" s="205">
        <f t="shared" si="40"/>
        <v>1.8610481244442718E-2</v>
      </c>
      <c r="K91" s="205"/>
      <c r="L91" s="192" t="s">
        <v>409</v>
      </c>
      <c r="M91" s="204">
        <v>696.89</v>
      </c>
      <c r="N91" s="204">
        <v>0</v>
      </c>
      <c r="O91" s="204">
        <v>0</v>
      </c>
      <c r="P91" s="204">
        <v>0</v>
      </c>
      <c r="Q91" s="204">
        <v>6832.94</v>
      </c>
      <c r="R91" s="204">
        <v>0</v>
      </c>
      <c r="S91" s="204">
        <v>0</v>
      </c>
      <c r="T91" s="204">
        <f>SUM(M91:S91)</f>
        <v>7529.83</v>
      </c>
      <c r="U91" s="206">
        <f t="shared" si="41"/>
        <v>1.4067481907791644E-2</v>
      </c>
      <c r="V91" s="192" t="s">
        <v>409</v>
      </c>
      <c r="W91" s="206"/>
      <c r="X91" s="207">
        <f t="shared" si="49"/>
        <v>10563.93</v>
      </c>
      <c r="Y91" s="206"/>
      <c r="Z91" s="207">
        <f t="shared" si="50"/>
        <v>7529.83</v>
      </c>
      <c r="AA91" s="206"/>
      <c r="AB91" s="207">
        <f t="shared" si="46"/>
        <v>3034.1000000000004</v>
      </c>
      <c r="AC91" s="207"/>
      <c r="AD91" s="206">
        <f t="shared" si="47"/>
        <v>1.4029440239686686</v>
      </c>
      <c r="AE91" s="207"/>
      <c r="AF91" s="220">
        <v>0</v>
      </c>
    </row>
    <row r="92" spans="1:32" s="128" customFormat="1" ht="54.95" customHeight="1" x14ac:dyDescent="0.85">
      <c r="A92" s="191" t="s">
        <v>290</v>
      </c>
      <c r="B92" s="204">
        <f>'CNT (from FS Analysis)'!N234</f>
        <v>15919.98</v>
      </c>
      <c r="C92" s="204">
        <f>0</f>
        <v>0</v>
      </c>
      <c r="D92" s="204">
        <f>0</f>
        <v>0</v>
      </c>
      <c r="E92" s="204">
        <v>0</v>
      </c>
      <c r="F92" s="204">
        <v>0</v>
      </c>
      <c r="G92" s="204">
        <v>0</v>
      </c>
      <c r="H92" s="204">
        <v>0</v>
      </c>
      <c r="I92" s="204">
        <f t="shared" si="39"/>
        <v>15919.98</v>
      </c>
      <c r="J92" s="205">
        <f t="shared" si="40"/>
        <v>2.8046237451583182E-2</v>
      </c>
      <c r="K92" s="205"/>
      <c r="L92" s="192" t="s">
        <v>290</v>
      </c>
      <c r="M92" s="204">
        <v>60000</v>
      </c>
      <c r="N92" s="204">
        <v>0</v>
      </c>
      <c r="O92" s="204">
        <v>0</v>
      </c>
      <c r="P92" s="204">
        <v>0</v>
      </c>
      <c r="Q92" s="204">
        <v>0</v>
      </c>
      <c r="R92" s="204">
        <v>0</v>
      </c>
      <c r="S92" s="204">
        <v>0</v>
      </c>
      <c r="T92" s="204">
        <f t="shared" si="2"/>
        <v>60000</v>
      </c>
      <c r="U92" s="206">
        <f t="shared" si="41"/>
        <v>0.11209401998019858</v>
      </c>
      <c r="V92" s="192" t="s">
        <v>290</v>
      </c>
      <c r="W92" s="206"/>
      <c r="X92" s="207">
        <f t="shared" si="49"/>
        <v>15919.98</v>
      </c>
      <c r="Y92" s="206"/>
      <c r="Z92" s="207">
        <f t="shared" si="50"/>
        <v>60000</v>
      </c>
      <c r="AA92" s="206"/>
      <c r="AB92" s="207">
        <f t="shared" si="46"/>
        <v>-44080.020000000004</v>
      </c>
      <c r="AC92" s="207"/>
      <c r="AD92" s="219">
        <v>0</v>
      </c>
      <c r="AE92" s="207"/>
      <c r="AF92" s="206">
        <f t="shared" ref="AF92:AF96" si="54">AD92-1</f>
        <v>-1</v>
      </c>
    </row>
    <row r="93" spans="1:32" s="128" customFormat="1" ht="54.95" customHeight="1" x14ac:dyDescent="0.85">
      <c r="A93" s="191" t="s">
        <v>291</v>
      </c>
      <c r="B93" s="204">
        <f>'CNT (from FS Analysis)'!N235+'CNT (from FS Analysis)'!G246</f>
        <v>12528.380000000001</v>
      </c>
      <c r="C93" s="204">
        <v>0</v>
      </c>
      <c r="D93" s="204">
        <v>0</v>
      </c>
      <c r="E93" s="204">
        <v>0</v>
      </c>
      <c r="F93" s="204">
        <v>0</v>
      </c>
      <c r="G93" s="204">
        <v>0</v>
      </c>
      <c r="H93" s="204">
        <v>0</v>
      </c>
      <c r="I93" s="204">
        <f t="shared" si="39"/>
        <v>12528.380000000001</v>
      </c>
      <c r="J93" s="205">
        <f t="shared" si="40"/>
        <v>2.2071253881202475E-2</v>
      </c>
      <c r="K93" s="205"/>
      <c r="L93" s="192" t="s">
        <v>291</v>
      </c>
      <c r="M93" s="204">
        <v>0</v>
      </c>
      <c r="N93" s="204">
        <v>0</v>
      </c>
      <c r="O93" s="204">
        <v>0</v>
      </c>
      <c r="P93" s="204">
        <v>0</v>
      </c>
      <c r="Q93" s="204">
        <v>0</v>
      </c>
      <c r="R93" s="204">
        <v>0</v>
      </c>
      <c r="S93" s="204">
        <v>0</v>
      </c>
      <c r="T93" s="204">
        <f t="shared" si="2"/>
        <v>0</v>
      </c>
      <c r="U93" s="206">
        <f t="shared" si="41"/>
        <v>0</v>
      </c>
      <c r="V93" s="192" t="s">
        <v>291</v>
      </c>
      <c r="W93" s="206"/>
      <c r="X93" s="207">
        <f t="shared" si="49"/>
        <v>12528.380000000001</v>
      </c>
      <c r="Y93" s="206"/>
      <c r="Z93" s="207">
        <f t="shared" si="50"/>
        <v>0</v>
      </c>
      <c r="AA93" s="206"/>
      <c r="AB93" s="207">
        <f t="shared" si="46"/>
        <v>12528.380000000001</v>
      </c>
      <c r="AC93" s="207"/>
      <c r="AD93" s="219">
        <v>0</v>
      </c>
      <c r="AE93" s="207"/>
      <c r="AF93" s="220">
        <v>0</v>
      </c>
    </row>
    <row r="94" spans="1:32" s="128" customFormat="1" ht="54.95" customHeight="1" x14ac:dyDescent="0.85">
      <c r="A94" s="191" t="s">
        <v>292</v>
      </c>
      <c r="B94" s="204">
        <f>'CNT (from FS Analysis)'!N236</f>
        <v>2399.4299999999998</v>
      </c>
      <c r="C94" s="204">
        <v>0</v>
      </c>
      <c r="D94" s="204">
        <v>0</v>
      </c>
      <c r="E94" s="204">
        <v>0</v>
      </c>
      <c r="F94" s="204">
        <v>0</v>
      </c>
      <c r="G94" s="204">
        <v>0</v>
      </c>
      <c r="H94" s="204">
        <v>0</v>
      </c>
      <c r="I94" s="204">
        <f t="shared" si="39"/>
        <v>2399.4299999999998</v>
      </c>
      <c r="J94" s="205">
        <f t="shared" si="40"/>
        <v>4.2270771400750654E-3</v>
      </c>
      <c r="K94" s="205"/>
      <c r="L94" s="192" t="s">
        <v>292</v>
      </c>
      <c r="M94" s="204">
        <v>5882.82</v>
      </c>
      <c r="N94" s="204">
        <v>0</v>
      </c>
      <c r="O94" s="204">
        <v>0</v>
      </c>
      <c r="P94" s="204">
        <v>0</v>
      </c>
      <c r="Q94" s="204">
        <v>0</v>
      </c>
      <c r="R94" s="204">
        <v>0</v>
      </c>
      <c r="S94" s="204">
        <v>0</v>
      </c>
      <c r="T94" s="204">
        <f t="shared" ref="T94:T98" si="55">SUM(M94:S94)</f>
        <v>5882.82</v>
      </c>
      <c r="U94" s="206">
        <f t="shared" si="41"/>
        <v>1.0990482376998529E-2</v>
      </c>
      <c r="V94" s="192" t="s">
        <v>292</v>
      </c>
      <c r="W94" s="206"/>
      <c r="X94" s="207">
        <f t="shared" si="49"/>
        <v>2399.4299999999998</v>
      </c>
      <c r="Y94" s="206"/>
      <c r="Z94" s="207">
        <f t="shared" si="50"/>
        <v>5882.82</v>
      </c>
      <c r="AA94" s="206"/>
      <c r="AB94" s="207">
        <f t="shared" si="46"/>
        <v>-3483.39</v>
      </c>
      <c r="AC94" s="207"/>
      <c r="AD94" s="219">
        <v>0</v>
      </c>
      <c r="AE94" s="207"/>
      <c r="AF94" s="206">
        <f t="shared" si="54"/>
        <v>-1</v>
      </c>
    </row>
    <row r="95" spans="1:32" s="128" customFormat="1" ht="54.95" customHeight="1" x14ac:dyDescent="0.85">
      <c r="A95" s="191" t="s">
        <v>293</v>
      </c>
      <c r="B95" s="204">
        <f>'CNT (from FS Analysis)'!N237</f>
        <v>11775.42</v>
      </c>
      <c r="C95" s="204">
        <v>0</v>
      </c>
      <c r="D95" s="204">
        <v>0</v>
      </c>
      <c r="E95" s="204">
        <v>0</v>
      </c>
      <c r="F95" s="204">
        <v>0</v>
      </c>
      <c r="G95" s="204">
        <v>0</v>
      </c>
      <c r="H95" s="204">
        <v>0</v>
      </c>
      <c r="I95" s="204">
        <f t="shared" si="39"/>
        <v>11775.42</v>
      </c>
      <c r="J95" s="205">
        <f t="shared" si="40"/>
        <v>2.0744763838404425E-2</v>
      </c>
      <c r="K95" s="205"/>
      <c r="L95" s="192" t="s">
        <v>293</v>
      </c>
      <c r="M95" s="204"/>
      <c r="N95" s="204">
        <v>0</v>
      </c>
      <c r="O95" s="204">
        <v>0</v>
      </c>
      <c r="P95" s="204">
        <v>0</v>
      </c>
      <c r="Q95" s="204">
        <v>0</v>
      </c>
      <c r="R95" s="204">
        <v>0</v>
      </c>
      <c r="S95" s="204">
        <v>0</v>
      </c>
      <c r="T95" s="204">
        <f t="shared" si="55"/>
        <v>0</v>
      </c>
      <c r="U95" s="206">
        <f t="shared" si="41"/>
        <v>0</v>
      </c>
      <c r="V95" s="192" t="s">
        <v>293</v>
      </c>
      <c r="W95" s="206"/>
      <c r="X95" s="207">
        <f t="shared" si="49"/>
        <v>11775.42</v>
      </c>
      <c r="Y95" s="206"/>
      <c r="Z95" s="207">
        <f t="shared" si="50"/>
        <v>0</v>
      </c>
      <c r="AA95" s="206"/>
      <c r="AB95" s="207">
        <f t="shared" ref="AB95" si="56">I95-T95</f>
        <v>11775.42</v>
      </c>
      <c r="AC95" s="207"/>
      <c r="AD95" s="208">
        <v>0</v>
      </c>
      <c r="AE95" s="207"/>
      <c r="AF95" s="220">
        <v>0</v>
      </c>
    </row>
    <row r="96" spans="1:32" s="128" customFormat="1" ht="54.95" customHeight="1" x14ac:dyDescent="0.85">
      <c r="A96" s="202" t="s">
        <v>295</v>
      </c>
      <c r="B96" s="209">
        <f>SUM(B77:B95)</f>
        <v>433368.98</v>
      </c>
      <c r="C96" s="209">
        <f t="shared" ref="C96:H96" si="57">SUM(C77:C95)</f>
        <v>44692.579999999994</v>
      </c>
      <c r="D96" s="209">
        <f t="shared" si="57"/>
        <v>49435.240000000005</v>
      </c>
      <c r="E96" s="209">
        <f t="shared" si="57"/>
        <v>4046.94</v>
      </c>
      <c r="F96" s="209">
        <f>SUM(F77:F95)</f>
        <v>34018.99</v>
      </c>
      <c r="G96" s="209">
        <f t="shared" si="57"/>
        <v>1590</v>
      </c>
      <c r="H96" s="209">
        <f t="shared" si="57"/>
        <v>480.63</v>
      </c>
      <c r="I96" s="209">
        <f t="shared" si="39"/>
        <v>567633.36</v>
      </c>
      <c r="J96" s="210">
        <f>SUM(J77:J95)</f>
        <v>1.0000000000000002</v>
      </c>
      <c r="K96" s="211"/>
      <c r="L96" s="203" t="s">
        <v>295</v>
      </c>
      <c r="M96" s="209">
        <f t="shared" ref="M96:S96" si="58">SUM(M77:M95)</f>
        <v>390086.10000000009</v>
      </c>
      <c r="N96" s="209">
        <f t="shared" si="58"/>
        <v>40141.920000000006</v>
      </c>
      <c r="O96" s="209">
        <f t="shared" si="58"/>
        <v>52980.54</v>
      </c>
      <c r="P96" s="209">
        <f t="shared" si="58"/>
        <v>2887.33</v>
      </c>
      <c r="Q96" s="209">
        <f t="shared" si="58"/>
        <v>33329.950000000004</v>
      </c>
      <c r="R96" s="209">
        <f t="shared" si="58"/>
        <v>13336</v>
      </c>
      <c r="S96" s="209">
        <f t="shared" si="58"/>
        <v>2503.11</v>
      </c>
      <c r="T96" s="209">
        <f t="shared" si="55"/>
        <v>535264.95000000007</v>
      </c>
      <c r="U96" s="212">
        <f>SUM(U77:U95)</f>
        <v>0.99999999999999989</v>
      </c>
      <c r="V96" s="203" t="s">
        <v>295</v>
      </c>
      <c r="W96" s="213"/>
      <c r="X96" s="214">
        <f t="shared" si="49"/>
        <v>567633.36</v>
      </c>
      <c r="Y96" s="213"/>
      <c r="Z96" s="214">
        <f t="shared" si="50"/>
        <v>535264.95000000007</v>
      </c>
      <c r="AA96" s="213"/>
      <c r="AB96" s="214">
        <f>I96-T96</f>
        <v>32368.409999999916</v>
      </c>
      <c r="AC96" s="214"/>
      <c r="AD96" s="221">
        <f>I96/T96</f>
        <v>1.0604717532877874</v>
      </c>
      <c r="AE96" s="214"/>
      <c r="AF96" s="212">
        <f t="shared" si="54"/>
        <v>6.0471753287787422E-2</v>
      </c>
    </row>
    <row r="97" spans="1:33" s="128" customFormat="1" ht="54.95" customHeight="1" x14ac:dyDescent="0.85">
      <c r="A97" s="191"/>
      <c r="B97" s="204"/>
      <c r="C97" s="204"/>
      <c r="D97" s="204"/>
      <c r="E97" s="204"/>
      <c r="F97" s="204"/>
      <c r="G97" s="204"/>
      <c r="H97" s="204"/>
      <c r="I97" s="204">
        <f t="shared" si="39"/>
        <v>0</v>
      </c>
      <c r="J97" s="192"/>
      <c r="K97" s="192"/>
      <c r="L97" s="192"/>
      <c r="M97" s="204"/>
      <c r="N97" s="204"/>
      <c r="O97" s="204"/>
      <c r="P97" s="204"/>
      <c r="Q97" s="204"/>
      <c r="R97" s="204"/>
      <c r="S97" s="204"/>
      <c r="T97" s="204">
        <f t="shared" si="55"/>
        <v>0</v>
      </c>
      <c r="U97" s="191"/>
      <c r="V97" s="192"/>
      <c r="W97" s="191"/>
      <c r="X97" s="207"/>
      <c r="Y97" s="191"/>
      <c r="Z97" s="207">
        <f t="shared" si="50"/>
        <v>0</v>
      </c>
      <c r="AA97" s="191"/>
      <c r="AB97" s="207"/>
      <c r="AC97" s="207"/>
      <c r="AD97" s="215"/>
      <c r="AE97" s="207"/>
      <c r="AF97" s="206"/>
    </row>
    <row r="98" spans="1:33" s="128" customFormat="1" ht="54.95" customHeight="1" thickBot="1" x14ac:dyDescent="0.9">
      <c r="A98" s="202" t="s">
        <v>296</v>
      </c>
      <c r="B98" s="216">
        <f t="shared" ref="B98:H98" si="59">B49+B74+B96</f>
        <v>4008905.69</v>
      </c>
      <c r="C98" s="216">
        <f t="shared" si="59"/>
        <v>51358.369999999995</v>
      </c>
      <c r="D98" s="216">
        <f t="shared" si="59"/>
        <v>688487.73</v>
      </c>
      <c r="E98" s="216">
        <f t="shared" si="59"/>
        <v>4155.9400000000005</v>
      </c>
      <c r="F98" s="216">
        <f t="shared" si="59"/>
        <v>435602.82999999996</v>
      </c>
      <c r="G98" s="216">
        <f t="shared" ref="G98" si="60">G49+G74+G96</f>
        <v>57617.62000000001</v>
      </c>
      <c r="H98" s="216">
        <f t="shared" si="59"/>
        <v>89199.19</v>
      </c>
      <c r="I98" s="216">
        <f t="shared" si="39"/>
        <v>5335327.370000001</v>
      </c>
      <c r="J98" s="204">
        <f>SUM(I40:I48)+SUM(I52:I73)+SUM(I77:I95)-I98</f>
        <v>0</v>
      </c>
      <c r="K98" s="192"/>
      <c r="L98" s="203" t="s">
        <v>296</v>
      </c>
      <c r="M98" s="216">
        <f t="shared" ref="M98:S98" si="61">M49+M74+M96</f>
        <v>3831494.57</v>
      </c>
      <c r="N98" s="216">
        <f t="shared" si="61"/>
        <v>49538.930000000008</v>
      </c>
      <c r="O98" s="216">
        <f t="shared" si="61"/>
        <v>646417.86999999988</v>
      </c>
      <c r="P98" s="216">
        <f t="shared" si="61"/>
        <v>4043.58</v>
      </c>
      <c r="Q98" s="216">
        <f t="shared" si="61"/>
        <v>450009.87000000005</v>
      </c>
      <c r="R98" s="216">
        <f t="shared" ref="R98" si="62">R49+R74+R96</f>
        <v>47906.04</v>
      </c>
      <c r="S98" s="216">
        <f t="shared" si="61"/>
        <v>3023.11</v>
      </c>
      <c r="T98" s="216">
        <f t="shared" si="55"/>
        <v>5032433.9700000007</v>
      </c>
      <c r="U98" s="207">
        <f>SUM(T40:T48)+SUM(T52:T73)+SUM(T77:T95)-T98</f>
        <v>0</v>
      </c>
      <c r="V98" s="203" t="s">
        <v>296</v>
      </c>
      <c r="W98" s="191"/>
      <c r="X98" s="217">
        <f t="shared" si="49"/>
        <v>5335327.370000001</v>
      </c>
      <c r="Y98" s="191"/>
      <c r="Z98" s="217">
        <f t="shared" si="50"/>
        <v>5032433.9700000007</v>
      </c>
      <c r="AA98" s="191"/>
      <c r="AB98" s="217">
        <f>I98-T98</f>
        <v>302893.40000000037</v>
      </c>
      <c r="AC98" s="217"/>
      <c r="AD98" s="222">
        <f>I98/T98</f>
        <v>1.06018825121316</v>
      </c>
      <c r="AE98" s="217"/>
      <c r="AF98" s="218">
        <v>0</v>
      </c>
    </row>
    <row r="99" spans="1:33" s="128" customFormat="1" ht="54.95" customHeight="1" x14ac:dyDescent="0.85">
      <c r="A99" s="191"/>
      <c r="B99" s="204"/>
      <c r="C99" s="204"/>
      <c r="D99" s="204"/>
      <c r="E99" s="204"/>
      <c r="F99" s="204"/>
      <c r="G99" s="204"/>
      <c r="H99" s="204"/>
      <c r="I99" s="204"/>
      <c r="J99" s="192"/>
      <c r="K99" s="192"/>
      <c r="L99" s="192"/>
      <c r="M99" s="204"/>
      <c r="N99" s="204"/>
      <c r="O99" s="204"/>
      <c r="P99" s="204"/>
      <c r="Q99" s="204"/>
      <c r="R99" s="204"/>
      <c r="S99" s="204"/>
      <c r="T99" s="204"/>
      <c r="U99" s="191"/>
      <c r="V99" s="192"/>
      <c r="W99" s="191"/>
      <c r="X99" s="193"/>
      <c r="Y99" s="191"/>
      <c r="Z99" s="193">
        <f t="shared" si="50"/>
        <v>0</v>
      </c>
      <c r="AA99" s="191"/>
      <c r="AB99" s="193"/>
      <c r="AC99" s="193"/>
      <c r="AD99" s="215"/>
      <c r="AE99" s="193"/>
      <c r="AF99" s="215"/>
    </row>
    <row r="100" spans="1:33" s="128" customFormat="1" ht="54.95" customHeight="1" x14ac:dyDescent="0.85">
      <c r="A100" s="203" t="s">
        <v>485</v>
      </c>
      <c r="B100" s="204"/>
      <c r="C100" s="204"/>
      <c r="D100" s="204"/>
      <c r="E100" s="204"/>
      <c r="F100" s="204"/>
      <c r="G100" s="204"/>
      <c r="H100" s="204"/>
      <c r="I100" s="204"/>
      <c r="J100" s="192"/>
      <c r="K100" s="192"/>
      <c r="L100" s="203" t="s">
        <v>485</v>
      </c>
      <c r="M100" s="204"/>
      <c r="N100" s="204"/>
      <c r="O100" s="204"/>
      <c r="P100" s="204"/>
      <c r="Q100" s="204"/>
      <c r="R100" s="204"/>
      <c r="S100" s="204"/>
      <c r="T100" s="204"/>
      <c r="U100" s="191"/>
      <c r="V100" s="203" t="s">
        <v>485</v>
      </c>
      <c r="W100" s="191"/>
      <c r="X100" s="193"/>
      <c r="Y100" s="191"/>
      <c r="Z100" s="193">
        <f t="shared" si="50"/>
        <v>0</v>
      </c>
      <c r="AA100" s="191"/>
      <c r="AB100" s="193"/>
      <c r="AC100" s="193"/>
      <c r="AD100" s="194"/>
      <c r="AE100" s="194"/>
      <c r="AF100" s="194"/>
      <c r="AG100" s="132"/>
    </row>
    <row r="101" spans="1:33" s="128" customFormat="1" ht="54.95" customHeight="1" x14ac:dyDescent="0.85">
      <c r="A101" s="191" t="s">
        <v>299</v>
      </c>
      <c r="B101" s="204">
        <f>'CNT (from FS Analysis)'!N250</f>
        <v>75000</v>
      </c>
      <c r="C101" s="204">
        <v>0</v>
      </c>
      <c r="D101" s="204">
        <f>DEP!H71</f>
        <v>75000</v>
      </c>
      <c r="E101" s="204">
        <v>0</v>
      </c>
      <c r="F101" s="204">
        <f>'BSC (Dome)'!H75+'BSC (Dome)'!H76</f>
        <v>34000</v>
      </c>
      <c r="G101" s="204">
        <f>'Oliari Co.'!H21+'Oliari Co.'!H22</f>
        <v>106200</v>
      </c>
      <c r="H101" s="204">
        <v>0</v>
      </c>
      <c r="I101" s="204">
        <f t="shared" ref="I101:I115" si="63">SUM(B101:H101)</f>
        <v>290200</v>
      </c>
      <c r="J101" s="205"/>
      <c r="K101" s="205"/>
      <c r="L101" s="192" t="s">
        <v>299</v>
      </c>
      <c r="M101" s="204">
        <v>0</v>
      </c>
      <c r="N101" s="204">
        <v>0</v>
      </c>
      <c r="O101" s="204">
        <v>0</v>
      </c>
      <c r="P101" s="204">
        <v>0</v>
      </c>
      <c r="Q101" s="204">
        <f>30295.89+2200</f>
        <v>32495.89</v>
      </c>
      <c r="R101" s="204">
        <f>6000+260200</f>
        <v>266200</v>
      </c>
      <c r="S101" s="204">
        <v>100000</v>
      </c>
      <c r="T101" s="204">
        <f>SUM(M101:S101)</f>
        <v>398695.89</v>
      </c>
      <c r="U101" s="206"/>
      <c r="V101" s="192" t="s">
        <v>299</v>
      </c>
      <c r="W101" s="206"/>
      <c r="X101" s="207">
        <f t="shared" si="49"/>
        <v>290200</v>
      </c>
      <c r="Y101" s="206"/>
      <c r="Z101" s="207">
        <f t="shared" si="50"/>
        <v>398695.89</v>
      </c>
      <c r="AA101" s="206"/>
      <c r="AB101" s="207">
        <f>I101-T101</f>
        <v>-108495.89000000001</v>
      </c>
      <c r="AC101" s="207"/>
      <c r="AD101" s="194"/>
      <c r="AE101" s="194"/>
      <c r="AF101" s="194"/>
      <c r="AG101" s="132"/>
    </row>
    <row r="102" spans="1:33" s="128" customFormat="1" ht="54.95" customHeight="1" x14ac:dyDescent="0.85">
      <c r="A102" s="191" t="s">
        <v>300</v>
      </c>
      <c r="B102" s="204">
        <f>'CNT (from FS Analysis)'!N251</f>
        <v>207055</v>
      </c>
      <c r="C102" s="204">
        <v>0</v>
      </c>
      <c r="D102" s="204">
        <v>0</v>
      </c>
      <c r="E102" s="204">
        <v>0</v>
      </c>
      <c r="F102" s="204">
        <v>0</v>
      </c>
      <c r="G102" s="204">
        <v>0</v>
      </c>
      <c r="H102" s="204">
        <v>0</v>
      </c>
      <c r="I102" s="204">
        <f t="shared" si="63"/>
        <v>207055</v>
      </c>
      <c r="J102" s="205"/>
      <c r="K102" s="205"/>
      <c r="L102" s="192" t="s">
        <v>300</v>
      </c>
      <c r="M102" s="204">
        <v>205906.25</v>
      </c>
      <c r="N102" s="204">
        <v>0</v>
      </c>
      <c r="O102" s="204">
        <v>0</v>
      </c>
      <c r="P102" s="204">
        <v>0</v>
      </c>
      <c r="Q102" s="204">
        <v>0</v>
      </c>
      <c r="R102" s="204">
        <v>0</v>
      </c>
      <c r="S102" s="204">
        <v>0</v>
      </c>
      <c r="T102" s="204">
        <f t="shared" ref="T102:T103" si="64">SUM(M102:S102)</f>
        <v>205906.25</v>
      </c>
      <c r="U102" s="206"/>
      <c r="V102" s="192" t="s">
        <v>300</v>
      </c>
      <c r="W102" s="206"/>
      <c r="X102" s="207">
        <f t="shared" si="49"/>
        <v>207055</v>
      </c>
      <c r="Y102" s="206"/>
      <c r="Z102" s="207">
        <f t="shared" si="50"/>
        <v>205906.25</v>
      </c>
      <c r="AA102" s="206"/>
      <c r="AB102" s="207">
        <f t="shared" ref="AB102:AB108" si="65">I102-T102</f>
        <v>1148.75</v>
      </c>
      <c r="AC102" s="207"/>
      <c r="AD102" s="194"/>
      <c r="AE102" s="194"/>
      <c r="AF102" s="194"/>
      <c r="AG102" s="132"/>
    </row>
    <row r="103" spans="1:33" s="128" customFormat="1" ht="54.95" customHeight="1" x14ac:dyDescent="0.85">
      <c r="A103" s="191" t="s">
        <v>358</v>
      </c>
      <c r="B103" s="204">
        <v>0</v>
      </c>
      <c r="C103" s="204">
        <f>-BPM!H52</f>
        <v>-207055</v>
      </c>
      <c r="D103" s="204">
        <v>0</v>
      </c>
      <c r="E103" s="204">
        <v>0</v>
      </c>
      <c r="F103" s="204">
        <v>0</v>
      </c>
      <c r="G103" s="204">
        <v>0</v>
      </c>
      <c r="H103" s="204">
        <v>0</v>
      </c>
      <c r="I103" s="204">
        <f t="shared" si="63"/>
        <v>-207055</v>
      </c>
      <c r="J103" s="205"/>
      <c r="K103" s="205"/>
      <c r="L103" s="192" t="s">
        <v>358</v>
      </c>
      <c r="M103" s="204">
        <v>0</v>
      </c>
      <c r="N103" s="204">
        <v>-205906.25</v>
      </c>
      <c r="O103" s="204">
        <v>0</v>
      </c>
      <c r="P103" s="204">
        <v>0</v>
      </c>
      <c r="Q103" s="204">
        <v>0</v>
      </c>
      <c r="R103" s="204">
        <v>0</v>
      </c>
      <c r="S103" s="204">
        <v>0</v>
      </c>
      <c r="T103" s="204">
        <f t="shared" si="64"/>
        <v>-205906.25</v>
      </c>
      <c r="U103" s="206"/>
      <c r="V103" s="192" t="s">
        <v>358</v>
      </c>
      <c r="W103" s="206"/>
      <c r="X103" s="207">
        <f t="shared" si="49"/>
        <v>-207055</v>
      </c>
      <c r="Y103" s="206"/>
      <c r="Z103" s="207">
        <f t="shared" si="50"/>
        <v>-205906.25</v>
      </c>
      <c r="AA103" s="206"/>
      <c r="AB103" s="207">
        <f t="shared" si="65"/>
        <v>-1148.75</v>
      </c>
      <c r="AC103" s="207"/>
      <c r="AD103" s="194"/>
      <c r="AE103" s="194"/>
      <c r="AF103" s="194"/>
      <c r="AG103" s="132"/>
    </row>
    <row r="104" spans="1:33" s="128" customFormat="1" ht="54.95" customHeight="1" x14ac:dyDescent="0.85">
      <c r="A104" s="191" t="s">
        <v>420</v>
      </c>
      <c r="B104" s="204">
        <f>'CNT (from FS Analysis)'!N252</f>
        <v>37377.94</v>
      </c>
      <c r="C104" s="204">
        <f>-BPM!H53</f>
        <v>-37377.94</v>
      </c>
      <c r="D104" s="204">
        <v>0</v>
      </c>
      <c r="E104" s="204">
        <v>0</v>
      </c>
      <c r="F104" s="204">
        <v>0</v>
      </c>
      <c r="G104" s="204">
        <v>0</v>
      </c>
      <c r="H104" s="204">
        <v>0</v>
      </c>
      <c r="I104" s="204">
        <f t="shared" si="63"/>
        <v>0</v>
      </c>
      <c r="J104" s="205"/>
      <c r="K104" s="205"/>
      <c r="L104" s="192" t="s">
        <v>420</v>
      </c>
      <c r="M104" s="204">
        <v>0</v>
      </c>
      <c r="N104" s="204">
        <v>0</v>
      </c>
      <c r="O104" s="204">
        <v>0</v>
      </c>
      <c r="P104" s="204">
        <v>0</v>
      </c>
      <c r="Q104" s="204">
        <v>0</v>
      </c>
      <c r="R104" s="204">
        <v>0</v>
      </c>
      <c r="S104" s="204">
        <v>0</v>
      </c>
      <c r="T104" s="204"/>
      <c r="U104" s="206"/>
      <c r="V104" s="192" t="s">
        <v>420</v>
      </c>
      <c r="W104" s="206"/>
      <c r="X104" s="207">
        <f t="shared" si="49"/>
        <v>0</v>
      </c>
      <c r="Y104" s="206"/>
      <c r="Z104" s="207">
        <f t="shared" si="50"/>
        <v>0</v>
      </c>
      <c r="AA104" s="206"/>
      <c r="AB104" s="207">
        <f t="shared" si="65"/>
        <v>0</v>
      </c>
      <c r="AC104" s="207"/>
      <c r="AD104" s="194"/>
      <c r="AE104" s="194"/>
      <c r="AF104" s="194"/>
      <c r="AG104" s="132"/>
    </row>
    <row r="105" spans="1:33" s="128" customFormat="1" ht="54.95" customHeight="1" x14ac:dyDescent="0.85">
      <c r="A105" s="191" t="s">
        <v>301</v>
      </c>
      <c r="B105" s="204">
        <f>'CNT (from FS Analysis)'!N253</f>
        <v>89465</v>
      </c>
      <c r="C105" s="204">
        <v>0</v>
      </c>
      <c r="D105" s="204">
        <v>0</v>
      </c>
      <c r="E105" s="204">
        <v>0</v>
      </c>
      <c r="F105" s="204">
        <v>0</v>
      </c>
      <c r="G105" s="204">
        <v>0</v>
      </c>
      <c r="H105" s="204">
        <v>0</v>
      </c>
      <c r="I105" s="204">
        <f t="shared" si="63"/>
        <v>89465</v>
      </c>
      <c r="J105" s="205"/>
      <c r="K105" s="205"/>
      <c r="L105" s="192" t="s">
        <v>301</v>
      </c>
      <c r="M105" s="204">
        <v>0</v>
      </c>
      <c r="N105" s="204">
        <v>0</v>
      </c>
      <c r="O105" s="204">
        <v>0</v>
      </c>
      <c r="P105" s="204">
        <v>0</v>
      </c>
      <c r="Q105" s="204">
        <v>0</v>
      </c>
      <c r="R105" s="204">
        <v>0</v>
      </c>
      <c r="S105" s="204">
        <v>0</v>
      </c>
      <c r="T105" s="204">
        <f t="shared" ref="T105:T115" si="66">SUM(M105:S105)</f>
        <v>0</v>
      </c>
      <c r="U105" s="206"/>
      <c r="V105" s="192" t="s">
        <v>301</v>
      </c>
      <c r="W105" s="206"/>
      <c r="X105" s="207">
        <f t="shared" si="49"/>
        <v>89465</v>
      </c>
      <c r="Y105" s="206"/>
      <c r="Z105" s="207">
        <f t="shared" si="50"/>
        <v>0</v>
      </c>
      <c r="AA105" s="206"/>
      <c r="AB105" s="207">
        <f t="shared" si="65"/>
        <v>89465</v>
      </c>
      <c r="AC105" s="207"/>
      <c r="AD105" s="194"/>
      <c r="AE105" s="194"/>
      <c r="AF105" s="194"/>
      <c r="AG105" s="132"/>
    </row>
    <row r="106" spans="1:33" s="128" customFormat="1" ht="54.95" customHeight="1" x14ac:dyDescent="0.85">
      <c r="A106" s="191" t="s">
        <v>302</v>
      </c>
      <c r="B106" s="204">
        <f>'CNT (from FS Analysis)'!N254</f>
        <v>137162.19</v>
      </c>
      <c r="C106" s="204">
        <f>-BPM!H54</f>
        <v>6253.0599999999995</v>
      </c>
      <c r="D106" s="204">
        <f>DEP!H72</f>
        <v>15457.72</v>
      </c>
      <c r="E106" s="204">
        <f>Lending!H14</f>
        <v>21448.98</v>
      </c>
      <c r="F106" s="204">
        <v>0</v>
      </c>
      <c r="G106" s="204">
        <f>'Oliari Co.'!H24</f>
        <v>21880.090000000004</v>
      </c>
      <c r="H106" s="204">
        <v>0</v>
      </c>
      <c r="I106" s="204">
        <f t="shared" si="63"/>
        <v>202202.04</v>
      </c>
      <c r="J106" s="205"/>
      <c r="K106" s="205"/>
      <c r="L106" s="192" t="s">
        <v>302</v>
      </c>
      <c r="M106" s="204">
        <v>124328.31</v>
      </c>
      <c r="N106" s="204">
        <v>0</v>
      </c>
      <c r="O106" s="204">
        <v>0</v>
      </c>
      <c r="P106" s="204">
        <v>64325.43</v>
      </c>
      <c r="Q106" s="204">
        <v>0</v>
      </c>
      <c r="R106" s="204">
        <v>23138.61</v>
      </c>
      <c r="S106" s="204">
        <v>0</v>
      </c>
      <c r="T106" s="204">
        <f t="shared" si="66"/>
        <v>211792.34999999998</v>
      </c>
      <c r="U106" s="206"/>
      <c r="V106" s="192" t="s">
        <v>302</v>
      </c>
      <c r="W106" s="206"/>
      <c r="X106" s="207">
        <f t="shared" si="49"/>
        <v>202202.04</v>
      </c>
      <c r="Y106" s="206"/>
      <c r="Z106" s="207">
        <f t="shared" si="50"/>
        <v>211792.34999999998</v>
      </c>
      <c r="AA106" s="206"/>
      <c r="AB106" s="207">
        <f t="shared" si="65"/>
        <v>-9590.3099999999686</v>
      </c>
      <c r="AC106" s="207"/>
      <c r="AD106" s="194"/>
      <c r="AE106" s="194"/>
      <c r="AF106" s="194"/>
      <c r="AG106" s="132"/>
    </row>
    <row r="107" spans="1:33" s="128" customFormat="1" ht="54.95" customHeight="1" x14ac:dyDescent="0.85">
      <c r="A107" s="191" t="s">
        <v>303</v>
      </c>
      <c r="B107" s="204">
        <f>'CNT (from FS Analysis)'!N255</f>
        <v>-92778.459999999992</v>
      </c>
      <c r="C107" s="204">
        <v>0</v>
      </c>
      <c r="D107" s="204">
        <v>0</v>
      </c>
      <c r="E107" s="204">
        <f>Lending!H15</f>
        <v>-3334.5099999999998</v>
      </c>
      <c r="F107" s="204">
        <f>'BSC (Dome)'!H78+'BSC (Dome)'!H79</f>
        <v>-58232.350000000006</v>
      </c>
      <c r="G107" s="204">
        <f>'Oliari Co.'!H25</f>
        <v>-5165.58</v>
      </c>
      <c r="H107" s="204">
        <v>0</v>
      </c>
      <c r="I107" s="204">
        <f t="shared" si="63"/>
        <v>-159510.9</v>
      </c>
      <c r="J107" s="205"/>
      <c r="K107" s="205"/>
      <c r="L107" s="192" t="s">
        <v>303</v>
      </c>
      <c r="M107" s="204">
        <v>-130059.24</v>
      </c>
      <c r="N107" s="204">
        <v>0</v>
      </c>
      <c r="O107" s="204">
        <v>0</v>
      </c>
      <c r="P107" s="204">
        <v>-9984.85</v>
      </c>
      <c r="Q107" s="204">
        <f>-23138.62-36352.26</f>
        <v>-59490.880000000005</v>
      </c>
      <c r="R107" s="204">
        <f>-16173.41-9500.81-1721.86</f>
        <v>-27396.080000000002</v>
      </c>
      <c r="S107" s="204">
        <v>0</v>
      </c>
      <c r="T107" s="204">
        <f t="shared" si="66"/>
        <v>-226931.05</v>
      </c>
      <c r="U107" s="206"/>
      <c r="V107" s="192" t="s">
        <v>303</v>
      </c>
      <c r="W107" s="206"/>
      <c r="X107" s="207">
        <f t="shared" si="49"/>
        <v>-159510.9</v>
      </c>
      <c r="Y107" s="206"/>
      <c r="Z107" s="207">
        <f t="shared" si="50"/>
        <v>-226931.05</v>
      </c>
      <c r="AA107" s="206"/>
      <c r="AB107" s="207">
        <f t="shared" si="65"/>
        <v>67420.149999999994</v>
      </c>
      <c r="AC107" s="207"/>
      <c r="AD107" s="194"/>
      <c r="AE107" s="194"/>
      <c r="AF107" s="194"/>
      <c r="AG107" s="132"/>
    </row>
    <row r="108" spans="1:33" s="128" customFormat="1" ht="54.95" customHeight="1" x14ac:dyDescent="0.85">
      <c r="A108" s="191" t="s">
        <v>304</v>
      </c>
      <c r="B108" s="204">
        <f>'CNT (from FS Analysis)'!N256</f>
        <v>49.6</v>
      </c>
      <c r="C108" s="204">
        <v>0</v>
      </c>
      <c r="D108" s="204">
        <v>0</v>
      </c>
      <c r="E108" s="204">
        <v>0</v>
      </c>
      <c r="F108" s="204">
        <f>'BSC (Dome)'!H77</f>
        <v>1833.08</v>
      </c>
      <c r="G108" s="204">
        <f>'Oliari Co.'!H23</f>
        <v>1.01</v>
      </c>
      <c r="H108" s="204">
        <v>0</v>
      </c>
      <c r="I108" s="204">
        <f t="shared" si="63"/>
        <v>1883.6899999999998</v>
      </c>
      <c r="J108" s="205"/>
      <c r="K108" s="205"/>
      <c r="L108" s="192" t="s">
        <v>304</v>
      </c>
      <c r="M108" s="204">
        <v>0</v>
      </c>
      <c r="N108" s="204">
        <v>0</v>
      </c>
      <c r="O108" s="204">
        <v>0</v>
      </c>
      <c r="P108" s="204">
        <v>0</v>
      </c>
      <c r="Q108" s="204">
        <v>0</v>
      </c>
      <c r="R108" s="204">
        <v>0</v>
      </c>
      <c r="S108" s="204">
        <v>0</v>
      </c>
      <c r="T108" s="204">
        <f t="shared" si="66"/>
        <v>0</v>
      </c>
      <c r="U108" s="206"/>
      <c r="V108" s="192" t="s">
        <v>304</v>
      </c>
      <c r="W108" s="206"/>
      <c r="X108" s="207">
        <f t="shared" si="49"/>
        <v>1883.6899999999998</v>
      </c>
      <c r="Y108" s="206"/>
      <c r="Z108" s="207">
        <f t="shared" si="50"/>
        <v>0</v>
      </c>
      <c r="AA108" s="206"/>
      <c r="AB108" s="207">
        <f t="shared" si="65"/>
        <v>1883.6899999999998</v>
      </c>
      <c r="AC108" s="207"/>
      <c r="AD108" s="194"/>
      <c r="AE108" s="194"/>
      <c r="AF108" s="194"/>
      <c r="AG108" s="132"/>
    </row>
    <row r="109" spans="1:33" s="128" customFormat="1" ht="54.95" customHeight="1" x14ac:dyDescent="0.85">
      <c r="A109" s="191" t="s">
        <v>435</v>
      </c>
      <c r="B109" s="204">
        <f>'CNT (from FS Analysis)'!N257</f>
        <v>4337.95</v>
      </c>
      <c r="C109" s="204">
        <v>0</v>
      </c>
      <c r="D109" s="204">
        <v>0</v>
      </c>
      <c r="E109" s="204">
        <v>0</v>
      </c>
      <c r="F109" s="204">
        <v>0</v>
      </c>
      <c r="G109" s="204">
        <v>0</v>
      </c>
      <c r="H109" s="204">
        <v>0</v>
      </c>
      <c r="I109" s="204">
        <f t="shared" si="63"/>
        <v>4337.95</v>
      </c>
      <c r="J109" s="205"/>
      <c r="K109" s="205"/>
      <c r="L109" s="192"/>
      <c r="M109" s="204"/>
      <c r="N109" s="204"/>
      <c r="O109" s="204"/>
      <c r="P109" s="204"/>
      <c r="Q109" s="204"/>
      <c r="R109" s="204">
        <v>0</v>
      </c>
      <c r="S109" s="204">
        <v>0</v>
      </c>
      <c r="T109" s="204"/>
      <c r="U109" s="206"/>
      <c r="V109" s="192"/>
      <c r="W109" s="206"/>
      <c r="X109" s="207">
        <f t="shared" si="49"/>
        <v>4337.95</v>
      </c>
      <c r="Y109" s="206"/>
      <c r="Z109" s="207">
        <f t="shared" si="50"/>
        <v>0</v>
      </c>
      <c r="AA109" s="206"/>
      <c r="AB109" s="207"/>
      <c r="AC109" s="207"/>
      <c r="AD109" s="194"/>
      <c r="AE109" s="194"/>
      <c r="AF109" s="194"/>
      <c r="AG109" s="132"/>
    </row>
    <row r="110" spans="1:33" s="128" customFormat="1" ht="54.95" customHeight="1" x14ac:dyDescent="0.85">
      <c r="A110" s="191" t="s">
        <v>480</v>
      </c>
      <c r="B110" s="204">
        <f>'CNT (from FS Analysis)'!N258</f>
        <v>944.87</v>
      </c>
      <c r="C110" s="204">
        <v>0</v>
      </c>
      <c r="D110" s="204">
        <v>0</v>
      </c>
      <c r="E110" s="204">
        <v>0</v>
      </c>
      <c r="F110" s="204">
        <v>0</v>
      </c>
      <c r="G110" s="204">
        <v>0</v>
      </c>
      <c r="H110" s="204">
        <v>0</v>
      </c>
      <c r="I110" s="204">
        <f t="shared" si="63"/>
        <v>944.87</v>
      </c>
      <c r="J110" s="205"/>
      <c r="K110" s="205"/>
      <c r="L110" s="192"/>
      <c r="M110" s="204"/>
      <c r="N110" s="204"/>
      <c r="O110" s="204"/>
      <c r="P110" s="204"/>
      <c r="Q110" s="204"/>
      <c r="R110" s="204"/>
      <c r="S110" s="204"/>
      <c r="T110" s="204"/>
      <c r="U110" s="206"/>
      <c r="V110" s="192"/>
      <c r="W110" s="206"/>
      <c r="X110" s="207"/>
      <c r="Y110" s="206"/>
      <c r="Z110" s="207"/>
      <c r="AA110" s="206"/>
      <c r="AB110" s="207"/>
      <c r="AC110" s="207"/>
      <c r="AD110" s="194"/>
      <c r="AE110" s="194"/>
      <c r="AF110" s="194"/>
      <c r="AG110" s="132"/>
    </row>
    <row r="111" spans="1:33" s="128" customFormat="1" ht="54.95" customHeight="1" x14ac:dyDescent="0.85">
      <c r="A111" s="191" t="s">
        <v>481</v>
      </c>
      <c r="B111" s="204">
        <f>'CNT (from FS Analysis)'!N260</f>
        <v>2495.6</v>
      </c>
      <c r="C111" s="204">
        <v>0</v>
      </c>
      <c r="D111" s="204">
        <v>0</v>
      </c>
      <c r="E111" s="204">
        <v>0</v>
      </c>
      <c r="F111" s="204">
        <v>0</v>
      </c>
      <c r="G111" s="204">
        <v>0</v>
      </c>
      <c r="H111" s="204">
        <v>0</v>
      </c>
      <c r="I111" s="204">
        <f t="shared" si="63"/>
        <v>2495.6</v>
      </c>
      <c r="J111" s="205"/>
      <c r="K111" s="205"/>
      <c r="L111" s="192"/>
      <c r="M111" s="204"/>
      <c r="N111" s="204"/>
      <c r="O111" s="204"/>
      <c r="P111" s="204"/>
      <c r="Q111" s="204"/>
      <c r="R111" s="204"/>
      <c r="S111" s="204"/>
      <c r="T111" s="204"/>
      <c r="U111" s="206"/>
      <c r="V111" s="192"/>
      <c r="W111" s="206"/>
      <c r="X111" s="207"/>
      <c r="Y111" s="206"/>
      <c r="Z111" s="207"/>
      <c r="AA111" s="206"/>
      <c r="AB111" s="207"/>
      <c r="AC111" s="207"/>
      <c r="AD111" s="194"/>
      <c r="AE111" s="194"/>
      <c r="AF111" s="194"/>
      <c r="AG111" s="132"/>
    </row>
    <row r="112" spans="1:33" s="128" customFormat="1" ht="54.95" customHeight="1" x14ac:dyDescent="0.85">
      <c r="A112" s="191" t="s">
        <v>437</v>
      </c>
      <c r="B112" s="204">
        <f>'CNT (from FS Analysis)'!N259</f>
        <v>15739.6</v>
      </c>
      <c r="C112" s="204">
        <v>0</v>
      </c>
      <c r="D112" s="204">
        <v>0</v>
      </c>
      <c r="E112" s="204">
        <v>0</v>
      </c>
      <c r="F112" s="204">
        <v>0</v>
      </c>
      <c r="G112" s="204">
        <v>0</v>
      </c>
      <c r="H112" s="204">
        <v>0</v>
      </c>
      <c r="I112" s="204">
        <f t="shared" si="63"/>
        <v>15739.6</v>
      </c>
      <c r="J112" s="205"/>
      <c r="K112" s="205"/>
      <c r="L112" s="192"/>
      <c r="M112" s="204"/>
      <c r="N112" s="204"/>
      <c r="O112" s="204"/>
      <c r="P112" s="204"/>
      <c r="Q112" s="204"/>
      <c r="R112" s="204">
        <v>0</v>
      </c>
      <c r="S112" s="204">
        <v>0</v>
      </c>
      <c r="T112" s="204"/>
      <c r="U112" s="206"/>
      <c r="V112" s="192"/>
      <c r="W112" s="206"/>
      <c r="X112" s="207">
        <f t="shared" si="49"/>
        <v>15739.6</v>
      </c>
      <c r="Y112" s="206"/>
      <c r="Z112" s="207">
        <f t="shared" si="50"/>
        <v>0</v>
      </c>
      <c r="AA112" s="206"/>
      <c r="AB112" s="207"/>
      <c r="AC112" s="207"/>
      <c r="AD112" s="194"/>
      <c r="AE112" s="194"/>
      <c r="AF112" s="194"/>
      <c r="AG112" s="132"/>
    </row>
    <row r="113" spans="1:33" s="128" customFormat="1" ht="54.95" customHeight="1" x14ac:dyDescent="0.85">
      <c r="A113" s="203" t="s">
        <v>486</v>
      </c>
      <c r="B113" s="209">
        <f>SUM(B101:B112)</f>
        <v>476849.29</v>
      </c>
      <c r="C113" s="209">
        <f t="shared" ref="C113:H113" si="67">SUM(C101:C112)</f>
        <v>-238179.88</v>
      </c>
      <c r="D113" s="209">
        <f t="shared" si="67"/>
        <v>90457.72</v>
      </c>
      <c r="E113" s="209">
        <f t="shared" si="67"/>
        <v>18114.47</v>
      </c>
      <c r="F113" s="209">
        <f>SUM(F101:F112)</f>
        <v>-22399.270000000004</v>
      </c>
      <c r="G113" s="209">
        <f t="shared" ref="G113" si="68">SUM(G101:G112)</f>
        <v>122915.51999999999</v>
      </c>
      <c r="H113" s="209">
        <f t="shared" si="67"/>
        <v>0</v>
      </c>
      <c r="I113" s="209">
        <f t="shared" si="63"/>
        <v>447757.85</v>
      </c>
      <c r="J113" s="223">
        <f>SUM(I101:I112)-I113</f>
        <v>0</v>
      </c>
      <c r="K113" s="205"/>
      <c r="L113" s="203" t="s">
        <v>486</v>
      </c>
      <c r="M113" s="209">
        <f>SUM(M101:M108)</f>
        <v>200175.32</v>
      </c>
      <c r="N113" s="209">
        <f>SUM(N101:N108)</f>
        <v>-205906.25</v>
      </c>
      <c r="O113" s="209">
        <f>SUM(O101:O108)</f>
        <v>0</v>
      </c>
      <c r="P113" s="209">
        <f>SUM(P101:P108)</f>
        <v>54340.58</v>
      </c>
      <c r="Q113" s="209">
        <f>SUM(Q101:Q108)</f>
        <v>-26994.990000000005</v>
      </c>
      <c r="R113" s="209">
        <f>SUM(R101:R112)</f>
        <v>261942.52999999997</v>
      </c>
      <c r="S113" s="209">
        <f>SUM(S101:S112)</f>
        <v>100000</v>
      </c>
      <c r="T113" s="209">
        <f>SUM(M113:S113)</f>
        <v>383557.18999999994</v>
      </c>
      <c r="U113" s="219">
        <f>SUM(T101:T112)-T113</f>
        <v>0</v>
      </c>
      <c r="V113" s="203" t="s">
        <v>486</v>
      </c>
      <c r="W113" s="206"/>
      <c r="X113" s="214">
        <f t="shared" si="49"/>
        <v>447757.85</v>
      </c>
      <c r="Y113" s="206"/>
      <c r="Z113" s="214">
        <f t="shared" si="50"/>
        <v>383557.18999999994</v>
      </c>
      <c r="AA113" s="206"/>
      <c r="AB113" s="214">
        <f>I113-T113</f>
        <v>64200.660000000033</v>
      </c>
      <c r="AC113" s="214"/>
      <c r="AD113" s="194"/>
      <c r="AE113" s="194"/>
      <c r="AF113" s="194"/>
      <c r="AG113" s="132"/>
    </row>
    <row r="114" spans="1:33" s="128" customFormat="1" ht="54.95" customHeight="1" x14ac:dyDescent="0.85">
      <c r="A114" s="202"/>
      <c r="B114" s="204"/>
      <c r="C114" s="204"/>
      <c r="D114" s="204"/>
      <c r="E114" s="204"/>
      <c r="F114" s="204"/>
      <c r="G114" s="204"/>
      <c r="H114" s="204"/>
      <c r="I114" s="204">
        <f t="shared" si="63"/>
        <v>0</v>
      </c>
      <c r="J114" s="205"/>
      <c r="K114" s="205"/>
      <c r="L114" s="203"/>
      <c r="M114" s="204"/>
      <c r="N114" s="204"/>
      <c r="O114" s="204"/>
      <c r="P114" s="204"/>
      <c r="Q114" s="204"/>
      <c r="R114" s="204"/>
      <c r="S114" s="204"/>
      <c r="T114" s="204">
        <f t="shared" si="66"/>
        <v>0</v>
      </c>
      <c r="U114" s="206"/>
      <c r="V114" s="203"/>
      <c r="W114" s="206"/>
      <c r="X114" s="207"/>
      <c r="Y114" s="206"/>
      <c r="Z114" s="207">
        <f t="shared" si="50"/>
        <v>0</v>
      </c>
      <c r="AA114" s="206"/>
      <c r="AB114" s="207"/>
      <c r="AC114" s="207"/>
      <c r="AD114" s="194"/>
      <c r="AE114" s="194"/>
      <c r="AF114" s="194"/>
      <c r="AG114" s="132"/>
    </row>
    <row r="115" spans="1:33" s="128" customFormat="1" ht="54.95" customHeight="1" thickBot="1" x14ac:dyDescent="0.9">
      <c r="A115" s="202" t="s">
        <v>298</v>
      </c>
      <c r="B115" s="224">
        <f t="shared" ref="B115:H115" si="69">B35-B98+B113</f>
        <v>-43518.600001239742</v>
      </c>
      <c r="C115" s="224">
        <f t="shared" si="69"/>
        <v>252410.66999999434</v>
      </c>
      <c r="D115" s="224">
        <f t="shared" si="69"/>
        <v>387722.48</v>
      </c>
      <c r="E115" s="224">
        <f>E35-E98+E113</f>
        <v>13958.53</v>
      </c>
      <c r="F115" s="224">
        <f t="shared" si="69"/>
        <v>60034.920000000115</v>
      </c>
      <c r="G115" s="224">
        <f t="shared" ref="G115" si="70">G35-G98+G113</f>
        <v>65297.89999999998</v>
      </c>
      <c r="H115" s="224">
        <f t="shared" si="69"/>
        <v>-89199.19</v>
      </c>
      <c r="I115" s="224">
        <f t="shared" si="63"/>
        <v>646706.70999875478</v>
      </c>
      <c r="J115" s="192"/>
      <c r="K115" s="192"/>
      <c r="L115" s="203" t="s">
        <v>298</v>
      </c>
      <c r="M115" s="224">
        <f t="shared" ref="M115:S115" si="71">M35-M98+M113</f>
        <v>-892414.26999902702</v>
      </c>
      <c r="N115" s="224">
        <f t="shared" si="71"/>
        <v>182164.18000000314</v>
      </c>
      <c r="O115" s="224">
        <f t="shared" si="71"/>
        <v>399867.13000000012</v>
      </c>
      <c r="P115" s="224">
        <f t="shared" si="71"/>
        <v>50297</v>
      </c>
      <c r="Q115" s="224">
        <f>Q35-Q98+Q113</f>
        <v>66261.819999999992</v>
      </c>
      <c r="R115" s="224">
        <f t="shared" ref="R115" si="72">R35-R98+R113</f>
        <v>214036.48999999996</v>
      </c>
      <c r="S115" s="224">
        <f t="shared" si="71"/>
        <v>96976.89</v>
      </c>
      <c r="T115" s="224">
        <f t="shared" si="66"/>
        <v>117189.24000097626</v>
      </c>
      <c r="U115" s="191"/>
      <c r="V115" s="203" t="s">
        <v>298</v>
      </c>
      <c r="W115" s="191"/>
      <c r="X115" s="225">
        <f t="shared" si="49"/>
        <v>646706.70999875478</v>
      </c>
      <c r="Y115" s="191"/>
      <c r="Z115" s="225">
        <f t="shared" si="50"/>
        <v>117189.24000097626</v>
      </c>
      <c r="AA115" s="191"/>
      <c r="AB115" s="225">
        <f>I115-T115</f>
        <v>529517.46999777853</v>
      </c>
      <c r="AC115" s="226"/>
      <c r="AD115" s="194"/>
      <c r="AE115" s="194"/>
      <c r="AF115" s="194"/>
      <c r="AG115" s="132"/>
    </row>
    <row r="116" spans="1:33" ht="39.950000000000003" customHeight="1" thickTop="1" x14ac:dyDescent="0.85">
      <c r="B116" s="204"/>
      <c r="C116" s="204"/>
      <c r="D116" s="204"/>
      <c r="E116" s="204"/>
      <c r="F116" s="204"/>
      <c r="G116" s="204"/>
      <c r="H116" s="204"/>
      <c r="I116" s="204"/>
      <c r="AE116" s="194"/>
      <c r="AG116" s="114"/>
    </row>
    <row r="117" spans="1:33" ht="39.950000000000003" customHeight="1" x14ac:dyDescent="0.85">
      <c r="AE117" s="194"/>
      <c r="AG117" s="114"/>
    </row>
    <row r="118" spans="1:33" s="128" customFormat="1" ht="39.950000000000003" customHeight="1" x14ac:dyDescent="0.85">
      <c r="A118" s="191" t="s">
        <v>363</v>
      </c>
      <c r="B118" s="204">
        <v>-43518.6</v>
      </c>
      <c r="C118" s="227">
        <v>252410.67</v>
      </c>
      <c r="D118" s="227">
        <v>387722.48</v>
      </c>
      <c r="E118" s="227">
        <v>13958.53</v>
      </c>
      <c r="F118" s="227">
        <v>60034.92</v>
      </c>
      <c r="G118" s="227">
        <v>65297.9</v>
      </c>
      <c r="H118" s="227">
        <v>-89199.19</v>
      </c>
      <c r="I118" s="204">
        <f>SUM(B118:H118)</f>
        <v>646706.7100000002</v>
      </c>
      <c r="J118" s="205"/>
      <c r="K118" s="205"/>
      <c r="L118" s="192"/>
      <c r="M118" s="204">
        <v>-892414.27</v>
      </c>
      <c r="N118" s="204">
        <v>182164.18</v>
      </c>
      <c r="O118" s="204">
        <v>399867.13</v>
      </c>
      <c r="P118" s="204">
        <v>50297</v>
      </c>
      <c r="Q118" s="204">
        <v>66261.820000000007</v>
      </c>
      <c r="R118" s="204">
        <v>214036.49</v>
      </c>
      <c r="S118" s="204">
        <v>96976.89</v>
      </c>
      <c r="T118" s="204">
        <f>SUM(M118:S118)</f>
        <v>117189.23999999992</v>
      </c>
      <c r="U118" s="206"/>
      <c r="V118" s="192"/>
      <c r="W118" s="206"/>
      <c r="X118" s="207"/>
      <c r="Y118" s="206"/>
      <c r="Z118" s="207"/>
      <c r="AA118" s="206"/>
      <c r="AB118" s="207"/>
      <c r="AC118" s="207"/>
      <c r="AD118" s="194"/>
      <c r="AE118" s="194"/>
      <c r="AF118" s="194"/>
      <c r="AG118" s="132"/>
    </row>
    <row r="119" spans="1:33" s="128" customFormat="1" ht="39.950000000000003" customHeight="1" x14ac:dyDescent="0.85">
      <c r="A119" s="191"/>
      <c r="B119" s="204">
        <f t="shared" ref="B119:D119" si="73">B115-B118</f>
        <v>-1.2397431419230998E-6</v>
      </c>
      <c r="C119" s="227">
        <f>C115-C118</f>
        <v>-5.6752469390630722E-9</v>
      </c>
      <c r="D119" s="227">
        <f t="shared" si="73"/>
        <v>0</v>
      </c>
      <c r="E119" s="227">
        <f>E115-E118</f>
        <v>0</v>
      </c>
      <c r="F119" s="227">
        <f>F115-F118</f>
        <v>1.1641532182693481E-10</v>
      </c>
      <c r="G119" s="227">
        <f>G115-G118</f>
        <v>0</v>
      </c>
      <c r="H119" s="227">
        <f>H115-H118</f>
        <v>0</v>
      </c>
      <c r="I119" s="204">
        <f>I115-I118</f>
        <v>-1.2454111129045486E-6</v>
      </c>
      <c r="J119" s="205"/>
      <c r="K119" s="205"/>
      <c r="L119" s="192"/>
      <c r="M119" s="204">
        <f>M115-M118</f>
        <v>9.7299925982952118E-7</v>
      </c>
      <c r="N119" s="204">
        <f t="shared" ref="N119:S119" si="74">N115-N118</f>
        <v>3.14321368932724E-9</v>
      </c>
      <c r="O119" s="204">
        <f t="shared" si="74"/>
        <v>0</v>
      </c>
      <c r="P119" s="204">
        <f t="shared" si="74"/>
        <v>0</v>
      </c>
      <c r="Q119" s="204">
        <f t="shared" ref="Q119:R119" si="75">Q115-Q118</f>
        <v>0</v>
      </c>
      <c r="R119" s="204">
        <f t="shared" si="75"/>
        <v>0</v>
      </c>
      <c r="S119" s="204">
        <f t="shared" si="74"/>
        <v>0</v>
      </c>
      <c r="T119" s="204">
        <f>T115-T118</f>
        <v>9.7634620033204556E-7</v>
      </c>
      <c r="U119" s="206"/>
      <c r="V119" s="192"/>
      <c r="W119" s="206"/>
      <c r="X119" s="207"/>
      <c r="Y119" s="206"/>
      <c r="Z119" s="207"/>
      <c r="AA119" s="206"/>
      <c r="AB119" s="207"/>
      <c r="AC119" s="207"/>
      <c r="AD119" s="194"/>
      <c r="AE119" s="194"/>
      <c r="AF119" s="194"/>
      <c r="AG119" s="132"/>
    </row>
    <row r="120" spans="1:33" s="128" customFormat="1" ht="39.950000000000003" customHeight="1" x14ac:dyDescent="0.85">
      <c r="A120" s="191"/>
      <c r="B120" s="204"/>
      <c r="C120" s="204"/>
      <c r="D120" s="204"/>
      <c r="E120" s="204"/>
      <c r="F120" s="204"/>
      <c r="G120" s="204"/>
      <c r="H120" s="204"/>
      <c r="I120" s="204">
        <f>I35-I49-I74-I96+I113-I115</f>
        <v>0</v>
      </c>
      <c r="J120" s="205"/>
      <c r="K120" s="205"/>
      <c r="L120" s="192"/>
      <c r="M120" s="204"/>
      <c r="N120" s="204"/>
      <c r="O120" s="204"/>
      <c r="P120" s="204"/>
      <c r="Q120" s="204"/>
      <c r="R120" s="204"/>
      <c r="S120" s="204"/>
      <c r="T120" s="204">
        <f>T35-T49-T74-T96+T113-T115</f>
        <v>-5.9662852436304092E-10</v>
      </c>
      <c r="U120" s="206"/>
      <c r="V120" s="192"/>
      <c r="W120" s="206"/>
      <c r="X120" s="207"/>
      <c r="Y120" s="206"/>
      <c r="Z120" s="207"/>
      <c r="AA120" s="206"/>
      <c r="AB120" s="207"/>
      <c r="AC120" s="207"/>
      <c r="AD120" s="194"/>
      <c r="AE120" s="194"/>
      <c r="AF120" s="194"/>
      <c r="AG120" s="132"/>
    </row>
    <row r="121" spans="1:33" s="128" customFormat="1" ht="39.950000000000003" customHeight="1" x14ac:dyDescent="0.85">
      <c r="A121" s="191"/>
      <c r="B121" s="204"/>
      <c r="C121" s="204"/>
      <c r="D121" s="204"/>
      <c r="E121" s="204"/>
      <c r="F121" s="204" t="s">
        <v>464</v>
      </c>
      <c r="G121" s="204"/>
      <c r="H121" s="204"/>
      <c r="I121" s="204"/>
      <c r="J121" s="205"/>
      <c r="K121" s="205"/>
      <c r="L121" s="192"/>
      <c r="M121" s="204"/>
      <c r="N121" s="204"/>
      <c r="O121" s="204"/>
      <c r="P121" s="204"/>
      <c r="Q121" s="204"/>
      <c r="R121" s="204" t="s">
        <v>457</v>
      </c>
      <c r="S121" s="204"/>
      <c r="T121" s="204"/>
      <c r="U121" s="206"/>
      <c r="V121" s="192"/>
      <c r="W121" s="206"/>
      <c r="X121" s="207"/>
      <c r="Y121" s="206"/>
      <c r="Z121" s="207"/>
      <c r="AA121" s="206"/>
      <c r="AB121" s="207"/>
      <c r="AC121" s="207"/>
      <c r="AD121" s="194"/>
      <c r="AE121" s="194"/>
      <c r="AF121" s="194"/>
      <c r="AG121" s="132"/>
    </row>
    <row r="122" spans="1:33" s="128" customFormat="1" ht="30" customHeight="1" x14ac:dyDescent="0.85">
      <c r="A122" s="191"/>
      <c r="B122" s="204"/>
      <c r="C122" s="204"/>
      <c r="D122" s="204"/>
      <c r="E122" s="204"/>
      <c r="F122" s="204"/>
      <c r="G122" s="204"/>
      <c r="H122" s="204"/>
      <c r="I122" s="204"/>
      <c r="J122" s="205"/>
      <c r="K122" s="205"/>
      <c r="L122" s="192"/>
      <c r="M122" s="204"/>
      <c r="N122" s="204"/>
      <c r="O122" s="204"/>
      <c r="P122" s="204"/>
      <c r="Q122" s="204"/>
      <c r="R122" s="204" t="s">
        <v>458</v>
      </c>
      <c r="S122" s="204"/>
      <c r="T122" s="204"/>
      <c r="U122" s="206"/>
      <c r="V122" s="192"/>
      <c r="W122" s="206"/>
      <c r="X122" s="207"/>
      <c r="Y122" s="206"/>
      <c r="Z122" s="207"/>
      <c r="AA122" s="206"/>
      <c r="AB122" s="207"/>
      <c r="AC122" s="207"/>
      <c r="AD122" s="194"/>
      <c r="AE122" s="194"/>
      <c r="AF122" s="194"/>
      <c r="AG122" s="132"/>
    </row>
    <row r="123" spans="1:33" s="128" customFormat="1" ht="30" customHeight="1" x14ac:dyDescent="0.85">
      <c r="A123" s="191"/>
      <c r="B123" s="204"/>
      <c r="C123" s="204"/>
      <c r="D123" s="204"/>
      <c r="E123" s="204"/>
      <c r="F123" s="204"/>
      <c r="G123" s="204"/>
      <c r="H123" s="204"/>
      <c r="I123" s="204"/>
      <c r="J123" s="205"/>
      <c r="K123" s="205"/>
      <c r="L123" s="192"/>
      <c r="M123" s="204"/>
      <c r="N123" s="204"/>
      <c r="O123" s="204"/>
      <c r="P123" s="204"/>
      <c r="Q123" s="204"/>
      <c r="R123" s="204" t="s">
        <v>461</v>
      </c>
      <c r="S123" s="204"/>
      <c r="T123" s="204"/>
      <c r="U123" s="206"/>
      <c r="V123" s="192"/>
      <c r="W123" s="206"/>
      <c r="X123" s="207"/>
      <c r="Y123" s="206"/>
      <c r="Z123" s="207"/>
      <c r="AA123" s="206"/>
      <c r="AB123" s="207"/>
      <c r="AC123" s="207"/>
      <c r="AD123" s="194"/>
      <c r="AE123" s="194"/>
      <c r="AF123" s="194"/>
      <c r="AG123" s="132"/>
    </row>
    <row r="124" spans="1:33" s="128" customFormat="1" ht="30" customHeight="1" x14ac:dyDescent="0.85">
      <c r="A124" s="191"/>
      <c r="B124" s="204"/>
      <c r="C124" s="204"/>
      <c r="D124" s="204"/>
      <c r="E124" s="204"/>
      <c r="F124" s="204"/>
      <c r="G124" s="204"/>
      <c r="H124" s="204"/>
      <c r="I124" s="204"/>
      <c r="J124" s="205"/>
      <c r="K124" s="205"/>
      <c r="L124" s="192"/>
      <c r="M124" s="204"/>
      <c r="N124" s="204"/>
      <c r="O124" s="204"/>
      <c r="P124" s="204"/>
      <c r="Q124" s="204"/>
      <c r="R124" s="228">
        <v>11000</v>
      </c>
      <c r="S124" s="204"/>
      <c r="T124" s="204"/>
      <c r="U124" s="206"/>
      <c r="V124" s="192"/>
      <c r="W124" s="206"/>
      <c r="X124" s="207"/>
      <c r="Y124" s="206"/>
      <c r="Z124" s="207"/>
      <c r="AA124" s="206"/>
      <c r="AB124" s="207"/>
      <c r="AC124" s="207"/>
      <c r="AD124" s="194"/>
      <c r="AE124" s="194"/>
      <c r="AF124" s="194"/>
      <c r="AG124" s="132"/>
    </row>
    <row r="125" spans="1:33" s="128" customFormat="1" ht="30" customHeight="1" x14ac:dyDescent="0.85">
      <c r="A125" s="191"/>
      <c r="B125" s="204"/>
      <c r="C125" s="204"/>
      <c r="D125" s="204"/>
      <c r="E125" s="204"/>
      <c r="F125" s="204"/>
      <c r="G125" s="204"/>
      <c r="H125" s="204"/>
      <c r="I125" s="204"/>
      <c r="J125" s="205"/>
      <c r="K125" s="205"/>
      <c r="L125" s="192"/>
      <c r="M125" s="204"/>
      <c r="N125" s="204"/>
      <c r="O125" s="204"/>
      <c r="P125" s="204"/>
      <c r="Q125" s="204"/>
      <c r="R125" s="204" t="s">
        <v>459</v>
      </c>
      <c r="S125" s="204"/>
      <c r="T125" s="204"/>
      <c r="U125" s="206"/>
      <c r="V125" s="192"/>
      <c r="W125" s="206"/>
      <c r="X125" s="207"/>
      <c r="Y125" s="206"/>
      <c r="Z125" s="207"/>
      <c r="AA125" s="206"/>
      <c r="AB125" s="207"/>
      <c r="AC125" s="207"/>
      <c r="AD125" s="194"/>
      <c r="AE125" s="194"/>
      <c r="AF125" s="194"/>
      <c r="AG125" s="132"/>
    </row>
    <row r="126" spans="1:33" s="128" customFormat="1" ht="30" customHeight="1" x14ac:dyDescent="0.85">
      <c r="A126" s="191"/>
      <c r="B126" s="204"/>
      <c r="C126" s="204"/>
      <c r="D126" s="204"/>
      <c r="E126" s="204"/>
      <c r="F126" s="204"/>
      <c r="G126" s="204"/>
      <c r="H126" s="204"/>
      <c r="I126" s="204"/>
      <c r="J126" s="205"/>
      <c r="K126" s="205"/>
      <c r="L126" s="192"/>
      <c r="M126" s="204"/>
      <c r="N126" s="204"/>
      <c r="O126" s="204"/>
      <c r="P126" s="204"/>
      <c r="Q126" s="204"/>
      <c r="R126" s="204" t="s">
        <v>460</v>
      </c>
      <c r="S126" s="204"/>
      <c r="T126" s="204"/>
      <c r="U126" s="206"/>
      <c r="V126" s="192"/>
      <c r="W126" s="206"/>
      <c r="X126" s="207"/>
      <c r="Y126" s="206"/>
      <c r="Z126" s="207"/>
      <c r="AA126" s="206"/>
      <c r="AB126" s="207"/>
      <c r="AC126" s="207"/>
      <c r="AD126" s="194"/>
      <c r="AE126" s="194"/>
      <c r="AF126" s="194"/>
      <c r="AG126" s="132"/>
    </row>
    <row r="127" spans="1:33" s="128" customFormat="1" ht="30" customHeight="1" x14ac:dyDescent="0.85">
      <c r="A127" s="191"/>
      <c r="B127" s="204"/>
      <c r="C127" s="204"/>
      <c r="D127" s="204"/>
      <c r="E127" s="204"/>
      <c r="F127" s="204"/>
      <c r="G127" s="204"/>
      <c r="H127" s="204"/>
      <c r="I127" s="204"/>
      <c r="J127" s="205"/>
      <c r="K127" s="205"/>
      <c r="L127" s="192"/>
      <c r="M127" s="204"/>
      <c r="N127" s="204"/>
      <c r="O127" s="204"/>
      <c r="P127" s="204"/>
      <c r="Q127" s="204"/>
      <c r="R127" s="204"/>
      <c r="S127" s="204"/>
      <c r="T127" s="204"/>
      <c r="U127" s="206"/>
      <c r="V127" s="192"/>
      <c r="W127" s="206"/>
      <c r="X127" s="207"/>
      <c r="Y127" s="206"/>
      <c r="Z127" s="207"/>
      <c r="AA127" s="206"/>
      <c r="AB127" s="207"/>
      <c r="AC127" s="207"/>
      <c r="AD127" s="194"/>
      <c r="AE127" s="194"/>
      <c r="AF127" s="194"/>
      <c r="AG127" s="132"/>
    </row>
  </sheetData>
  <mergeCells count="11"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  <mergeCell ref="V5:AF8"/>
  </mergeCells>
  <pageMargins left="0.7" right="0.7" top="0.75" bottom="0.75" header="0.3" footer="0.3"/>
  <pageSetup scale="16" fitToWidth="3" fitToHeight="3" orientation="landscape" r:id="rId1"/>
  <headerFooter>
    <oddFooter>&amp;C&amp;16Page &amp;P of &amp;N</oddFooter>
  </headerFooter>
  <rowBreaks count="2" manualBreakCount="2">
    <brk id="50" max="31" man="1"/>
    <brk id="99" max="31" man="1"/>
  </rowBreaks>
  <colBreaks count="2" manualBreakCount="2">
    <brk id="10" min="4" max="114" man="1"/>
    <brk id="21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FE10-3A3E-4E73-8B67-891144E6D411}">
  <sheetPr>
    <tabColor theme="9" tint="-0.249977111117893"/>
  </sheetPr>
  <dimension ref="A1:I78"/>
  <sheetViews>
    <sheetView view="pageBreakPreview" zoomScale="60" zoomScaleNormal="100" workbookViewId="0">
      <pane ySplit="6" topLeftCell="A51" activePane="bottomLeft" state="frozen"/>
      <selection activeCell="A16" sqref="A16"/>
      <selection pane="bottomLeft" activeCell="F80" sqref="F80"/>
    </sheetView>
  </sheetViews>
  <sheetFormatPr defaultRowHeight="15" x14ac:dyDescent="0.25"/>
  <cols>
    <col min="1" max="1" width="44.42578125" bestFit="1" customWidth="1"/>
    <col min="2" max="2" width="13" style="83" bestFit="1" customWidth="1"/>
    <col min="3" max="3" width="11.5703125" style="83" bestFit="1" customWidth="1"/>
    <col min="4" max="4" width="13.42578125" style="83" bestFit="1" customWidth="1"/>
    <col min="5" max="7" width="13" style="83" bestFit="1" customWidth="1"/>
    <col min="8" max="8" width="13.42578125" style="83" bestFit="1" customWidth="1"/>
    <col min="9" max="9" width="8.85546875" style="83"/>
  </cols>
  <sheetData>
    <row r="1" spans="1:8" x14ac:dyDescent="0.25">
      <c r="A1" s="274" t="s">
        <v>305</v>
      </c>
      <c r="B1" s="274"/>
      <c r="C1" s="274"/>
      <c r="D1" s="274"/>
      <c r="E1" s="274"/>
      <c r="F1" s="274"/>
      <c r="G1" s="274"/>
      <c r="H1" s="274"/>
    </row>
    <row r="2" spans="1:8" x14ac:dyDescent="0.25">
      <c r="A2" s="274" t="s">
        <v>306</v>
      </c>
      <c r="B2" s="274"/>
      <c r="C2" s="274"/>
      <c r="D2" s="274"/>
      <c r="E2" s="274"/>
      <c r="F2" s="274"/>
      <c r="G2" s="274"/>
      <c r="H2" s="274"/>
    </row>
    <row r="3" spans="1:8" x14ac:dyDescent="0.25">
      <c r="A3" s="274">
        <v>2018</v>
      </c>
      <c r="B3" s="274"/>
      <c r="C3" s="274"/>
      <c r="D3" s="274"/>
      <c r="E3" s="274"/>
      <c r="F3" s="274"/>
      <c r="G3" s="274"/>
      <c r="H3" s="274"/>
    </row>
    <row r="4" spans="1:8" x14ac:dyDescent="0.25">
      <c r="A4" s="114"/>
      <c r="B4" s="114"/>
      <c r="C4" s="114"/>
      <c r="D4" s="114"/>
      <c r="E4" s="114"/>
      <c r="F4" s="114"/>
      <c r="G4" s="114"/>
      <c r="H4" s="114"/>
    </row>
    <row r="5" spans="1:8" x14ac:dyDescent="0.25">
      <c r="A5" s="114"/>
      <c r="B5" s="114"/>
      <c r="C5" s="114"/>
      <c r="D5" s="114"/>
      <c r="E5" s="114"/>
      <c r="F5" s="114"/>
      <c r="G5" s="114"/>
      <c r="H5" s="114"/>
    </row>
    <row r="6" spans="1:8" x14ac:dyDescent="0.25">
      <c r="B6" s="118" t="s">
        <v>333</v>
      </c>
      <c r="C6" s="118" t="s">
        <v>334</v>
      </c>
      <c r="D6" s="118" t="s">
        <v>335</v>
      </c>
      <c r="E6" s="118" t="s">
        <v>336</v>
      </c>
      <c r="F6" s="118" t="s">
        <v>412</v>
      </c>
      <c r="G6" s="118" t="s">
        <v>456</v>
      </c>
      <c r="H6" s="118" t="s">
        <v>216</v>
      </c>
    </row>
    <row r="7" spans="1:8" x14ac:dyDescent="0.25">
      <c r="A7" s="58" t="s">
        <v>62</v>
      </c>
    </row>
    <row r="8" spans="1:8" x14ac:dyDescent="0.25">
      <c r="A8" t="s">
        <v>307</v>
      </c>
      <c r="B8" s="83">
        <v>1007.48</v>
      </c>
      <c r="C8" s="83">
        <v>2880.98</v>
      </c>
      <c r="D8" s="83">
        <v>11848.57</v>
      </c>
      <c r="E8" s="83">
        <v>8277.67</v>
      </c>
      <c r="F8" s="83">
        <v>59.53</v>
      </c>
      <c r="G8" s="83">
        <f>1079.75-0.03</f>
        <v>1079.72</v>
      </c>
      <c r="H8" s="83">
        <f>SUM(B8:G8)</f>
        <v>25153.949999999997</v>
      </c>
    </row>
    <row r="9" spans="1:8" x14ac:dyDescent="0.25">
      <c r="A9" t="s">
        <v>308</v>
      </c>
      <c r="B9" s="83">
        <v>1315</v>
      </c>
      <c r="C9" s="83">
        <v>690</v>
      </c>
      <c r="D9" s="83">
        <v>380</v>
      </c>
      <c r="E9" s="83">
        <v>0</v>
      </c>
      <c r="F9" s="83">
        <v>0</v>
      </c>
      <c r="G9" s="83">
        <v>0</v>
      </c>
      <c r="H9" s="83">
        <f t="shared" ref="H9:H13" si="0">SUM(B9:G9)</f>
        <v>2385</v>
      </c>
    </row>
    <row r="10" spans="1:8" x14ac:dyDescent="0.25">
      <c r="A10" t="s">
        <v>365</v>
      </c>
      <c r="B10" s="83">
        <v>150</v>
      </c>
      <c r="C10" s="83">
        <v>100</v>
      </c>
      <c r="D10" s="83">
        <v>150</v>
      </c>
      <c r="E10" s="83">
        <v>0</v>
      </c>
      <c r="F10" s="83">
        <v>100</v>
      </c>
      <c r="G10" s="83">
        <v>50</v>
      </c>
      <c r="H10" s="83">
        <f t="shared" si="0"/>
        <v>550</v>
      </c>
    </row>
    <row r="11" spans="1:8" x14ac:dyDescent="0.25">
      <c r="A11" t="s">
        <v>309</v>
      </c>
      <c r="B11" s="83">
        <v>74672.5</v>
      </c>
      <c r="C11" s="83">
        <v>77307.5</v>
      </c>
      <c r="D11" s="83">
        <v>85637.5</v>
      </c>
      <c r="E11" s="83">
        <v>107355</v>
      </c>
      <c r="F11" s="83">
        <v>119340</v>
      </c>
      <c r="G11" s="83">
        <v>128860</v>
      </c>
      <c r="H11" s="83">
        <f t="shared" si="0"/>
        <v>593172.5</v>
      </c>
    </row>
    <row r="12" spans="1:8" x14ac:dyDescent="0.25">
      <c r="A12" t="s">
        <v>337</v>
      </c>
      <c r="B12" s="83">
        <v>29225</v>
      </c>
      <c r="C12" s="83">
        <v>0</v>
      </c>
      <c r="D12" s="83">
        <v>67262</v>
      </c>
      <c r="E12" s="83">
        <v>0</v>
      </c>
      <c r="F12" s="83">
        <v>109042</v>
      </c>
      <c r="G12" s="83">
        <v>21090</v>
      </c>
      <c r="H12" s="83">
        <f t="shared" si="0"/>
        <v>226619</v>
      </c>
    </row>
    <row r="13" spans="1:8" x14ac:dyDescent="0.25">
      <c r="A13" t="s">
        <v>310</v>
      </c>
      <c r="B13" s="83">
        <v>3474</v>
      </c>
      <c r="C13" s="83">
        <v>3440.25</v>
      </c>
      <c r="D13" s="83">
        <v>3440.25</v>
      </c>
      <c r="E13" s="83">
        <v>5316.75</v>
      </c>
      <c r="F13" s="83">
        <v>5316.75</v>
      </c>
      <c r="G13" s="83">
        <v>7155.5</v>
      </c>
      <c r="H13" s="170">
        <f t="shared" si="0"/>
        <v>28143.5</v>
      </c>
    </row>
    <row r="14" spans="1:8" x14ac:dyDescent="0.25">
      <c r="A14" t="s">
        <v>465</v>
      </c>
      <c r="B14" s="83">
        <v>39424.43</v>
      </c>
      <c r="C14" s="83">
        <v>30082.99</v>
      </c>
      <c r="D14" s="83">
        <v>37907.64</v>
      </c>
      <c r="E14" s="83">
        <v>44830.54</v>
      </c>
      <c r="F14" s="83">
        <v>40289.01</v>
      </c>
      <c r="G14" s="83">
        <v>22639.5</v>
      </c>
      <c r="H14" s="83">
        <f>SUM(B14:G14)</f>
        <v>215174.11000000002</v>
      </c>
    </row>
    <row r="15" spans="1:8" x14ac:dyDescent="0.25">
      <c r="A15" t="s">
        <v>466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3">
        <v>8000</v>
      </c>
      <c r="H15" s="83">
        <f>SUM(B15:G15)</f>
        <v>8000</v>
      </c>
    </row>
    <row r="16" spans="1:8" x14ac:dyDescent="0.25">
      <c r="A16" t="s">
        <v>467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3">
        <v>38415.89</v>
      </c>
      <c r="H16" s="83">
        <f>SUM(B16:G16)</f>
        <v>38415.89</v>
      </c>
    </row>
    <row r="17" spans="1:8" x14ac:dyDescent="0.25">
      <c r="A17" s="58" t="s">
        <v>253</v>
      </c>
      <c r="B17" s="115">
        <f>SUM(B8:B16)</f>
        <v>149268.41</v>
      </c>
      <c r="C17" s="115">
        <f t="shared" ref="C17:G17" si="1">SUM(C8:C16)</f>
        <v>114501.72</v>
      </c>
      <c r="D17" s="115">
        <f t="shared" si="1"/>
        <v>206625.96000000002</v>
      </c>
      <c r="E17" s="115">
        <f t="shared" si="1"/>
        <v>165779.96</v>
      </c>
      <c r="F17" s="115">
        <f t="shared" si="1"/>
        <v>274147.28999999998</v>
      </c>
      <c r="G17" s="115">
        <f t="shared" si="1"/>
        <v>227290.61</v>
      </c>
      <c r="H17" s="115">
        <f>SUM(H8:H16)</f>
        <v>1137613.95</v>
      </c>
    </row>
    <row r="19" spans="1:8" x14ac:dyDescent="0.25">
      <c r="A19" s="58" t="s">
        <v>311</v>
      </c>
      <c r="H19" s="83">
        <f t="shared" ref="H19:H28" si="2">SUM(B19:F19)</f>
        <v>0</v>
      </c>
    </row>
    <row r="20" spans="1:8" x14ac:dyDescent="0.25">
      <c r="A20" t="s">
        <v>313</v>
      </c>
      <c r="B20" s="83">
        <v>1052.68</v>
      </c>
      <c r="C20" s="83">
        <v>7138.13</v>
      </c>
      <c r="D20" s="83">
        <v>9184.15</v>
      </c>
      <c r="E20" s="83">
        <v>19400.439999999999</v>
      </c>
      <c r="F20" s="83">
        <v>36.549999999999997</v>
      </c>
      <c r="G20" s="83">
        <v>15295.31</v>
      </c>
      <c r="H20" s="83">
        <f>SUM(B20:G20)</f>
        <v>52107.259999999995</v>
      </c>
    </row>
    <row r="21" spans="1:8" x14ac:dyDescent="0.25">
      <c r="A21" t="s">
        <v>312</v>
      </c>
      <c r="B21" s="83">
        <v>45325</v>
      </c>
      <c r="C21" s="83">
        <v>0</v>
      </c>
      <c r="D21" s="83">
        <v>11772.5</v>
      </c>
      <c r="E21" s="83">
        <v>11772.5</v>
      </c>
      <c r="F21" s="83">
        <v>0</v>
      </c>
      <c r="G21" s="83">
        <v>26350</v>
      </c>
      <c r="H21" s="83">
        <f>SUM(B21:G21)</f>
        <v>95220</v>
      </c>
    </row>
    <row r="22" spans="1:8" x14ac:dyDescent="0.25">
      <c r="A22" t="s">
        <v>468</v>
      </c>
      <c r="B22" s="83">
        <v>0</v>
      </c>
      <c r="C22" s="83">
        <v>0</v>
      </c>
      <c r="D22" s="83">
        <v>0</v>
      </c>
      <c r="E22" s="83">
        <v>0</v>
      </c>
      <c r="F22" s="83">
        <v>0</v>
      </c>
      <c r="G22" s="83">
        <v>4534.2</v>
      </c>
      <c r="H22" s="83">
        <f>SUM(B22:G22)</f>
        <v>4534.2</v>
      </c>
    </row>
    <row r="23" spans="1:8" x14ac:dyDescent="0.25">
      <c r="A23" s="58" t="s">
        <v>314</v>
      </c>
      <c r="B23" s="115">
        <f>SUM(B20:B22)</f>
        <v>46377.68</v>
      </c>
      <c r="C23" s="115">
        <f t="shared" ref="C23:H23" si="3">SUM(C20:C22)</f>
        <v>7138.13</v>
      </c>
      <c r="D23" s="115">
        <f t="shared" si="3"/>
        <v>20956.650000000001</v>
      </c>
      <c r="E23" s="115">
        <f t="shared" si="3"/>
        <v>31172.94</v>
      </c>
      <c r="F23" s="115">
        <f t="shared" si="3"/>
        <v>36.549999999999997</v>
      </c>
      <c r="G23" s="115">
        <f t="shared" si="3"/>
        <v>46179.509999999995</v>
      </c>
      <c r="H23" s="115">
        <f t="shared" si="3"/>
        <v>151861.46000000002</v>
      </c>
    </row>
    <row r="25" spans="1:8" ht="15.75" thickBot="1" x14ac:dyDescent="0.3">
      <c r="A25" s="58" t="s">
        <v>241</v>
      </c>
      <c r="B25" s="116">
        <f>B17-B23</f>
        <v>102890.73000000001</v>
      </c>
      <c r="C25" s="116">
        <f t="shared" ref="C25:H25" si="4">C17-C23</f>
        <v>107363.59</v>
      </c>
      <c r="D25" s="116">
        <f t="shared" si="4"/>
        <v>185669.31000000003</v>
      </c>
      <c r="E25" s="116">
        <f t="shared" ref="E25" si="5">E17-E23</f>
        <v>134607.01999999999</v>
      </c>
      <c r="F25" s="116">
        <f t="shared" si="4"/>
        <v>274110.74</v>
      </c>
      <c r="G25" s="116">
        <f t="shared" ref="G25" si="6">G17-G23</f>
        <v>181111.09999999998</v>
      </c>
      <c r="H25" s="116">
        <f t="shared" si="4"/>
        <v>985752.49</v>
      </c>
    </row>
    <row r="27" spans="1:8" x14ac:dyDescent="0.25">
      <c r="A27" s="58" t="s">
        <v>239</v>
      </c>
    </row>
    <row r="28" spans="1:8" x14ac:dyDescent="0.25">
      <c r="A28" t="s">
        <v>255</v>
      </c>
      <c r="H28" s="83">
        <f t="shared" si="2"/>
        <v>0</v>
      </c>
    </row>
    <row r="29" spans="1:8" x14ac:dyDescent="0.25">
      <c r="A29" t="s">
        <v>315</v>
      </c>
      <c r="B29" s="83">
        <v>8738.67</v>
      </c>
      <c r="C29" s="83">
        <v>7542.86</v>
      </c>
      <c r="D29" s="83">
        <v>8498.8799999999992</v>
      </c>
      <c r="E29" s="83">
        <v>8584.34</v>
      </c>
      <c r="F29" s="83">
        <v>9426.1</v>
      </c>
      <c r="G29" s="83">
        <v>8607.9500000000007</v>
      </c>
      <c r="H29" s="83">
        <f>SUM(B29:G29)</f>
        <v>51398.8</v>
      </c>
    </row>
    <row r="30" spans="1:8" x14ac:dyDescent="0.25">
      <c r="A30" t="s">
        <v>316</v>
      </c>
      <c r="B30" s="83">
        <v>1485.28</v>
      </c>
      <c r="C30" s="83">
        <v>1185.3900000000001</v>
      </c>
      <c r="D30" s="83">
        <v>1307.2</v>
      </c>
      <c r="E30" s="83">
        <v>729.18</v>
      </c>
      <c r="F30" s="83">
        <v>687.56</v>
      </c>
      <c r="G30" s="83">
        <v>659.18</v>
      </c>
      <c r="H30" s="83">
        <f t="shared" ref="H30:H33" si="7">SUM(B30:G30)</f>
        <v>6053.7900000000009</v>
      </c>
    </row>
    <row r="31" spans="1:8" x14ac:dyDescent="0.25">
      <c r="A31" t="s">
        <v>317</v>
      </c>
      <c r="B31" s="83">
        <v>3064.68</v>
      </c>
      <c r="C31" s="83">
        <v>3064.68</v>
      </c>
      <c r="D31" s="83">
        <v>3580.55</v>
      </c>
      <c r="E31" s="83">
        <v>3064.68</v>
      </c>
      <c r="F31" s="83">
        <v>3064.68</v>
      </c>
      <c r="G31" s="83">
        <v>3064.68</v>
      </c>
      <c r="H31" s="83">
        <f t="shared" si="7"/>
        <v>18903.95</v>
      </c>
    </row>
    <row r="32" spans="1:8" x14ac:dyDescent="0.25">
      <c r="A32" t="s">
        <v>318</v>
      </c>
      <c r="B32" s="83">
        <v>216.98</v>
      </c>
      <c r="C32" s="83">
        <v>216.98</v>
      </c>
      <c r="D32" s="83">
        <v>216.98</v>
      </c>
      <c r="E32" s="83">
        <v>216.98</v>
      </c>
      <c r="F32" s="83">
        <v>216.98</v>
      </c>
      <c r="G32" s="83">
        <v>216.98</v>
      </c>
      <c r="H32" s="83">
        <f t="shared" si="7"/>
        <v>1301.8799999999999</v>
      </c>
    </row>
    <row r="33" spans="1:8" x14ac:dyDescent="0.25">
      <c r="A33" t="s">
        <v>364</v>
      </c>
      <c r="B33" s="83">
        <v>400</v>
      </c>
      <c r="C33" s="83">
        <v>400</v>
      </c>
      <c r="D33" s="83">
        <v>400</v>
      </c>
      <c r="E33" s="83">
        <v>400</v>
      </c>
      <c r="F33" s="83">
        <v>400</v>
      </c>
      <c r="G33" s="83">
        <v>200</v>
      </c>
      <c r="H33" s="83">
        <f t="shared" si="7"/>
        <v>2200</v>
      </c>
    </row>
    <row r="34" spans="1:8" x14ac:dyDescent="0.25">
      <c r="A34" t="s">
        <v>319</v>
      </c>
      <c r="B34" s="83">
        <v>64.989999999999995</v>
      </c>
      <c r="C34" s="83">
        <v>64.989999999999995</v>
      </c>
      <c r="D34" s="83">
        <v>64.989999999999995</v>
      </c>
      <c r="E34" s="83">
        <v>419.95</v>
      </c>
      <c r="F34" s="83">
        <v>65.09</v>
      </c>
      <c r="G34" s="83">
        <f>64.99+50.66</f>
        <v>115.64999999999999</v>
      </c>
      <c r="H34" s="173">
        <f>SUM(B34:G34)</f>
        <v>795.66</v>
      </c>
    </row>
    <row r="35" spans="1:8" x14ac:dyDescent="0.25">
      <c r="A35" s="58" t="s">
        <v>263</v>
      </c>
      <c r="B35" s="115">
        <f>SUM(B29:B34)</f>
        <v>13970.6</v>
      </c>
      <c r="C35" s="115">
        <f t="shared" ref="C35:H35" si="8">SUM(C29:C34)</f>
        <v>12474.9</v>
      </c>
      <c r="D35" s="115">
        <f t="shared" si="8"/>
        <v>14068.6</v>
      </c>
      <c r="E35" s="115">
        <f t="shared" ref="E35" si="9">SUM(E29:E34)</f>
        <v>13415.130000000001</v>
      </c>
      <c r="F35" s="115">
        <f t="shared" si="8"/>
        <v>13860.41</v>
      </c>
      <c r="G35" s="115">
        <f t="shared" ref="G35" si="10">SUM(G29:G34)</f>
        <v>12864.44</v>
      </c>
      <c r="H35" s="115">
        <f t="shared" si="8"/>
        <v>80654.080000000016</v>
      </c>
    </row>
    <row r="36" spans="1:8" x14ac:dyDescent="0.25">
      <c r="A36" t="s">
        <v>61</v>
      </c>
    </row>
    <row r="37" spans="1:8" x14ac:dyDescent="0.25">
      <c r="A37" s="58" t="s">
        <v>320</v>
      </c>
    </row>
    <row r="38" spans="1:8" x14ac:dyDescent="0.25">
      <c r="A38" t="s">
        <v>265</v>
      </c>
      <c r="B38" s="83">
        <f t="shared" ref="B38:G38" si="11">25000+12500</f>
        <v>37500</v>
      </c>
      <c r="C38" s="83">
        <f t="shared" si="11"/>
        <v>37500</v>
      </c>
      <c r="D38" s="83">
        <f t="shared" si="11"/>
        <v>37500</v>
      </c>
      <c r="E38" s="83">
        <f t="shared" si="11"/>
        <v>37500</v>
      </c>
      <c r="F38" s="83">
        <f t="shared" si="11"/>
        <v>37500</v>
      </c>
      <c r="G38" s="83">
        <f t="shared" si="11"/>
        <v>37500</v>
      </c>
      <c r="H38" s="83">
        <f>SUM(B38:G38)</f>
        <v>225000</v>
      </c>
    </row>
    <row r="39" spans="1:8" x14ac:dyDescent="0.25">
      <c r="A39" t="s">
        <v>321</v>
      </c>
      <c r="B39" s="83">
        <v>8518.2800000000007</v>
      </c>
      <c r="C39" s="83">
        <v>5856.39</v>
      </c>
      <c r="D39" s="83">
        <v>8346.2199999999993</v>
      </c>
      <c r="E39" s="83">
        <v>4857.8599999999997</v>
      </c>
      <c r="F39" s="83">
        <f>5661.41+210.04</f>
        <v>5871.45</v>
      </c>
      <c r="G39" s="83">
        <v>5979.18</v>
      </c>
      <c r="H39" s="83">
        <f>SUM(B39:G39)</f>
        <v>39429.379999999997</v>
      </c>
    </row>
    <row r="40" spans="1:8" x14ac:dyDescent="0.25">
      <c r="A40" t="s">
        <v>322</v>
      </c>
      <c r="B40" s="83">
        <v>150</v>
      </c>
      <c r="C40" s="83">
        <v>150</v>
      </c>
      <c r="D40" s="83">
        <v>150</v>
      </c>
      <c r="E40" s="83">
        <v>150</v>
      </c>
      <c r="F40" s="83">
        <v>150</v>
      </c>
      <c r="G40" s="83">
        <v>150</v>
      </c>
      <c r="H40" s="83">
        <f t="shared" ref="H40:H52" si="12">SUM(B40:G40)</f>
        <v>900</v>
      </c>
    </row>
    <row r="41" spans="1:8" x14ac:dyDescent="0.25">
      <c r="A41" t="s">
        <v>268</v>
      </c>
      <c r="B41" s="83">
        <v>3575</v>
      </c>
      <c r="C41" s="83">
        <v>0</v>
      </c>
      <c r="D41" s="83">
        <v>1210</v>
      </c>
      <c r="E41" s="83">
        <v>1875</v>
      </c>
      <c r="F41" s="83">
        <v>0</v>
      </c>
      <c r="G41" s="83">
        <v>3844.35</v>
      </c>
      <c r="H41" s="83">
        <f t="shared" si="12"/>
        <v>10504.35</v>
      </c>
    </row>
    <row r="42" spans="1:8" x14ac:dyDescent="0.25">
      <c r="A42" t="s">
        <v>323</v>
      </c>
      <c r="B42" s="83">
        <v>959.14</v>
      </c>
      <c r="C42" s="83">
        <v>519.59</v>
      </c>
      <c r="D42" s="83">
        <v>1411.26</v>
      </c>
      <c r="E42" s="83">
        <v>2829.73</v>
      </c>
      <c r="F42" s="83">
        <v>1685.25</v>
      </c>
      <c r="G42" s="83">
        <v>10130.58</v>
      </c>
      <c r="H42" s="83">
        <f t="shared" si="12"/>
        <v>17535.55</v>
      </c>
    </row>
    <row r="43" spans="1:8" x14ac:dyDescent="0.25">
      <c r="A43" t="s">
        <v>271</v>
      </c>
      <c r="B43" s="83">
        <v>5394.18</v>
      </c>
      <c r="C43" s="83">
        <v>5394.18</v>
      </c>
      <c r="D43" s="83">
        <v>5394.18</v>
      </c>
      <c r="E43" s="83">
        <v>5394.18</v>
      </c>
      <c r="F43" s="83">
        <v>5394.18</v>
      </c>
      <c r="G43" s="83">
        <v>5394.18</v>
      </c>
      <c r="H43" s="83">
        <f t="shared" si="12"/>
        <v>32365.08</v>
      </c>
    </row>
    <row r="44" spans="1:8" x14ac:dyDescent="0.25">
      <c r="A44" t="s">
        <v>272</v>
      </c>
      <c r="B44" s="83">
        <v>1568.56</v>
      </c>
      <c r="C44" s="83">
        <v>2423.8000000000002</v>
      </c>
      <c r="D44" s="83">
        <v>2122.8000000000002</v>
      </c>
      <c r="E44" s="83">
        <v>2200</v>
      </c>
      <c r="F44" s="83">
        <v>-1041.1199999999999</v>
      </c>
      <c r="G44" s="83">
        <v>2297.7600000000002</v>
      </c>
      <c r="H44" s="83">
        <f t="shared" si="12"/>
        <v>9571.7999999999993</v>
      </c>
    </row>
    <row r="45" spans="1:8" x14ac:dyDescent="0.25">
      <c r="A45" t="s">
        <v>270</v>
      </c>
      <c r="B45" s="83">
        <v>18020.830000000002</v>
      </c>
      <c r="C45" s="83">
        <v>18020.84</v>
      </c>
      <c r="D45" s="83">
        <v>18020.84</v>
      </c>
      <c r="E45" s="83">
        <v>18020.82</v>
      </c>
      <c r="F45" s="83">
        <v>18020.830000000002</v>
      </c>
      <c r="G45" s="83">
        <v>4868.74</v>
      </c>
      <c r="H45" s="83">
        <f t="shared" si="12"/>
        <v>94972.9</v>
      </c>
    </row>
    <row r="46" spans="1:8" x14ac:dyDescent="0.25">
      <c r="A46" t="s">
        <v>273</v>
      </c>
      <c r="B46" s="83">
        <v>5.49</v>
      </c>
      <c r="C46" s="83">
        <v>0</v>
      </c>
      <c r="D46" s="83">
        <v>100.81</v>
      </c>
      <c r="E46" s="83">
        <v>0</v>
      </c>
      <c r="F46" s="83">
        <v>46.17</v>
      </c>
      <c r="G46" s="83">
        <v>0</v>
      </c>
      <c r="H46" s="83">
        <f t="shared" si="12"/>
        <v>152.47</v>
      </c>
    </row>
    <row r="47" spans="1:8" x14ac:dyDescent="0.25">
      <c r="A47" t="s">
        <v>280</v>
      </c>
      <c r="B47" s="83">
        <v>7320.8</v>
      </c>
      <c r="C47" s="83">
        <v>7321.95</v>
      </c>
      <c r="D47" s="83">
        <v>6956.8</v>
      </c>
      <c r="E47" s="83">
        <v>7611.52</v>
      </c>
      <c r="F47" s="83">
        <v>7241.42</v>
      </c>
      <c r="G47" s="83">
        <v>7612.47</v>
      </c>
      <c r="H47" s="83">
        <f t="shared" si="12"/>
        <v>44064.959999999999</v>
      </c>
    </row>
    <row r="48" spans="1:8" x14ac:dyDescent="0.25">
      <c r="A48" t="s">
        <v>274</v>
      </c>
      <c r="B48" s="83">
        <v>649.54999999999995</v>
      </c>
      <c r="C48" s="83">
        <v>160.78</v>
      </c>
      <c r="D48" s="83">
        <v>278.7</v>
      </c>
      <c r="E48" s="83">
        <v>536.80999999999995</v>
      </c>
      <c r="F48" s="83">
        <v>160.78</v>
      </c>
      <c r="G48" s="83">
        <v>160.78</v>
      </c>
      <c r="H48" s="83">
        <f t="shared" si="12"/>
        <v>1947.3999999999999</v>
      </c>
    </row>
    <row r="49" spans="1:8" x14ac:dyDescent="0.25">
      <c r="A49" t="s">
        <v>324</v>
      </c>
      <c r="B49" s="83">
        <v>9962.11</v>
      </c>
      <c r="C49" s="83">
        <v>10391.68</v>
      </c>
      <c r="D49" s="83">
        <v>10391.68</v>
      </c>
      <c r="E49" s="83">
        <v>10391.68</v>
      </c>
      <c r="F49" s="83">
        <v>10581.56</v>
      </c>
      <c r="G49" s="83">
        <v>10811.59</v>
      </c>
      <c r="H49" s="83">
        <f t="shared" si="12"/>
        <v>62530.3</v>
      </c>
    </row>
    <row r="50" spans="1:8" x14ac:dyDescent="0.25">
      <c r="A50" t="s">
        <v>327</v>
      </c>
      <c r="B50" s="83">
        <v>1351.56</v>
      </c>
      <c r="C50" s="83">
        <v>1938.84</v>
      </c>
      <c r="D50" s="83">
        <v>1938.84</v>
      </c>
      <c r="E50" s="83">
        <v>1937.28</v>
      </c>
      <c r="F50" s="83">
        <v>1939.84</v>
      </c>
      <c r="G50" s="83">
        <v>1568.58</v>
      </c>
      <c r="H50" s="83">
        <f t="shared" si="12"/>
        <v>10674.939999999999</v>
      </c>
    </row>
    <row r="51" spans="1:8" x14ac:dyDescent="0.25">
      <c r="A51" t="s">
        <v>294</v>
      </c>
      <c r="B51" s="83">
        <v>1018.09</v>
      </c>
      <c r="C51" s="83">
        <v>1018.09</v>
      </c>
      <c r="D51" s="83">
        <v>1018.09</v>
      </c>
      <c r="E51" s="83">
        <v>1049.5999999999999</v>
      </c>
      <c r="F51" s="83">
        <v>316.17</v>
      </c>
      <c r="G51" s="83">
        <v>236.46</v>
      </c>
      <c r="H51" s="83">
        <f t="shared" si="12"/>
        <v>4656.5</v>
      </c>
    </row>
    <row r="52" spans="1:8" x14ac:dyDescent="0.25">
      <c r="A52" t="s">
        <v>421</v>
      </c>
      <c r="B52" s="83">
        <v>0</v>
      </c>
      <c r="C52" s="83">
        <v>0</v>
      </c>
      <c r="D52" s="83">
        <v>0</v>
      </c>
      <c r="E52" s="83">
        <v>0</v>
      </c>
      <c r="F52" s="83">
        <v>920.12</v>
      </c>
      <c r="G52" s="83">
        <v>3023.66</v>
      </c>
      <c r="H52" s="173">
        <f t="shared" si="12"/>
        <v>3943.7799999999997</v>
      </c>
    </row>
    <row r="53" spans="1:8" x14ac:dyDescent="0.25">
      <c r="A53" s="58" t="s">
        <v>366</v>
      </c>
      <c r="B53" s="115">
        <f t="shared" ref="B53:H53" si="13">SUM(B38:B52)</f>
        <v>95993.59</v>
      </c>
      <c r="C53" s="115">
        <f t="shared" si="13"/>
        <v>90696.139999999985</v>
      </c>
      <c r="D53" s="115">
        <f t="shared" si="13"/>
        <v>94840.22</v>
      </c>
      <c r="E53" s="115">
        <f t="shared" si="13"/>
        <v>94354.48000000001</v>
      </c>
      <c r="F53" s="115">
        <f t="shared" si="13"/>
        <v>88786.64999999998</v>
      </c>
      <c r="G53" s="115">
        <f t="shared" ref="G53" si="14">SUM(G38:G52)</f>
        <v>93578.330000000016</v>
      </c>
      <c r="H53" s="115">
        <f t="shared" si="13"/>
        <v>558249.40999999992</v>
      </c>
    </row>
    <row r="55" spans="1:8" x14ac:dyDescent="0.25">
      <c r="A55" s="58" t="s">
        <v>325</v>
      </c>
    </row>
    <row r="56" spans="1:8" x14ac:dyDescent="0.25">
      <c r="A56" t="s">
        <v>283</v>
      </c>
      <c r="B56" s="83">
        <v>231.6</v>
      </c>
      <c r="C56" s="83">
        <v>181.9</v>
      </c>
      <c r="D56" s="83">
        <v>151.94999999999999</v>
      </c>
      <c r="E56" s="83">
        <v>135.54</v>
      </c>
      <c r="F56" s="83">
        <v>147.36000000000001</v>
      </c>
      <c r="G56" s="83">
        <v>135.63999999999999</v>
      </c>
      <c r="H56" s="83">
        <f>SUM(B56:G56)</f>
        <v>983.99</v>
      </c>
    </row>
    <row r="57" spans="1:8" x14ac:dyDescent="0.25">
      <c r="A57" t="s">
        <v>284</v>
      </c>
      <c r="B57" s="83">
        <v>763.06</v>
      </c>
      <c r="C57" s="83">
        <v>700.02</v>
      </c>
      <c r="D57" s="83">
        <v>701.8</v>
      </c>
      <c r="E57" s="83">
        <v>709.3</v>
      </c>
      <c r="F57" s="83">
        <v>754.79</v>
      </c>
      <c r="G57" s="83">
        <v>696.33</v>
      </c>
      <c r="H57" s="83">
        <f t="shared" ref="H57:H65" si="15">SUM(B57:G57)</f>
        <v>4325.3</v>
      </c>
    </row>
    <row r="58" spans="1:8" x14ac:dyDescent="0.25">
      <c r="A58" t="s">
        <v>326</v>
      </c>
      <c r="B58" s="83">
        <v>0</v>
      </c>
      <c r="C58" s="83">
        <v>0</v>
      </c>
      <c r="D58" s="83">
        <v>0</v>
      </c>
      <c r="E58" s="83">
        <v>300</v>
      </c>
      <c r="F58" s="83">
        <v>0</v>
      </c>
      <c r="G58" s="83">
        <v>0</v>
      </c>
      <c r="H58" s="83">
        <f t="shared" si="15"/>
        <v>300</v>
      </c>
    </row>
    <row r="59" spans="1:8" x14ac:dyDescent="0.25">
      <c r="A59" t="s">
        <v>338</v>
      </c>
      <c r="B59" s="83">
        <v>0</v>
      </c>
      <c r="C59" s="83">
        <v>1250</v>
      </c>
      <c r="D59" s="83">
        <v>0</v>
      </c>
      <c r="E59" s="83">
        <v>0</v>
      </c>
      <c r="F59" s="83">
        <v>0</v>
      </c>
      <c r="G59" s="83">
        <v>0</v>
      </c>
      <c r="H59" s="83">
        <f t="shared" si="15"/>
        <v>1250</v>
      </c>
    </row>
    <row r="60" spans="1:8" x14ac:dyDescent="0.25">
      <c r="A60" t="s">
        <v>395</v>
      </c>
      <c r="B60" s="83">
        <v>0</v>
      </c>
      <c r="C60" s="83">
        <v>0</v>
      </c>
      <c r="D60" s="83">
        <v>0</v>
      </c>
      <c r="E60" s="83">
        <v>0</v>
      </c>
      <c r="F60" s="83">
        <v>0</v>
      </c>
      <c r="G60" s="83">
        <v>-5776.56</v>
      </c>
      <c r="H60" s="83">
        <f t="shared" si="15"/>
        <v>-5776.56</v>
      </c>
    </row>
    <row r="61" spans="1:8" x14ac:dyDescent="0.25">
      <c r="A61" t="s">
        <v>422</v>
      </c>
      <c r="B61" s="83">
        <v>5000</v>
      </c>
      <c r="C61" s="83">
        <v>5000</v>
      </c>
      <c r="D61" s="83">
        <v>5000</v>
      </c>
      <c r="E61" s="83">
        <v>5000</v>
      </c>
      <c r="F61" s="83">
        <v>5000</v>
      </c>
      <c r="G61" s="83">
        <v>4000</v>
      </c>
      <c r="H61" s="83">
        <f t="shared" si="15"/>
        <v>29000</v>
      </c>
    </row>
    <row r="62" spans="1:8" x14ac:dyDescent="0.25">
      <c r="A62" t="s">
        <v>394</v>
      </c>
      <c r="B62" s="83">
        <v>2250</v>
      </c>
      <c r="C62" s="83">
        <v>2250</v>
      </c>
      <c r="D62" s="83">
        <v>2250</v>
      </c>
      <c r="E62" s="83">
        <v>2250</v>
      </c>
      <c r="F62" s="83">
        <v>2250</v>
      </c>
      <c r="G62" s="83">
        <v>2250</v>
      </c>
      <c r="H62" s="83">
        <f t="shared" si="15"/>
        <v>13500</v>
      </c>
    </row>
    <row r="63" spans="1:8" x14ac:dyDescent="0.25">
      <c r="A63" t="s">
        <v>423</v>
      </c>
      <c r="B63" s="83">
        <v>791.67</v>
      </c>
      <c r="C63" s="83">
        <v>791.67</v>
      </c>
      <c r="D63" s="83">
        <v>791.67</v>
      </c>
      <c r="E63" s="83">
        <v>791.67</v>
      </c>
      <c r="F63" s="83">
        <f>8791.67-8000.01</f>
        <v>791.65999999999985</v>
      </c>
      <c r="G63" s="83">
        <v>666.67</v>
      </c>
      <c r="H63" s="83">
        <f t="shared" si="15"/>
        <v>4625.0099999999993</v>
      </c>
    </row>
    <row r="64" spans="1:8" x14ac:dyDescent="0.25">
      <c r="A64" t="s">
        <v>424</v>
      </c>
      <c r="B64" s="83">
        <v>109</v>
      </c>
      <c r="C64" s="83">
        <v>0</v>
      </c>
      <c r="D64" s="83">
        <v>40</v>
      </c>
      <c r="E64" s="83">
        <v>0</v>
      </c>
      <c r="F64" s="83">
        <v>0</v>
      </c>
      <c r="G64" s="83">
        <v>0</v>
      </c>
      <c r="H64" s="83">
        <f t="shared" si="15"/>
        <v>149</v>
      </c>
    </row>
    <row r="65" spans="1:9" x14ac:dyDescent="0.25">
      <c r="A65" t="s">
        <v>288</v>
      </c>
      <c r="B65" s="83">
        <v>225</v>
      </c>
      <c r="C65" s="83">
        <v>352.5</v>
      </c>
      <c r="D65" s="83">
        <v>0</v>
      </c>
      <c r="E65" s="83">
        <v>0</v>
      </c>
      <c r="F65" s="83">
        <v>0</v>
      </c>
      <c r="G65" s="83">
        <v>650</v>
      </c>
      <c r="H65" s="173">
        <f t="shared" si="15"/>
        <v>1227.5</v>
      </c>
    </row>
    <row r="66" spans="1:9" x14ac:dyDescent="0.25">
      <c r="A66" s="58" t="s">
        <v>328</v>
      </c>
      <c r="B66" s="115">
        <f>SUM(B56:B65)</f>
        <v>9370.33</v>
      </c>
      <c r="C66" s="115">
        <f t="shared" ref="C66:H66" si="16">SUM(C56:C65)</f>
        <v>10526.09</v>
      </c>
      <c r="D66" s="115">
        <f t="shared" si="16"/>
        <v>8935.42</v>
      </c>
      <c r="E66" s="115">
        <f t="shared" ref="E66" si="17">SUM(E56:E65)</f>
        <v>9186.51</v>
      </c>
      <c r="F66" s="115">
        <f t="shared" si="16"/>
        <v>8943.81</v>
      </c>
      <c r="G66" s="115">
        <f t="shared" ref="G66" si="18">SUM(G56:G65)</f>
        <v>2622.08</v>
      </c>
      <c r="H66" s="115">
        <f t="shared" si="16"/>
        <v>49584.24</v>
      </c>
    </row>
    <row r="67" spans="1:9" x14ac:dyDescent="0.25">
      <c r="A67" t="s">
        <v>277</v>
      </c>
    </row>
    <row r="68" spans="1:9" ht="15.75" thickBot="1" x14ac:dyDescent="0.3">
      <c r="A68" s="58" t="s">
        <v>240</v>
      </c>
      <c r="B68" s="116">
        <f t="shared" ref="B68:H68" si="19">B35+B53+B66</f>
        <v>119334.52</v>
      </c>
      <c r="C68" s="116">
        <f t="shared" si="19"/>
        <v>113697.12999999998</v>
      </c>
      <c r="D68" s="116">
        <f t="shared" si="19"/>
        <v>117844.24</v>
      </c>
      <c r="E68" s="116">
        <f t="shared" si="19"/>
        <v>116956.12000000001</v>
      </c>
      <c r="F68" s="116">
        <f t="shared" si="19"/>
        <v>111590.86999999998</v>
      </c>
      <c r="G68" s="116">
        <f t="shared" ref="G68" si="20">G35+G53+G66</f>
        <v>109064.85000000002</v>
      </c>
      <c r="H68" s="116">
        <f t="shared" si="19"/>
        <v>688487.73</v>
      </c>
    </row>
    <row r="70" spans="1:9" x14ac:dyDescent="0.25">
      <c r="A70" s="58" t="s">
        <v>329</v>
      </c>
    </row>
    <row r="71" spans="1:9" x14ac:dyDescent="0.25">
      <c r="A71" t="s">
        <v>330</v>
      </c>
      <c r="B71" s="83">
        <v>12500</v>
      </c>
      <c r="C71" s="83">
        <v>12500</v>
      </c>
      <c r="D71" s="83">
        <v>12500</v>
      </c>
      <c r="E71" s="83">
        <v>12500</v>
      </c>
      <c r="F71" s="83">
        <v>12500</v>
      </c>
      <c r="G71" s="83">
        <v>12500</v>
      </c>
      <c r="H71" s="83">
        <f>SUM(B71:G71)</f>
        <v>75000</v>
      </c>
    </row>
    <row r="72" spans="1:9" x14ac:dyDescent="0.25">
      <c r="A72" t="s">
        <v>302</v>
      </c>
      <c r="B72" s="83">
        <v>2109.7199999999998</v>
      </c>
      <c r="C72" s="83">
        <v>2488.89</v>
      </c>
      <c r="D72" s="83">
        <v>2770.21</v>
      </c>
      <c r="E72" s="83">
        <v>2666.67</v>
      </c>
      <c r="F72" s="83">
        <v>2755.56</v>
      </c>
      <c r="G72" s="83">
        <v>2666.67</v>
      </c>
      <c r="H72" s="83">
        <f>SUM(B72:G72)</f>
        <v>15457.72</v>
      </c>
    </row>
    <row r="73" spans="1:9" x14ac:dyDescent="0.25">
      <c r="A73" s="58" t="s">
        <v>331</v>
      </c>
      <c r="B73" s="115">
        <f>SUM(B71:B72)</f>
        <v>14609.72</v>
      </c>
      <c r="C73" s="115">
        <f t="shared" ref="C73:H73" si="21">SUM(C71:C72)</f>
        <v>14988.89</v>
      </c>
      <c r="D73" s="115">
        <f t="shared" si="21"/>
        <v>15270.21</v>
      </c>
      <c r="E73" s="115">
        <f t="shared" ref="E73" si="22">SUM(E71:E72)</f>
        <v>15166.67</v>
      </c>
      <c r="F73" s="115">
        <f t="shared" si="21"/>
        <v>15255.56</v>
      </c>
      <c r="G73" s="115">
        <f t="shared" ref="G73" si="23">SUM(G71:G72)</f>
        <v>15166.67</v>
      </c>
      <c r="H73" s="115">
        <f t="shared" si="21"/>
        <v>90457.72</v>
      </c>
    </row>
    <row r="75" spans="1:9" ht="15.75" thickBot="1" x14ac:dyDescent="0.3">
      <c r="A75" s="58" t="s">
        <v>332</v>
      </c>
      <c r="B75" s="117">
        <f t="shared" ref="B75:H75" si="24">B25-B68+B73</f>
        <v>-1834.0699999999943</v>
      </c>
      <c r="C75" s="117">
        <f t="shared" si="24"/>
        <v>8655.3500000000204</v>
      </c>
      <c r="D75" s="117">
        <f t="shared" si="24"/>
        <v>83095.280000000028</v>
      </c>
      <c r="E75" s="117">
        <f t="shared" si="24"/>
        <v>32817.569999999978</v>
      </c>
      <c r="F75" s="117">
        <f t="shared" si="24"/>
        <v>177775.43</v>
      </c>
      <c r="G75" s="117">
        <f t="shared" ref="G75" si="25">G25-G68+G73</f>
        <v>87212.919999999955</v>
      </c>
      <c r="H75" s="117">
        <f t="shared" si="24"/>
        <v>387722.48</v>
      </c>
      <c r="I75"/>
    </row>
    <row r="76" spans="1:9" ht="15.75" thickTop="1" x14ac:dyDescent="0.25"/>
    <row r="77" spans="1:9" x14ac:dyDescent="0.25">
      <c r="B77" s="83">
        <v>-1834.07</v>
      </c>
      <c r="C77" s="83">
        <v>8655.35</v>
      </c>
      <c r="D77" s="83">
        <v>83095.28</v>
      </c>
      <c r="E77" s="83">
        <v>32817.57</v>
      </c>
      <c r="F77" s="83">
        <v>177775.43</v>
      </c>
      <c r="G77" s="83">
        <v>87212.92</v>
      </c>
      <c r="H77" s="83">
        <v>387722.48</v>
      </c>
    </row>
    <row r="78" spans="1:9" x14ac:dyDescent="0.25">
      <c r="B78" s="176">
        <f>ROUND((B77-B75),2)</f>
        <v>0</v>
      </c>
      <c r="C78" s="176">
        <f t="shared" ref="C78:H78" si="26">ROUND((C77-C75),2)</f>
        <v>0</v>
      </c>
      <c r="D78" s="176">
        <f t="shared" si="26"/>
        <v>0</v>
      </c>
      <c r="E78" s="176">
        <f t="shared" si="26"/>
        <v>0</v>
      </c>
      <c r="F78" s="176">
        <f t="shared" si="26"/>
        <v>0</v>
      </c>
      <c r="G78" s="176">
        <f t="shared" si="26"/>
        <v>0</v>
      </c>
      <c r="H78" s="176">
        <f t="shared" si="26"/>
        <v>0</v>
      </c>
    </row>
  </sheetData>
  <mergeCells count="3">
    <mergeCell ref="A1:H1"/>
    <mergeCell ref="A2:H2"/>
    <mergeCell ref="A3:H3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2976-5E32-4C40-B495-BB10F59D33DD}">
  <sheetPr>
    <tabColor theme="9" tint="-0.249977111117893"/>
  </sheetPr>
  <dimension ref="A1:K60"/>
  <sheetViews>
    <sheetView view="pageBreakPreview" zoomScale="60" zoomScaleNormal="100" workbookViewId="0">
      <pane ySplit="6" topLeftCell="A17" activePane="bottomLeft" state="frozen"/>
      <selection activeCell="A16" sqref="A16"/>
      <selection pane="bottomLeft" activeCell="F67" sqref="F67"/>
    </sheetView>
  </sheetViews>
  <sheetFormatPr defaultRowHeight="15" x14ac:dyDescent="0.25"/>
  <cols>
    <col min="1" max="1" width="41.28515625" bestFit="1" customWidth="1"/>
    <col min="2" max="2" width="14.140625" style="83" bestFit="1" customWidth="1"/>
    <col min="3" max="3" width="14.42578125" style="83" customWidth="1"/>
    <col min="4" max="4" width="15.140625" style="83" bestFit="1" customWidth="1"/>
    <col min="5" max="7" width="14.7109375" style="83" bestFit="1" customWidth="1"/>
    <col min="8" max="8" width="15.42578125" style="83" bestFit="1" customWidth="1"/>
    <col min="9" max="9" width="8.85546875" style="83"/>
    <col min="10" max="11" width="11.5703125" bestFit="1" customWidth="1"/>
  </cols>
  <sheetData>
    <row r="1" spans="1:8" x14ac:dyDescent="0.25">
      <c r="A1" s="274" t="s">
        <v>368</v>
      </c>
      <c r="B1" s="274"/>
      <c r="C1" s="274"/>
      <c r="D1" s="274"/>
      <c r="E1" s="274"/>
      <c r="F1" s="274"/>
      <c r="G1" s="274"/>
      <c r="H1" s="274"/>
    </row>
    <row r="2" spans="1:8" x14ac:dyDescent="0.25">
      <c r="A2" s="274" t="s">
        <v>306</v>
      </c>
      <c r="B2" s="274"/>
      <c r="C2" s="274"/>
      <c r="D2" s="274"/>
      <c r="E2" s="274"/>
      <c r="F2" s="274"/>
      <c r="G2" s="274"/>
      <c r="H2" s="274"/>
    </row>
    <row r="3" spans="1:8" x14ac:dyDescent="0.25">
      <c r="A3" s="274">
        <v>2018</v>
      </c>
      <c r="B3" s="274"/>
      <c r="C3" s="274"/>
      <c r="D3" s="274"/>
      <c r="E3" s="274"/>
      <c r="F3" s="274"/>
      <c r="G3" s="274"/>
      <c r="H3" s="274"/>
    </row>
    <row r="4" spans="1:8" x14ac:dyDescent="0.25">
      <c r="A4" s="114"/>
      <c r="B4" s="114"/>
      <c r="C4" s="114"/>
      <c r="D4" s="114"/>
      <c r="E4" s="114"/>
      <c r="F4" s="114"/>
      <c r="G4" s="114"/>
      <c r="H4" s="114"/>
    </row>
    <row r="5" spans="1:8" x14ac:dyDescent="0.25">
      <c r="A5" s="114"/>
      <c r="B5" s="114"/>
      <c r="C5" s="114"/>
      <c r="D5" s="114"/>
      <c r="E5" s="114"/>
      <c r="F5" s="114"/>
      <c r="G5" s="114"/>
      <c r="H5" s="114"/>
    </row>
    <row r="6" spans="1:8" x14ac:dyDescent="0.25">
      <c r="B6" s="118" t="s">
        <v>333</v>
      </c>
      <c r="C6" s="118" t="s">
        <v>334</v>
      </c>
      <c r="D6" s="118" t="s">
        <v>335</v>
      </c>
      <c r="E6" s="118" t="s">
        <v>336</v>
      </c>
      <c r="F6" s="118" t="s">
        <v>412</v>
      </c>
      <c r="G6" s="118" t="s">
        <v>456</v>
      </c>
      <c r="H6" s="118" t="s">
        <v>216</v>
      </c>
    </row>
    <row r="7" spans="1:8" x14ac:dyDescent="0.25">
      <c r="A7" s="58" t="s">
        <v>62</v>
      </c>
    </row>
    <row r="8" spans="1:8" x14ac:dyDescent="0.25">
      <c r="A8" t="s">
        <v>340</v>
      </c>
      <c r="B8" s="83">
        <v>1259181.27</v>
      </c>
      <c r="C8" s="83">
        <v>3842825.02</v>
      </c>
      <c r="D8" s="83">
        <v>6380777.25</v>
      </c>
      <c r="E8" s="83">
        <v>7202321.2999999998</v>
      </c>
      <c r="F8" s="83">
        <v>8920930.5899999999</v>
      </c>
      <c r="G8" s="83">
        <v>10255749.529999999</v>
      </c>
      <c r="H8" s="83">
        <f>SUM(B8:G8)</f>
        <v>37861784.960000001</v>
      </c>
    </row>
    <row r="9" spans="1:8" x14ac:dyDescent="0.25">
      <c r="A9" t="s">
        <v>348</v>
      </c>
      <c r="B9" s="83">
        <v>236007.94</v>
      </c>
      <c r="C9" s="83">
        <v>379397.28</v>
      </c>
      <c r="D9" s="83">
        <v>545988.51</v>
      </c>
      <c r="E9" s="83">
        <v>295631.26</v>
      </c>
      <c r="F9" s="83">
        <v>282253.62</v>
      </c>
      <c r="G9" s="83">
        <v>179199.65</v>
      </c>
      <c r="H9" s="83">
        <f t="shared" ref="H9:H14" si="0">SUM(B9:G9)</f>
        <v>1918478.2599999998</v>
      </c>
    </row>
    <row r="10" spans="1:8" x14ac:dyDescent="0.25">
      <c r="A10" t="s">
        <v>349</v>
      </c>
      <c r="B10" s="83">
        <v>61335.59</v>
      </c>
      <c r="C10" s="83">
        <v>17413.54</v>
      </c>
      <c r="D10" s="83">
        <v>27676.38</v>
      </c>
      <c r="E10" s="83">
        <v>53826.559999999998</v>
      </c>
      <c r="F10" s="83">
        <v>37554.74</v>
      </c>
      <c r="G10" s="83">
        <v>14783.41</v>
      </c>
      <c r="H10" s="83">
        <f t="shared" si="0"/>
        <v>212590.22</v>
      </c>
    </row>
    <row r="11" spans="1:8" x14ac:dyDescent="0.25">
      <c r="A11" t="s">
        <v>413</v>
      </c>
      <c r="B11" s="83">
        <v>0</v>
      </c>
      <c r="C11" s="83">
        <v>0</v>
      </c>
      <c r="D11" s="83">
        <v>0</v>
      </c>
      <c r="E11" s="83">
        <v>0</v>
      </c>
      <c r="F11" s="83">
        <v>3310.3</v>
      </c>
      <c r="G11" s="83">
        <v>3202.6</v>
      </c>
      <c r="H11" s="83">
        <f t="shared" si="0"/>
        <v>6512.9</v>
      </c>
    </row>
    <row r="12" spans="1:8" x14ac:dyDescent="0.25">
      <c r="A12" t="s">
        <v>350</v>
      </c>
      <c r="B12" s="83">
        <v>658</v>
      </c>
      <c r="C12" s="83">
        <v>1919</v>
      </c>
      <c r="D12" s="83">
        <v>477</v>
      </c>
      <c r="E12" s="83">
        <v>592.5</v>
      </c>
      <c r="F12" s="83">
        <f>1227.5</f>
        <v>1227.5</v>
      </c>
      <c r="G12" s="83">
        <v>268</v>
      </c>
      <c r="H12" s="83">
        <f t="shared" si="0"/>
        <v>5142</v>
      </c>
    </row>
    <row r="13" spans="1:8" x14ac:dyDescent="0.25">
      <c r="A13" t="s">
        <v>351</v>
      </c>
      <c r="B13" s="83">
        <v>59302.75</v>
      </c>
      <c r="C13" s="83">
        <v>176078.5</v>
      </c>
      <c r="D13" s="83">
        <v>289922.25</v>
      </c>
      <c r="E13" s="83">
        <v>364686</v>
      </c>
      <c r="F13" s="83">
        <v>414150.75</v>
      </c>
      <c r="G13" s="83">
        <v>437152</v>
      </c>
      <c r="H13" s="83">
        <f t="shared" si="0"/>
        <v>1741292.25</v>
      </c>
    </row>
    <row r="14" spans="1:8" x14ac:dyDescent="0.25">
      <c r="A14" t="s">
        <v>352</v>
      </c>
      <c r="B14" s="83">
        <v>-878.76</v>
      </c>
      <c r="C14" s="83">
        <v>0</v>
      </c>
      <c r="D14" s="83">
        <v>0</v>
      </c>
      <c r="E14" s="83">
        <v>-5916</v>
      </c>
      <c r="F14" s="83">
        <v>0</v>
      </c>
      <c r="G14" s="83">
        <v>-50883.01</v>
      </c>
      <c r="H14" s="83">
        <f t="shared" si="0"/>
        <v>-57677.770000000004</v>
      </c>
    </row>
    <row r="15" spans="1:8" x14ac:dyDescent="0.25">
      <c r="A15" s="58" t="s">
        <v>253</v>
      </c>
      <c r="B15" s="115">
        <f t="shared" ref="B15:H15" si="1">SUM(B8:B14)</f>
        <v>1615606.79</v>
      </c>
      <c r="C15" s="115">
        <f t="shared" si="1"/>
        <v>4417633.34</v>
      </c>
      <c r="D15" s="115">
        <f t="shared" si="1"/>
        <v>7244841.3899999997</v>
      </c>
      <c r="E15" s="115">
        <f t="shared" si="1"/>
        <v>7911141.6199999992</v>
      </c>
      <c r="F15" s="115">
        <f t="shared" ref="F15" si="2">SUM(F8:F14)</f>
        <v>9659427.5</v>
      </c>
      <c r="G15" s="115">
        <f t="shared" si="1"/>
        <v>10839472.18</v>
      </c>
      <c r="H15" s="115">
        <f t="shared" si="1"/>
        <v>41688122.819999993</v>
      </c>
    </row>
    <row r="17" spans="1:11" x14ac:dyDescent="0.25">
      <c r="A17" s="58" t="s">
        <v>311</v>
      </c>
      <c r="H17" s="83">
        <f t="shared" ref="H17:H48" si="3">SUM(B17:G17)</f>
        <v>0</v>
      </c>
    </row>
    <row r="18" spans="1:11" x14ac:dyDescent="0.25">
      <c r="A18" t="s">
        <v>341</v>
      </c>
      <c r="B18" s="83">
        <v>1244716.24</v>
      </c>
      <c r="C18" s="83">
        <v>3821573.32</v>
      </c>
      <c r="D18" s="83">
        <v>6368245.5999999996</v>
      </c>
      <c r="E18" s="83">
        <v>7185367.1200000001</v>
      </c>
      <c r="F18" s="83">
        <v>8899243.3100000005</v>
      </c>
      <c r="G18" s="83">
        <v>10161491.619999999</v>
      </c>
      <c r="H18" s="83">
        <f>SUM(B18:G18)</f>
        <v>37680637.210000001</v>
      </c>
    </row>
    <row r="19" spans="1:11" x14ac:dyDescent="0.25">
      <c r="A19" t="s">
        <v>342</v>
      </c>
      <c r="B19" s="83">
        <v>220469.8</v>
      </c>
      <c r="C19" s="83">
        <v>359444.27</v>
      </c>
      <c r="D19" s="83">
        <v>528840.88</v>
      </c>
      <c r="E19" s="83">
        <v>274773.03000000003</v>
      </c>
      <c r="F19" s="83">
        <v>264969.81</v>
      </c>
      <c r="G19" s="83">
        <v>165716.99</v>
      </c>
      <c r="H19" s="83">
        <f t="shared" ref="H19:H30" si="4">SUM(B19:G19)</f>
        <v>1814214.7800000003</v>
      </c>
    </row>
    <row r="20" spans="1:11" x14ac:dyDescent="0.25">
      <c r="A20" t="s">
        <v>343</v>
      </c>
      <c r="B20" s="83">
        <v>58837.5</v>
      </c>
      <c r="C20" s="83">
        <v>16027.01</v>
      </c>
      <c r="D20" s="83">
        <v>26000.22</v>
      </c>
      <c r="E20" s="83">
        <v>51375.17</v>
      </c>
      <c r="F20" s="83">
        <v>34978.86</v>
      </c>
      <c r="G20" s="83">
        <v>13617.04</v>
      </c>
      <c r="H20" s="83">
        <f t="shared" si="4"/>
        <v>200835.80000000002</v>
      </c>
    </row>
    <row r="21" spans="1:11" x14ac:dyDescent="0.25">
      <c r="A21" t="s">
        <v>414</v>
      </c>
      <c r="B21" s="83">
        <v>0</v>
      </c>
      <c r="C21" s="83">
        <v>0</v>
      </c>
      <c r="D21" s="83">
        <v>0</v>
      </c>
      <c r="E21" s="83">
        <v>0</v>
      </c>
      <c r="F21" s="83">
        <v>2079</v>
      </c>
      <c r="G21" s="83">
        <v>2011</v>
      </c>
      <c r="H21" s="83">
        <f t="shared" si="4"/>
        <v>4090</v>
      </c>
    </row>
    <row r="22" spans="1:11" x14ac:dyDescent="0.25">
      <c r="A22" t="s">
        <v>344</v>
      </c>
      <c r="B22" s="83">
        <v>658</v>
      </c>
      <c r="C22" s="83">
        <v>1919</v>
      </c>
      <c r="D22" s="83">
        <v>477</v>
      </c>
      <c r="E22" s="83">
        <v>592.5</v>
      </c>
      <c r="F22" s="83">
        <v>1227.5</v>
      </c>
      <c r="G22" s="83">
        <v>268</v>
      </c>
      <c r="H22" s="83">
        <f t="shared" si="4"/>
        <v>5142</v>
      </c>
    </row>
    <row r="23" spans="1:11" x14ac:dyDescent="0.25">
      <c r="A23" t="s">
        <v>313</v>
      </c>
      <c r="B23" s="83">
        <v>19986.22</v>
      </c>
      <c r="C23" s="83">
        <v>12338.52</v>
      </c>
      <c r="D23" s="83">
        <v>39850.800000000003</v>
      </c>
      <c r="E23" s="83">
        <v>28631.47</v>
      </c>
      <c r="F23" s="83">
        <v>35548.99</v>
      </c>
      <c r="G23" s="83">
        <v>67302.78</v>
      </c>
      <c r="H23" s="83">
        <f t="shared" si="4"/>
        <v>203658.78</v>
      </c>
    </row>
    <row r="24" spans="1:11" x14ac:dyDescent="0.25">
      <c r="A24" t="s">
        <v>345</v>
      </c>
      <c r="B24" s="83">
        <v>-3444.15</v>
      </c>
      <c r="C24" s="83">
        <v>79.5</v>
      </c>
      <c r="D24" s="83">
        <v>-574</v>
      </c>
      <c r="E24" s="83">
        <v>602.98</v>
      </c>
      <c r="F24" s="83">
        <v>-2955.7</v>
      </c>
      <c r="G24" s="83">
        <v>-1504.23</v>
      </c>
      <c r="H24" s="83">
        <f t="shared" si="4"/>
        <v>-7795.6</v>
      </c>
    </row>
    <row r="25" spans="1:11" x14ac:dyDescent="0.25">
      <c r="A25" t="s">
        <v>416</v>
      </c>
      <c r="B25" s="83">
        <v>0</v>
      </c>
      <c r="C25" s="83">
        <v>0</v>
      </c>
      <c r="D25" s="83">
        <v>0</v>
      </c>
      <c r="E25" s="83">
        <v>820.8</v>
      </c>
      <c r="F25" s="83">
        <v>0</v>
      </c>
      <c r="G25" s="83">
        <v>0</v>
      </c>
      <c r="H25" s="83">
        <f t="shared" si="4"/>
        <v>820.8</v>
      </c>
    </row>
    <row r="26" spans="1:11" x14ac:dyDescent="0.25">
      <c r="A26" t="s">
        <v>417</v>
      </c>
      <c r="B26" s="83">
        <v>0</v>
      </c>
      <c r="C26" s="83">
        <v>1.92</v>
      </c>
      <c r="D26" s="83">
        <v>0</v>
      </c>
      <c r="E26" s="83">
        <v>0</v>
      </c>
      <c r="F26" s="83">
        <v>0</v>
      </c>
      <c r="G26" s="83">
        <v>0</v>
      </c>
      <c r="H26" s="83">
        <f t="shared" si="4"/>
        <v>1.92</v>
      </c>
    </row>
    <row r="27" spans="1:11" x14ac:dyDescent="0.25">
      <c r="A27" t="s">
        <v>346</v>
      </c>
      <c r="B27" s="83">
        <v>720.74</v>
      </c>
      <c r="C27" s="83">
        <f>-1643.32</f>
        <v>-1643.32</v>
      </c>
      <c r="D27" s="83">
        <v>3077.78</v>
      </c>
      <c r="E27" s="83">
        <v>0</v>
      </c>
      <c r="F27" s="83">
        <f>-173.2</f>
        <v>-173.2</v>
      </c>
      <c r="G27" s="83">
        <v>1377.51</v>
      </c>
      <c r="H27" s="83">
        <f>SUM(B27:G27)</f>
        <v>3359.51</v>
      </c>
    </row>
    <row r="28" spans="1:11" x14ac:dyDescent="0.25">
      <c r="A28" t="s">
        <v>357</v>
      </c>
      <c r="B28" s="83">
        <v>0</v>
      </c>
      <c r="C28" s="83">
        <v>0</v>
      </c>
      <c r="D28" s="83">
        <v>-3.34</v>
      </c>
      <c r="E28" s="83">
        <v>0</v>
      </c>
      <c r="F28" s="83">
        <v>-38.909999999999997</v>
      </c>
      <c r="G28" s="83">
        <v>0</v>
      </c>
      <c r="H28" s="83">
        <f t="shared" si="4"/>
        <v>-42.25</v>
      </c>
    </row>
    <row r="29" spans="1:11" x14ac:dyDescent="0.25">
      <c r="A29" t="s">
        <v>415</v>
      </c>
      <c r="B29" s="83">
        <v>0</v>
      </c>
      <c r="C29" s="83">
        <v>0</v>
      </c>
      <c r="D29" s="83">
        <v>0</v>
      </c>
      <c r="E29" s="83">
        <v>0</v>
      </c>
      <c r="F29" s="83">
        <v>-4.2</v>
      </c>
      <c r="G29" s="83">
        <v>0</v>
      </c>
      <c r="H29" s="83">
        <f t="shared" si="4"/>
        <v>-4.2</v>
      </c>
    </row>
    <row r="30" spans="1:11" x14ac:dyDescent="0.25">
      <c r="A30" t="s">
        <v>367</v>
      </c>
      <c r="B30" s="83">
        <v>34120.78</v>
      </c>
      <c r="C30" s="83">
        <v>75014.87</v>
      </c>
      <c r="D30" s="83">
        <v>138492.9</v>
      </c>
      <c r="E30" s="83">
        <v>140698.1</v>
      </c>
      <c r="F30" s="83">
        <v>179668.82</v>
      </c>
      <c r="G30" s="83">
        <v>186806.24</v>
      </c>
      <c r="H30" s="83">
        <f t="shared" si="4"/>
        <v>754801.71</v>
      </c>
    </row>
    <row r="31" spans="1:11" x14ac:dyDescent="0.25">
      <c r="A31" t="s">
        <v>347</v>
      </c>
      <c r="B31" s="83">
        <v>38830.42</v>
      </c>
      <c r="C31" s="83">
        <v>54101.21</v>
      </c>
      <c r="D31" s="83">
        <v>74590.929999999993</v>
      </c>
      <c r="E31" s="83">
        <v>87541.119999999995</v>
      </c>
      <c r="F31" s="83">
        <v>119335.27</v>
      </c>
      <c r="G31" s="83">
        <v>112054.49</v>
      </c>
      <c r="H31" s="83">
        <f>SUM(B31:G31)</f>
        <v>486453.44</v>
      </c>
      <c r="J31" s="83"/>
      <c r="K31" s="177"/>
    </row>
    <row r="32" spans="1:11" x14ac:dyDescent="0.25">
      <c r="A32" s="58" t="s">
        <v>314</v>
      </c>
      <c r="B32" s="115">
        <f t="shared" ref="B32:H32" si="5">SUM(B18:B31)</f>
        <v>1614895.55</v>
      </c>
      <c r="C32" s="115">
        <f t="shared" si="5"/>
        <v>4338856.2999999989</v>
      </c>
      <c r="D32" s="115">
        <f t="shared" si="5"/>
        <v>7178998.7699999996</v>
      </c>
      <c r="E32" s="115">
        <f t="shared" si="5"/>
        <v>7770402.29</v>
      </c>
      <c r="F32" s="115">
        <f t="shared" ref="F32" si="6">SUM(F18:F31)</f>
        <v>9533879.5500000026</v>
      </c>
      <c r="G32" s="115">
        <f t="shared" si="5"/>
        <v>10709141.439999998</v>
      </c>
      <c r="H32" s="115">
        <f t="shared" si="5"/>
        <v>41146173.899999991</v>
      </c>
    </row>
    <row r="34" spans="1:8" ht="15.75" thickBot="1" x14ac:dyDescent="0.3">
      <c r="A34" s="58" t="s">
        <v>241</v>
      </c>
      <c r="B34" s="116">
        <f t="shared" ref="B34:H34" si="7">B15-B32</f>
        <v>711.23999999999069</v>
      </c>
      <c r="C34" s="116">
        <f t="shared" si="7"/>
        <v>78777.040000000969</v>
      </c>
      <c r="D34" s="116">
        <f t="shared" si="7"/>
        <v>65842.620000000112</v>
      </c>
      <c r="E34" s="116">
        <f t="shared" si="7"/>
        <v>140739.32999999914</v>
      </c>
      <c r="F34" s="116">
        <f t="shared" ref="F34" si="8">F15-F32</f>
        <v>125547.94999999739</v>
      </c>
      <c r="G34" s="116">
        <f t="shared" si="7"/>
        <v>130330.74000000209</v>
      </c>
      <c r="H34" s="116">
        <f t="shared" si="7"/>
        <v>541948.92000000179</v>
      </c>
    </row>
    <row r="36" spans="1:8" x14ac:dyDescent="0.25">
      <c r="A36" s="58" t="s">
        <v>239</v>
      </c>
    </row>
    <row r="37" spans="1:8" x14ac:dyDescent="0.25">
      <c r="A37" s="58" t="s">
        <v>320</v>
      </c>
    </row>
    <row r="38" spans="1:8" x14ac:dyDescent="0.25">
      <c r="A38" t="s">
        <v>323</v>
      </c>
      <c r="B38" s="83">
        <v>838.82</v>
      </c>
      <c r="C38" s="83">
        <v>672.84</v>
      </c>
      <c r="D38" s="83">
        <v>0</v>
      </c>
      <c r="E38" s="83">
        <v>0</v>
      </c>
      <c r="F38" s="83">
        <v>0</v>
      </c>
      <c r="G38" s="83">
        <v>0</v>
      </c>
      <c r="H38" s="83">
        <f t="shared" si="3"/>
        <v>1511.66</v>
      </c>
    </row>
    <row r="39" spans="1:8" x14ac:dyDescent="0.25">
      <c r="A39" t="s">
        <v>324</v>
      </c>
      <c r="B39" s="83">
        <v>142.41999999999999</v>
      </c>
      <c r="C39" s="83">
        <v>418.29</v>
      </c>
      <c r="D39" s="83">
        <v>418.29</v>
      </c>
      <c r="E39" s="83">
        <v>418.29</v>
      </c>
      <c r="F39" s="83">
        <v>418.29</v>
      </c>
      <c r="G39" s="83">
        <v>418.29</v>
      </c>
      <c r="H39" s="83">
        <f t="shared" si="3"/>
        <v>2233.87</v>
      </c>
    </row>
    <row r="40" spans="1:8" x14ac:dyDescent="0.25">
      <c r="A40" s="58" t="s">
        <v>366</v>
      </c>
      <c r="B40" s="115">
        <f t="shared" ref="B40:H40" si="9">SUM(B38:B39)</f>
        <v>981.24</v>
      </c>
      <c r="C40" s="115">
        <f t="shared" si="9"/>
        <v>1091.1300000000001</v>
      </c>
      <c r="D40" s="115">
        <f t="shared" si="9"/>
        <v>418.29</v>
      </c>
      <c r="E40" s="115">
        <f t="shared" si="9"/>
        <v>418.29</v>
      </c>
      <c r="F40" s="115">
        <f t="shared" ref="F40" si="10">SUM(F38:F39)</f>
        <v>418.29</v>
      </c>
      <c r="G40" s="115">
        <f t="shared" si="9"/>
        <v>418.29</v>
      </c>
      <c r="H40" s="115">
        <f t="shared" si="9"/>
        <v>3745.5299999999997</v>
      </c>
    </row>
    <row r="42" spans="1:8" x14ac:dyDescent="0.25">
      <c r="A42" s="58" t="s">
        <v>325</v>
      </c>
    </row>
    <row r="43" spans="1:8" x14ac:dyDescent="0.25">
      <c r="A43" t="s">
        <v>284</v>
      </c>
      <c r="B43" s="83">
        <v>699.09</v>
      </c>
      <c r="C43" s="83">
        <v>609.66</v>
      </c>
      <c r="D43" s="83">
        <v>670.54</v>
      </c>
      <c r="E43" s="83">
        <v>716.49</v>
      </c>
      <c r="F43" s="83">
        <v>816.61</v>
      </c>
      <c r="G43" s="83">
        <v>992.7</v>
      </c>
      <c r="H43" s="83">
        <f t="shared" si="3"/>
        <v>4505.09</v>
      </c>
    </row>
    <row r="44" spans="1:8" x14ac:dyDescent="0.25">
      <c r="A44" t="s">
        <v>288</v>
      </c>
      <c r="B44" s="83">
        <v>0</v>
      </c>
      <c r="C44" s="83">
        <v>587.5</v>
      </c>
      <c r="D44" s="83">
        <v>0</v>
      </c>
      <c r="E44" s="83">
        <v>0</v>
      </c>
      <c r="F44" s="83">
        <v>0</v>
      </c>
      <c r="G44" s="83">
        <v>99.99</v>
      </c>
      <c r="H44" s="83">
        <f>SUM(B44:G44)</f>
        <v>687.49</v>
      </c>
    </row>
    <row r="45" spans="1:8" x14ac:dyDescent="0.25">
      <c r="A45" t="s">
        <v>294</v>
      </c>
      <c r="B45" s="83">
        <v>0</v>
      </c>
      <c r="C45" s="83">
        <v>0</v>
      </c>
      <c r="D45" s="83">
        <v>672.84</v>
      </c>
      <c r="E45" s="83">
        <v>672.82</v>
      </c>
      <c r="F45" s="83">
        <v>672.82</v>
      </c>
      <c r="G45" s="83">
        <v>672.82</v>
      </c>
      <c r="H45" s="83">
        <f>SUM(B45:G45)</f>
        <v>2691.3</v>
      </c>
    </row>
    <row r="46" spans="1:8" x14ac:dyDescent="0.25">
      <c r="A46" t="s">
        <v>418</v>
      </c>
      <c r="B46" s="83">
        <v>3000</v>
      </c>
      <c r="C46" s="83">
        <v>3000</v>
      </c>
      <c r="D46" s="83">
        <v>3000</v>
      </c>
      <c r="E46" s="83">
        <v>3000</v>
      </c>
      <c r="F46" s="83">
        <v>3000</v>
      </c>
      <c r="G46" s="83">
        <v>2000</v>
      </c>
      <c r="H46" s="83">
        <f t="shared" si="3"/>
        <v>17000</v>
      </c>
    </row>
    <row r="47" spans="1:8" x14ac:dyDescent="0.25">
      <c r="A47" t="s">
        <v>394</v>
      </c>
      <c r="B47" s="83">
        <v>3750</v>
      </c>
      <c r="C47" s="83">
        <v>3750</v>
      </c>
      <c r="D47" s="83">
        <v>3750</v>
      </c>
      <c r="E47" s="83">
        <v>3750</v>
      </c>
      <c r="F47" s="83">
        <v>3750</v>
      </c>
      <c r="G47" s="83">
        <v>3750</v>
      </c>
      <c r="H47" s="83">
        <f t="shared" ref="H47" si="11">SUM(B47:G47)</f>
        <v>22500</v>
      </c>
    </row>
    <row r="48" spans="1:8" x14ac:dyDescent="0.25">
      <c r="A48" t="s">
        <v>419</v>
      </c>
      <c r="B48" s="83">
        <v>109</v>
      </c>
      <c r="C48" s="83">
        <v>29.99</v>
      </c>
      <c r="D48" s="83">
        <v>29.99</v>
      </c>
      <c r="E48" s="83">
        <v>29.99</v>
      </c>
      <c r="F48" s="83">
        <v>0</v>
      </c>
      <c r="G48" s="83">
        <v>29.99</v>
      </c>
      <c r="H48" s="83">
        <f t="shared" si="3"/>
        <v>228.96000000000004</v>
      </c>
    </row>
    <row r="49" spans="1:9" x14ac:dyDescent="0.25">
      <c r="A49" s="58" t="s">
        <v>328</v>
      </c>
      <c r="B49" s="115">
        <f t="shared" ref="B49:H49" si="12">SUM(B43:B48)</f>
        <v>7558.09</v>
      </c>
      <c r="C49" s="115">
        <f t="shared" si="12"/>
        <v>7977.15</v>
      </c>
      <c r="D49" s="115">
        <f t="shared" si="12"/>
        <v>8123.37</v>
      </c>
      <c r="E49" s="115">
        <f t="shared" si="12"/>
        <v>8169.2999999999993</v>
      </c>
      <c r="F49" s="115">
        <f t="shared" ref="F49" si="13">SUM(F43:F48)</f>
        <v>8239.43</v>
      </c>
      <c r="G49" s="115">
        <f t="shared" si="12"/>
        <v>7545.5</v>
      </c>
      <c r="H49" s="115">
        <f t="shared" si="12"/>
        <v>47612.840000000004</v>
      </c>
    </row>
    <row r="50" spans="1:9" x14ac:dyDescent="0.25">
      <c r="A50" t="s">
        <v>277</v>
      </c>
    </row>
    <row r="51" spans="1:9" x14ac:dyDescent="0.25">
      <c r="A51" s="58" t="s">
        <v>353</v>
      </c>
    </row>
    <row r="52" spans="1:9" x14ac:dyDescent="0.25">
      <c r="A52" t="s">
        <v>354</v>
      </c>
      <c r="B52" s="83">
        <v>34022.5</v>
      </c>
      <c r="C52" s="83">
        <v>34265</v>
      </c>
      <c r="D52" s="83">
        <v>34451.25</v>
      </c>
      <c r="E52" s="83">
        <v>34845</v>
      </c>
      <c r="F52" s="83">
        <v>34565</v>
      </c>
      <c r="G52" s="83">
        <v>34906.25</v>
      </c>
      <c r="H52" s="83">
        <f>SUM(B52:G52)</f>
        <v>207055</v>
      </c>
    </row>
    <row r="53" spans="1:9" x14ac:dyDescent="0.25">
      <c r="A53" s="58" t="s">
        <v>420</v>
      </c>
      <c r="B53" s="83">
        <v>0</v>
      </c>
      <c r="C53" s="83">
        <v>0</v>
      </c>
      <c r="D53" s="83">
        <v>0</v>
      </c>
      <c r="E53" s="83">
        <v>0</v>
      </c>
      <c r="F53" s="83">
        <v>31752.38</v>
      </c>
      <c r="G53" s="83">
        <v>5625.56</v>
      </c>
      <c r="H53" s="83">
        <f>SUM(B53:G53)</f>
        <v>37377.94</v>
      </c>
    </row>
    <row r="54" spans="1:9" x14ac:dyDescent="0.25">
      <c r="A54" s="58" t="s">
        <v>302</v>
      </c>
      <c r="B54" s="83">
        <v>0</v>
      </c>
      <c r="C54" s="83">
        <v>0</v>
      </c>
      <c r="D54" s="83">
        <v>0</v>
      </c>
      <c r="E54" s="83">
        <v>-219.74</v>
      </c>
      <c r="F54" s="83">
        <v>-5033.32</v>
      </c>
      <c r="G54" s="83">
        <v>-1000</v>
      </c>
      <c r="H54" s="83">
        <f>SUM(B54:G54)</f>
        <v>-6253.0599999999995</v>
      </c>
    </row>
    <row r="55" spans="1:9" x14ac:dyDescent="0.25">
      <c r="A55" s="58" t="s">
        <v>355</v>
      </c>
      <c r="B55" s="115">
        <f>SUM(B52:B54)</f>
        <v>34022.5</v>
      </c>
      <c r="C55" s="115">
        <f t="shared" ref="C55:H55" si="14">SUM(C52:C54)</f>
        <v>34265</v>
      </c>
      <c r="D55" s="115">
        <f t="shared" si="14"/>
        <v>34451.25</v>
      </c>
      <c r="E55" s="115">
        <f t="shared" si="14"/>
        <v>34625.26</v>
      </c>
      <c r="F55" s="115">
        <f t="shared" ref="F55" si="15">SUM(F52:F54)</f>
        <v>61284.060000000005</v>
      </c>
      <c r="G55" s="115">
        <f t="shared" si="14"/>
        <v>39531.81</v>
      </c>
      <c r="H55" s="115">
        <f t="shared" si="14"/>
        <v>238179.88</v>
      </c>
    </row>
    <row r="57" spans="1:9" ht="15.75" thickBot="1" x14ac:dyDescent="0.3">
      <c r="A57" s="58" t="s">
        <v>240</v>
      </c>
      <c r="B57" s="116">
        <f t="shared" ref="B57:H57" si="16">B40+B49+B55</f>
        <v>42561.83</v>
      </c>
      <c r="C57" s="116">
        <f t="shared" si="16"/>
        <v>43333.279999999999</v>
      </c>
      <c r="D57" s="116">
        <f t="shared" si="16"/>
        <v>42992.91</v>
      </c>
      <c r="E57" s="116">
        <f t="shared" si="16"/>
        <v>43212.850000000006</v>
      </c>
      <c r="F57" s="116">
        <f t="shared" ref="F57" si="17">F40+F49+F55</f>
        <v>69941.78</v>
      </c>
      <c r="G57" s="116">
        <f t="shared" si="16"/>
        <v>47495.6</v>
      </c>
      <c r="H57" s="116">
        <f t="shared" si="16"/>
        <v>289538.25</v>
      </c>
    </row>
    <row r="59" spans="1:9" ht="15.75" thickBot="1" x14ac:dyDescent="0.3">
      <c r="A59" s="58" t="s">
        <v>332</v>
      </c>
      <c r="B59" s="117">
        <f t="shared" ref="B59:H59" si="18">B34-B57</f>
        <v>-41850.590000000011</v>
      </c>
      <c r="C59" s="117">
        <f t="shared" si="18"/>
        <v>35443.76000000097</v>
      </c>
      <c r="D59" s="117">
        <f t="shared" si="18"/>
        <v>22849.710000000108</v>
      </c>
      <c r="E59" s="117">
        <f t="shared" si="18"/>
        <v>97526.479999999137</v>
      </c>
      <c r="F59" s="117">
        <f t="shared" ref="F59" si="19">F34-F57</f>
        <v>55606.169999997393</v>
      </c>
      <c r="G59" s="117">
        <f t="shared" si="18"/>
        <v>82835.14000000208</v>
      </c>
      <c r="H59" s="117">
        <f t="shared" si="18"/>
        <v>252410.67000000179</v>
      </c>
      <c r="I59"/>
    </row>
    <row r="60" spans="1:9" ht="15.75" thickTop="1" x14ac:dyDescent="0.25"/>
  </sheetData>
  <mergeCells count="3">
    <mergeCell ref="A1:H1"/>
    <mergeCell ref="A2:H2"/>
    <mergeCell ref="A3:H3"/>
  </mergeCells>
  <pageMargins left="0.7" right="0.7" top="0.75" bottom="0.75" header="0.3" footer="0.3"/>
  <pageSetup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4EA3-8459-40E5-8D33-7E1539254BBA}">
  <sheetPr>
    <tabColor theme="9" tint="-0.249977111117893"/>
  </sheetPr>
  <dimension ref="A1:I21"/>
  <sheetViews>
    <sheetView view="pageBreakPreview" zoomScale="60" zoomScaleNormal="100" workbookViewId="0">
      <pane ySplit="6" topLeftCell="A7" activePane="bottomLeft" state="frozen"/>
      <selection activeCell="A16" sqref="A16"/>
      <selection pane="bottomLeft" activeCell="H32" sqref="H32"/>
    </sheetView>
  </sheetViews>
  <sheetFormatPr defaultRowHeight="15" x14ac:dyDescent="0.25"/>
  <cols>
    <col min="1" max="1" width="41.28515625" bestFit="1" customWidth="1"/>
    <col min="2" max="7" width="13.28515625" style="83" bestFit="1" customWidth="1"/>
    <col min="8" max="8" width="14.28515625" style="83" bestFit="1" customWidth="1"/>
    <col min="9" max="9" width="9.140625" style="83"/>
  </cols>
  <sheetData>
    <row r="1" spans="1:8" x14ac:dyDescent="0.25">
      <c r="A1" s="274" t="s">
        <v>359</v>
      </c>
      <c r="B1" s="274"/>
      <c r="C1" s="274"/>
      <c r="D1" s="274"/>
      <c r="E1" s="274"/>
      <c r="F1" s="274"/>
      <c r="G1" s="274"/>
      <c r="H1" s="274"/>
    </row>
    <row r="2" spans="1:8" x14ac:dyDescent="0.25">
      <c r="A2" s="274" t="s">
        <v>306</v>
      </c>
      <c r="B2" s="274"/>
      <c r="C2" s="274"/>
      <c r="D2" s="274"/>
      <c r="E2" s="274"/>
      <c r="F2" s="274"/>
      <c r="G2" s="274"/>
      <c r="H2" s="274"/>
    </row>
    <row r="3" spans="1:8" x14ac:dyDescent="0.25">
      <c r="A3" s="274">
        <v>2018</v>
      </c>
      <c r="B3" s="274"/>
      <c r="C3" s="274"/>
      <c r="D3" s="274"/>
      <c r="E3" s="274"/>
      <c r="F3" s="274"/>
      <c r="G3" s="274"/>
      <c r="H3" s="274"/>
    </row>
    <row r="4" spans="1:8" x14ac:dyDescent="0.25">
      <c r="A4" s="114"/>
      <c r="B4" s="114"/>
      <c r="C4" s="114"/>
      <c r="D4" s="114"/>
      <c r="E4" s="114"/>
      <c r="F4" s="114"/>
      <c r="G4" s="114"/>
      <c r="H4" s="114"/>
    </row>
    <row r="5" spans="1:8" x14ac:dyDescent="0.25">
      <c r="A5" s="114"/>
      <c r="B5" s="114"/>
      <c r="C5" s="114"/>
      <c r="D5" s="114"/>
      <c r="E5" s="114"/>
      <c r="F5" s="114"/>
      <c r="G5" s="114"/>
      <c r="H5" s="114"/>
    </row>
    <row r="6" spans="1:8" x14ac:dyDescent="0.25">
      <c r="B6" s="118" t="s">
        <v>333</v>
      </c>
      <c r="C6" s="118" t="s">
        <v>334</v>
      </c>
      <c r="D6" s="118" t="s">
        <v>335</v>
      </c>
      <c r="E6" s="118" t="s">
        <v>336</v>
      </c>
      <c r="F6" s="118" t="s">
        <v>412</v>
      </c>
      <c r="G6" s="118" t="s">
        <v>456</v>
      </c>
      <c r="H6" s="118" t="s">
        <v>216</v>
      </c>
    </row>
    <row r="8" spans="1:8" s="83" customFormat="1" x14ac:dyDescent="0.25">
      <c r="A8" s="58" t="s">
        <v>325</v>
      </c>
    </row>
    <row r="9" spans="1:8" s="83" customFormat="1" x14ac:dyDescent="0.25">
      <c r="A9" t="s">
        <v>284</v>
      </c>
      <c r="B9" s="83">
        <v>218.79</v>
      </c>
      <c r="C9" s="83">
        <v>218.72</v>
      </c>
      <c r="D9" s="83">
        <v>219.51</v>
      </c>
      <c r="E9" s="83">
        <v>218.41</v>
      </c>
      <c r="F9" s="83">
        <v>216.38</v>
      </c>
      <c r="G9" s="83">
        <v>185.13</v>
      </c>
      <c r="H9" s="83">
        <f>SUM(B9:G9)</f>
        <v>1276.94</v>
      </c>
    </row>
    <row r="10" spans="1:8" s="83" customFormat="1" x14ac:dyDescent="0.25">
      <c r="A10" t="s">
        <v>360</v>
      </c>
      <c r="B10" s="83">
        <v>109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f t="shared" ref="H10" si="0">SUM(B10:G10)</f>
        <v>109</v>
      </c>
    </row>
    <row r="11" spans="1:8" s="83" customFormat="1" x14ac:dyDescent="0.25">
      <c r="A11" s="58" t="s">
        <v>328</v>
      </c>
      <c r="B11" s="115">
        <f t="shared" ref="B11:H11" si="1">SUM(B9:B10)</f>
        <v>327.78999999999996</v>
      </c>
      <c r="C11" s="115">
        <f t="shared" si="1"/>
        <v>218.72</v>
      </c>
      <c r="D11" s="115">
        <f t="shared" si="1"/>
        <v>219.51</v>
      </c>
      <c r="E11" s="115">
        <f t="shared" si="1"/>
        <v>218.41</v>
      </c>
      <c r="F11" s="115">
        <f t="shared" ref="F11" si="2">SUM(F9:F10)</f>
        <v>216.38</v>
      </c>
      <c r="G11" s="115">
        <f t="shared" si="1"/>
        <v>185.13</v>
      </c>
      <c r="H11" s="115">
        <f t="shared" si="1"/>
        <v>1385.94</v>
      </c>
    </row>
    <row r="12" spans="1:8" s="83" customFormat="1" x14ac:dyDescent="0.25">
      <c r="A12" t="s">
        <v>277</v>
      </c>
    </row>
    <row r="13" spans="1:8" s="83" customFormat="1" x14ac:dyDescent="0.25">
      <c r="A13" s="58" t="s">
        <v>353</v>
      </c>
    </row>
    <row r="14" spans="1:8" s="83" customFormat="1" x14ac:dyDescent="0.25">
      <c r="A14" t="s">
        <v>302</v>
      </c>
      <c r="B14" s="83">
        <v>3744.3</v>
      </c>
      <c r="C14" s="83">
        <v>2815.01</v>
      </c>
      <c r="D14" s="83">
        <v>3116.6</v>
      </c>
      <c r="E14" s="83">
        <v>2687.25</v>
      </c>
      <c r="F14" s="83">
        <v>3286.89</v>
      </c>
      <c r="G14" s="83">
        <v>5798.93</v>
      </c>
      <c r="H14" s="83">
        <f>SUM(B14:G14)</f>
        <v>21448.98</v>
      </c>
    </row>
    <row r="15" spans="1:8" s="83" customFormat="1" x14ac:dyDescent="0.25">
      <c r="A15" t="s">
        <v>303</v>
      </c>
      <c r="B15" s="83">
        <v>-881.76</v>
      </c>
      <c r="C15" s="83">
        <v>-506.4</v>
      </c>
      <c r="D15" s="83">
        <v>-560.66</v>
      </c>
      <c r="E15" s="83">
        <v>-542.57000000000005</v>
      </c>
      <c r="F15" s="83">
        <v>-280.69</v>
      </c>
      <c r="G15" s="83">
        <v>-562.42999999999995</v>
      </c>
      <c r="H15" s="83">
        <f>SUM(B15:G15)</f>
        <v>-3334.5099999999998</v>
      </c>
    </row>
    <row r="16" spans="1:8" s="83" customFormat="1" x14ac:dyDescent="0.25">
      <c r="A16" t="s">
        <v>395</v>
      </c>
      <c r="B16" s="83">
        <v>0</v>
      </c>
      <c r="C16" s="83">
        <v>0</v>
      </c>
      <c r="D16" s="83">
        <v>0</v>
      </c>
      <c r="E16" s="83">
        <v>0</v>
      </c>
      <c r="F16" s="83">
        <v>-1250</v>
      </c>
      <c r="G16" s="83">
        <v>-1250</v>
      </c>
      <c r="H16" s="83">
        <f t="shared" ref="H16:H17" si="3">SUM(B16:G16)</f>
        <v>-2500</v>
      </c>
    </row>
    <row r="17" spans="1:9" s="83" customFormat="1" x14ac:dyDescent="0.25">
      <c r="A17" t="s">
        <v>463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3">
        <v>-270</v>
      </c>
      <c r="H17" s="83">
        <f t="shared" si="3"/>
        <v>-270</v>
      </c>
    </row>
    <row r="18" spans="1:9" s="83" customFormat="1" x14ac:dyDescent="0.25">
      <c r="A18" s="58" t="s">
        <v>355</v>
      </c>
      <c r="B18" s="115">
        <f>SUM(B14:B17)</f>
        <v>2862.54</v>
      </c>
      <c r="C18" s="115">
        <f t="shared" ref="C18:E18" si="4">SUM(C14:C17)</f>
        <v>2308.61</v>
      </c>
      <c r="D18" s="115">
        <f t="shared" si="4"/>
        <v>2555.94</v>
      </c>
      <c r="E18" s="115">
        <f t="shared" si="4"/>
        <v>2144.6799999999998</v>
      </c>
      <c r="F18" s="115">
        <f t="shared" ref="F18" si="5">SUM(F14:F17)</f>
        <v>1756.1999999999998</v>
      </c>
      <c r="G18" s="115">
        <f>SUM(G14:G17)</f>
        <v>3716.5</v>
      </c>
      <c r="H18" s="115">
        <f>SUM(H14:H17)</f>
        <v>15344.470000000001</v>
      </c>
    </row>
    <row r="20" spans="1:9" ht="15.75" thickBot="1" x14ac:dyDescent="0.3">
      <c r="A20" s="58" t="s">
        <v>332</v>
      </c>
      <c r="B20" s="117">
        <f>B18-B11</f>
        <v>2534.75</v>
      </c>
      <c r="C20" s="117">
        <f t="shared" ref="C20:G20" si="6">C18-C11</f>
        <v>2089.8900000000003</v>
      </c>
      <c r="D20" s="117">
        <f t="shared" si="6"/>
        <v>2336.4300000000003</v>
      </c>
      <c r="E20" s="117">
        <f t="shared" ref="E20:F20" si="7">E18-E11</f>
        <v>1926.2699999999998</v>
      </c>
      <c r="F20" s="117">
        <f t="shared" si="7"/>
        <v>1539.8199999999997</v>
      </c>
      <c r="G20" s="117">
        <f t="shared" si="6"/>
        <v>3531.37</v>
      </c>
      <c r="H20" s="117">
        <f>H18-H11</f>
        <v>13958.53</v>
      </c>
      <c r="I20"/>
    </row>
    <row r="21" spans="1:9" ht="15.75" thickTop="1" x14ac:dyDescent="0.25"/>
  </sheetData>
  <mergeCells count="3">
    <mergeCell ref="A1:H1"/>
    <mergeCell ref="A2:H2"/>
    <mergeCell ref="A3:H3"/>
  </mergeCells>
  <pageMargins left="0.7" right="0.7" top="0.75" bottom="0.75" header="0.3" footer="0.3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357A-4B88-4B90-AAD9-1420B2979BC4}">
  <sheetPr>
    <tabColor theme="9" tint="-0.249977111117893"/>
  </sheetPr>
  <dimension ref="A1:I85"/>
  <sheetViews>
    <sheetView view="pageBreakPreview" zoomScale="60" zoomScaleNormal="100" workbookViewId="0">
      <pane ySplit="6" topLeftCell="A55" activePane="bottomLeft" state="frozen"/>
      <selection activeCell="A16" sqref="A16"/>
      <selection pane="bottomLeft" activeCell="G84" sqref="G84"/>
    </sheetView>
  </sheetViews>
  <sheetFormatPr defaultRowHeight="15" x14ac:dyDescent="0.25"/>
  <cols>
    <col min="1" max="1" width="44.42578125" bestFit="1" customWidth="1"/>
    <col min="2" max="3" width="13" style="83" bestFit="1" customWidth="1"/>
    <col min="4" max="4" width="13.42578125" style="83" bestFit="1" customWidth="1"/>
    <col min="5" max="7" width="13" style="83" bestFit="1" customWidth="1"/>
    <col min="8" max="8" width="13.42578125" style="83" bestFit="1" customWidth="1"/>
    <col min="9" max="9" width="9.140625" style="83"/>
    <col min="10" max="10" width="9.5703125" bestFit="1" customWidth="1"/>
    <col min="12" max="12" width="11.5703125" bestFit="1" customWidth="1"/>
  </cols>
  <sheetData>
    <row r="1" spans="1:8" x14ac:dyDescent="0.25">
      <c r="A1" s="274" t="s">
        <v>380</v>
      </c>
      <c r="B1" s="274"/>
      <c r="C1" s="274"/>
      <c r="D1" s="274"/>
      <c r="E1" s="274"/>
      <c r="F1" s="274"/>
      <c r="G1" s="274"/>
      <c r="H1" s="274"/>
    </row>
    <row r="2" spans="1:8" x14ac:dyDescent="0.25">
      <c r="A2" s="274" t="s">
        <v>306</v>
      </c>
      <c r="B2" s="274"/>
      <c r="C2" s="274"/>
      <c r="D2" s="274"/>
      <c r="E2" s="274"/>
      <c r="F2" s="274"/>
      <c r="G2" s="274"/>
      <c r="H2" s="274"/>
    </row>
    <row r="3" spans="1:8" x14ac:dyDescent="0.25">
      <c r="A3" s="274">
        <v>2018</v>
      </c>
      <c r="B3" s="274"/>
      <c r="C3" s="274"/>
      <c r="D3" s="274"/>
      <c r="E3" s="274"/>
      <c r="F3" s="274"/>
      <c r="G3" s="274"/>
      <c r="H3" s="274"/>
    </row>
    <row r="4" spans="1:8" x14ac:dyDescent="0.25">
      <c r="A4" s="114"/>
      <c r="B4" s="114"/>
      <c r="C4" s="114"/>
      <c r="D4" s="114"/>
      <c r="E4" s="114"/>
      <c r="F4" s="114"/>
      <c r="G4" s="114"/>
      <c r="H4" s="114"/>
    </row>
    <row r="5" spans="1:8" x14ac:dyDescent="0.25">
      <c r="A5" s="114"/>
      <c r="B5" s="114"/>
      <c r="C5" s="114"/>
      <c r="D5" s="114"/>
      <c r="E5" s="114"/>
      <c r="F5" s="114"/>
      <c r="G5" s="114"/>
      <c r="H5" s="114"/>
    </row>
    <row r="6" spans="1:8" x14ac:dyDescent="0.25">
      <c r="B6" s="118" t="s">
        <v>333</v>
      </c>
      <c r="C6" s="118" t="s">
        <v>334</v>
      </c>
      <c r="D6" s="118" t="s">
        <v>335</v>
      </c>
      <c r="E6" s="118" t="s">
        <v>336</v>
      </c>
      <c r="F6" s="118" t="s">
        <v>412</v>
      </c>
      <c r="G6" s="118" t="s">
        <v>456</v>
      </c>
      <c r="H6" s="118" t="s">
        <v>216</v>
      </c>
    </row>
    <row r="7" spans="1:8" x14ac:dyDescent="0.25">
      <c r="A7" s="58" t="s">
        <v>62</v>
      </c>
    </row>
    <row r="8" spans="1:8" x14ac:dyDescent="0.25">
      <c r="A8" t="s">
        <v>381</v>
      </c>
      <c r="B8" s="83">
        <v>365</v>
      </c>
      <c r="C8" s="83">
        <v>372</v>
      </c>
      <c r="D8" s="83">
        <v>340</v>
      </c>
      <c r="E8" s="83">
        <v>208</v>
      </c>
      <c r="F8" s="83">
        <v>0</v>
      </c>
      <c r="G8" s="83">
        <v>65</v>
      </c>
      <c r="H8" s="83">
        <f>SUM(B8:G8)</f>
        <v>1350</v>
      </c>
    </row>
    <row r="9" spans="1:8" x14ac:dyDescent="0.25">
      <c r="A9" t="s">
        <v>382</v>
      </c>
      <c r="B9" s="83">
        <v>697</v>
      </c>
      <c r="C9" s="83">
        <v>736</v>
      </c>
      <c r="D9" s="83">
        <v>692</v>
      </c>
      <c r="E9" s="83">
        <v>462</v>
      </c>
      <c r="F9" s="83">
        <v>0</v>
      </c>
      <c r="G9" s="83">
        <v>89</v>
      </c>
      <c r="H9" s="83">
        <f t="shared" ref="H9:H13" si="0">SUM(B9:G9)</f>
        <v>2676</v>
      </c>
    </row>
    <row r="10" spans="1:8" x14ac:dyDescent="0.25">
      <c r="A10" t="s">
        <v>406</v>
      </c>
      <c r="B10" s="83">
        <v>207.81</v>
      </c>
      <c r="C10" s="83">
        <v>0</v>
      </c>
      <c r="D10" s="83">
        <v>101.02</v>
      </c>
      <c r="E10" s="83">
        <f>55.84+184</f>
        <v>239.84</v>
      </c>
      <c r="F10" s="83">
        <v>52.71</v>
      </c>
      <c r="G10" s="83">
        <v>12.7</v>
      </c>
      <c r="H10" s="83">
        <f t="shared" si="0"/>
        <v>614.08000000000004</v>
      </c>
    </row>
    <row r="11" spans="1:8" x14ac:dyDescent="0.25">
      <c r="A11" t="s">
        <v>384</v>
      </c>
      <c r="B11" s="83">
        <v>55.65</v>
      </c>
      <c r="C11" s="83">
        <v>1299.6300000000001</v>
      </c>
      <c r="D11" s="83">
        <v>1258.3699999999999</v>
      </c>
      <c r="E11" s="83">
        <v>992.9</v>
      </c>
      <c r="F11" s="83">
        <v>403.64</v>
      </c>
      <c r="G11" s="83">
        <v>147.37</v>
      </c>
      <c r="H11" s="83">
        <f t="shared" si="0"/>
        <v>4157.5600000000004</v>
      </c>
    </row>
    <row r="12" spans="1:8" x14ac:dyDescent="0.25">
      <c r="A12" t="s">
        <v>383</v>
      </c>
      <c r="B12" s="83">
        <v>904.5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f t="shared" si="0"/>
        <v>904.5</v>
      </c>
    </row>
    <row r="13" spans="1:8" x14ac:dyDescent="0.25">
      <c r="A13" t="s">
        <v>385</v>
      </c>
      <c r="B13" s="83">
        <v>140541.41</v>
      </c>
      <c r="C13" s="83">
        <v>129527.17</v>
      </c>
      <c r="D13" s="83">
        <v>122190.47</v>
      </c>
      <c r="E13" s="83">
        <v>75732.429999999993</v>
      </c>
      <c r="F13" s="83">
        <v>28298</v>
      </c>
      <c r="G13" s="83">
        <v>13693.62</v>
      </c>
      <c r="H13" s="83">
        <f t="shared" si="0"/>
        <v>509983.10000000003</v>
      </c>
    </row>
    <row r="14" spans="1:8" s="83" customFormat="1" x14ac:dyDescent="0.25">
      <c r="A14" s="58" t="s">
        <v>253</v>
      </c>
      <c r="B14" s="115">
        <f t="shared" ref="B14:H14" si="1">SUM(B8:B13)</f>
        <v>142771.37</v>
      </c>
      <c r="C14" s="115">
        <f t="shared" si="1"/>
        <v>131934.79999999999</v>
      </c>
      <c r="D14" s="115">
        <f t="shared" si="1"/>
        <v>124581.86</v>
      </c>
      <c r="E14" s="115">
        <f t="shared" si="1"/>
        <v>77635.17</v>
      </c>
      <c r="F14" s="115">
        <f t="shared" ref="F14" si="2">SUM(F8:F13)</f>
        <v>28754.35</v>
      </c>
      <c r="G14" s="115">
        <f t="shared" si="1"/>
        <v>14007.69</v>
      </c>
      <c r="H14" s="115">
        <f t="shared" si="1"/>
        <v>519685.24000000005</v>
      </c>
    </row>
    <row r="16" spans="1:8" s="83" customFormat="1" x14ac:dyDescent="0.25">
      <c r="A16" s="58"/>
    </row>
    <row r="17" spans="1:8" s="83" customFormat="1" x14ac:dyDescent="0.25">
      <c r="A17" t="s">
        <v>386</v>
      </c>
      <c r="B17" s="83">
        <v>489.92</v>
      </c>
      <c r="C17" s="83">
        <v>578.66999999999996</v>
      </c>
      <c r="D17" s="83">
        <v>0</v>
      </c>
      <c r="E17" s="83">
        <v>0</v>
      </c>
      <c r="F17" s="83">
        <v>0</v>
      </c>
      <c r="G17" s="83">
        <v>579.63</v>
      </c>
      <c r="H17" s="83">
        <f>SUM(B17:G17)</f>
        <v>1648.2199999999998</v>
      </c>
    </row>
    <row r="18" spans="1:8" s="83" customFormat="1" x14ac:dyDescent="0.25">
      <c r="A18" s="58" t="s">
        <v>314</v>
      </c>
      <c r="B18" s="115">
        <f t="shared" ref="B18:H18" si="3">SUM(B17:B17)</f>
        <v>489.92</v>
      </c>
      <c r="C18" s="115">
        <f t="shared" si="3"/>
        <v>578.66999999999996</v>
      </c>
      <c r="D18" s="115">
        <f t="shared" si="3"/>
        <v>0</v>
      </c>
      <c r="E18" s="115">
        <f t="shared" si="3"/>
        <v>0</v>
      </c>
      <c r="F18" s="115">
        <f t="shared" ref="F18" si="4">SUM(F17:F17)</f>
        <v>0</v>
      </c>
      <c r="G18" s="115">
        <f t="shared" si="3"/>
        <v>579.63</v>
      </c>
      <c r="H18" s="115">
        <f t="shared" si="3"/>
        <v>1648.2199999999998</v>
      </c>
    </row>
    <row r="20" spans="1:8" s="83" customFormat="1" ht="15.75" thickBot="1" x14ac:dyDescent="0.3">
      <c r="A20" s="58" t="s">
        <v>241</v>
      </c>
      <c r="B20" s="116">
        <f t="shared" ref="B20:H20" si="5">B14-B18</f>
        <v>142281.44999999998</v>
      </c>
      <c r="C20" s="116">
        <f t="shared" si="5"/>
        <v>131356.12999999998</v>
      </c>
      <c r="D20" s="116">
        <f t="shared" si="5"/>
        <v>124581.86</v>
      </c>
      <c r="E20" s="116">
        <f t="shared" si="5"/>
        <v>77635.17</v>
      </c>
      <c r="F20" s="116">
        <f t="shared" ref="F20" si="6">F14-F18</f>
        <v>28754.35</v>
      </c>
      <c r="G20" s="116">
        <f t="shared" si="5"/>
        <v>13428.060000000001</v>
      </c>
      <c r="H20" s="116">
        <f t="shared" si="5"/>
        <v>518037.02000000008</v>
      </c>
    </row>
    <row r="22" spans="1:8" s="83" customFormat="1" x14ac:dyDescent="0.25">
      <c r="A22" s="58" t="s">
        <v>239</v>
      </c>
    </row>
    <row r="23" spans="1:8" s="83" customFormat="1" x14ac:dyDescent="0.25">
      <c r="A23" t="s">
        <v>255</v>
      </c>
      <c r="H23" s="83">
        <f t="shared" ref="H23" si="7">SUM(B23:E23)</f>
        <v>0</v>
      </c>
    </row>
    <row r="24" spans="1:8" s="83" customFormat="1" x14ac:dyDescent="0.25">
      <c r="A24" t="s">
        <v>315</v>
      </c>
      <c r="B24" s="83">
        <v>15834.2</v>
      </c>
      <c r="C24" s="83">
        <v>24166.18</v>
      </c>
      <c r="D24" s="83">
        <v>37081.71</v>
      </c>
      <c r="E24" s="83">
        <v>20886.21</v>
      </c>
      <c r="F24" s="83">
        <v>18251.09</v>
      </c>
      <c r="G24" s="83">
        <v>16382.41</v>
      </c>
      <c r="H24" s="83">
        <f>SUM(B24:G24)</f>
        <v>132601.79999999999</v>
      </c>
    </row>
    <row r="25" spans="1:8" s="83" customFormat="1" x14ac:dyDescent="0.25">
      <c r="A25" t="s">
        <v>316</v>
      </c>
      <c r="B25" s="83">
        <v>1521.73</v>
      </c>
      <c r="C25" s="83">
        <v>2302.9</v>
      </c>
      <c r="D25" s="83">
        <v>3377.89</v>
      </c>
      <c r="E25" s="83">
        <v>1767.49</v>
      </c>
      <c r="F25" s="83">
        <v>1425.45</v>
      </c>
      <c r="G25" s="83">
        <v>1258.53</v>
      </c>
      <c r="H25" s="83">
        <f t="shared" ref="H25:H31" si="8">SUM(B25:G25)</f>
        <v>11653.990000000002</v>
      </c>
    </row>
    <row r="26" spans="1:8" s="83" customFormat="1" x14ac:dyDescent="0.25">
      <c r="A26" t="s">
        <v>317</v>
      </c>
      <c r="B26" s="83">
        <v>5181.21</v>
      </c>
      <c r="C26" s="83">
        <v>5181.21</v>
      </c>
      <c r="D26" s="83">
        <v>5370.82</v>
      </c>
      <c r="E26" s="83">
        <v>5181.21</v>
      </c>
      <c r="F26" s="83">
        <v>5181.21</v>
      </c>
      <c r="G26" s="83">
        <v>5181.21</v>
      </c>
      <c r="H26" s="83">
        <f t="shared" si="8"/>
        <v>31276.87</v>
      </c>
    </row>
    <row r="27" spans="1:8" s="83" customFormat="1" x14ac:dyDescent="0.25">
      <c r="A27" t="s">
        <v>318</v>
      </c>
      <c r="B27" s="83">
        <v>362.79</v>
      </c>
      <c r="C27" s="83">
        <v>362.79</v>
      </c>
      <c r="D27" s="83">
        <v>0</v>
      </c>
      <c r="E27" s="83">
        <v>362.79</v>
      </c>
      <c r="F27" s="83">
        <v>362.79</v>
      </c>
      <c r="G27" s="83">
        <v>362.79</v>
      </c>
      <c r="H27" s="83">
        <f t="shared" si="8"/>
        <v>1813.95</v>
      </c>
    </row>
    <row r="28" spans="1:8" s="83" customFormat="1" x14ac:dyDescent="0.25">
      <c r="A28" t="s">
        <v>388</v>
      </c>
      <c r="B28" s="83">
        <v>131.22999999999999</v>
      </c>
      <c r="C28" s="83">
        <v>131.22999999999999</v>
      </c>
      <c r="D28" s="83">
        <v>131.13</v>
      </c>
      <c r="E28" s="83">
        <v>131.22999999999999</v>
      </c>
      <c r="F28" s="83">
        <v>131.22999999999999</v>
      </c>
      <c r="G28" s="83">
        <v>131.22999999999999</v>
      </c>
      <c r="H28" s="83">
        <f t="shared" si="8"/>
        <v>787.28</v>
      </c>
    </row>
    <row r="29" spans="1:8" s="83" customFormat="1" x14ac:dyDescent="0.25">
      <c r="A29" t="s">
        <v>364</v>
      </c>
      <c r="B29" s="83">
        <v>450</v>
      </c>
      <c r="C29" s="83">
        <v>450</v>
      </c>
      <c r="D29" s="83">
        <v>450</v>
      </c>
      <c r="E29" s="83">
        <v>450</v>
      </c>
      <c r="F29" s="83">
        <v>450</v>
      </c>
      <c r="G29" s="83">
        <v>500</v>
      </c>
      <c r="H29" s="83">
        <f t="shared" si="8"/>
        <v>2750</v>
      </c>
    </row>
    <row r="30" spans="1:8" s="83" customFormat="1" x14ac:dyDescent="0.25">
      <c r="A30" t="s">
        <v>319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  <c r="G30" s="83">
        <v>1575.5</v>
      </c>
      <c r="H30" s="83">
        <f t="shared" si="8"/>
        <v>1575.5</v>
      </c>
    </row>
    <row r="31" spans="1:8" s="83" customFormat="1" x14ac:dyDescent="0.25">
      <c r="A31" t="s">
        <v>387</v>
      </c>
      <c r="B31" s="83">
        <v>6984.2</v>
      </c>
      <c r="C31" s="83">
        <v>11650.4</v>
      </c>
      <c r="D31" s="83">
        <v>16897.400000000001</v>
      </c>
      <c r="E31" s="83">
        <v>4709.3999999999996</v>
      </c>
      <c r="F31" s="83">
        <v>1677.6</v>
      </c>
      <c r="G31" s="83">
        <v>1704</v>
      </c>
      <c r="H31" s="83">
        <f t="shared" si="8"/>
        <v>43623</v>
      </c>
    </row>
    <row r="32" spans="1:8" s="83" customFormat="1" x14ac:dyDescent="0.25">
      <c r="A32" s="58" t="s">
        <v>263</v>
      </c>
      <c r="B32" s="115">
        <f>SUM(B24:B31)</f>
        <v>30465.360000000001</v>
      </c>
      <c r="C32" s="115">
        <f t="shared" ref="C32:H32" si="9">SUM(C24:C31)</f>
        <v>44244.71</v>
      </c>
      <c r="D32" s="115">
        <f t="shared" si="9"/>
        <v>63308.95</v>
      </c>
      <c r="E32" s="115">
        <f t="shared" si="9"/>
        <v>33488.33</v>
      </c>
      <c r="F32" s="115">
        <f t="shared" ref="F32:G32" si="10">SUM(F24:F31)</f>
        <v>27479.37</v>
      </c>
      <c r="G32" s="115">
        <f t="shared" si="10"/>
        <v>27095.67</v>
      </c>
      <c r="H32" s="115">
        <f t="shared" si="9"/>
        <v>226082.38999999998</v>
      </c>
    </row>
    <row r="33" spans="1:8" s="83" customFormat="1" x14ac:dyDescent="0.25">
      <c r="A33" t="s">
        <v>61</v>
      </c>
    </row>
    <row r="34" spans="1:8" s="83" customFormat="1" x14ac:dyDescent="0.25">
      <c r="A34" s="58" t="s">
        <v>320</v>
      </c>
    </row>
    <row r="35" spans="1:8" s="83" customFormat="1" x14ac:dyDescent="0.25">
      <c r="A35" t="s">
        <v>265</v>
      </c>
      <c r="B35" s="83">
        <v>1000</v>
      </c>
      <c r="C35" s="83">
        <v>1000</v>
      </c>
      <c r="D35" s="83">
        <v>1000</v>
      </c>
      <c r="E35" s="83">
        <v>1000</v>
      </c>
      <c r="F35" s="83">
        <v>1000</v>
      </c>
      <c r="G35" s="83">
        <v>1000</v>
      </c>
      <c r="H35" s="83">
        <f>SUM(B35:G35)</f>
        <v>6000</v>
      </c>
    </row>
    <row r="36" spans="1:8" s="83" customFormat="1" x14ac:dyDescent="0.25">
      <c r="A36" t="s">
        <v>267</v>
      </c>
      <c r="B36" s="83">
        <v>18970.560000000001</v>
      </c>
      <c r="C36" s="83">
        <v>2008.94</v>
      </c>
      <c r="D36" s="83">
        <v>22275.65</v>
      </c>
      <c r="E36" s="83">
        <v>11359.93</v>
      </c>
      <c r="F36" s="83">
        <v>3739.77</v>
      </c>
      <c r="G36" s="83">
        <v>91.8</v>
      </c>
      <c r="H36" s="83">
        <f t="shared" ref="H36:H54" si="11">SUM(B36:G36)</f>
        <v>58446.65</v>
      </c>
    </row>
    <row r="37" spans="1:8" s="83" customFormat="1" x14ac:dyDescent="0.25">
      <c r="A37" t="s">
        <v>266</v>
      </c>
      <c r="B37" s="83">
        <v>883.5</v>
      </c>
      <c r="C37" s="83">
        <v>864.5</v>
      </c>
      <c r="D37" s="83">
        <v>800</v>
      </c>
      <c r="E37" s="83">
        <v>739.5</v>
      </c>
      <c r="F37" s="83">
        <v>416</v>
      </c>
      <c r="G37" s="83">
        <v>379.5</v>
      </c>
      <c r="H37" s="83">
        <f t="shared" si="11"/>
        <v>4083</v>
      </c>
    </row>
    <row r="38" spans="1:8" s="83" customFormat="1" x14ac:dyDescent="0.25">
      <c r="A38" t="s">
        <v>369</v>
      </c>
      <c r="B38" s="83">
        <v>233.88</v>
      </c>
      <c r="C38" s="83">
        <v>0</v>
      </c>
      <c r="D38" s="83">
        <v>0</v>
      </c>
      <c r="E38" s="83">
        <v>0</v>
      </c>
      <c r="F38" s="83">
        <v>1298.1400000000001</v>
      </c>
      <c r="G38" s="83">
        <v>0</v>
      </c>
      <c r="H38" s="83">
        <f t="shared" si="11"/>
        <v>1532.02</v>
      </c>
    </row>
    <row r="39" spans="1:8" s="83" customFormat="1" x14ac:dyDescent="0.25">
      <c r="A39" t="s">
        <v>322</v>
      </c>
      <c r="B39" s="83">
        <v>624.76</v>
      </c>
      <c r="C39" s="83">
        <v>504.76</v>
      </c>
      <c r="D39" s="83">
        <v>624.76</v>
      </c>
      <c r="E39" s="83">
        <v>624.76</v>
      </c>
      <c r="F39" s="83">
        <v>624.76</v>
      </c>
      <c r="G39" s="83">
        <v>624.76</v>
      </c>
      <c r="H39" s="83">
        <f t="shared" si="11"/>
        <v>3628.5600000000004</v>
      </c>
    </row>
    <row r="40" spans="1:8" s="83" customFormat="1" x14ac:dyDescent="0.25">
      <c r="A40" t="s">
        <v>268</v>
      </c>
      <c r="B40" s="83">
        <v>0</v>
      </c>
      <c r="C40" s="83">
        <v>0</v>
      </c>
      <c r="D40" s="83">
        <v>0</v>
      </c>
      <c r="E40" s="83">
        <v>0</v>
      </c>
      <c r="F40" s="83">
        <v>0</v>
      </c>
      <c r="G40" s="83">
        <v>0</v>
      </c>
      <c r="H40" s="83">
        <f t="shared" si="11"/>
        <v>0</v>
      </c>
    </row>
    <row r="41" spans="1:8" s="83" customFormat="1" x14ac:dyDescent="0.25">
      <c r="A41" t="s">
        <v>390</v>
      </c>
      <c r="B41" s="83">
        <v>990</v>
      </c>
      <c r="C41" s="83">
        <v>399.19</v>
      </c>
      <c r="D41" s="83">
        <f>292.3+700.49</f>
        <v>992.79</v>
      </c>
      <c r="E41" s="83">
        <v>0</v>
      </c>
      <c r="F41" s="83">
        <v>0</v>
      </c>
      <c r="G41" s="83">
        <v>66.2</v>
      </c>
      <c r="H41" s="83">
        <f t="shared" si="11"/>
        <v>2448.1799999999998</v>
      </c>
    </row>
    <row r="42" spans="1:8" s="83" customFormat="1" x14ac:dyDescent="0.25">
      <c r="A42" t="s">
        <v>391</v>
      </c>
      <c r="B42" s="83">
        <v>1367.42</v>
      </c>
      <c r="C42" s="83">
        <v>0</v>
      </c>
      <c r="D42" s="83">
        <v>573.99</v>
      </c>
      <c r="E42" s="83">
        <v>425.44</v>
      </c>
      <c r="F42" s="83">
        <v>1130</v>
      </c>
      <c r="G42" s="83">
        <v>3112</v>
      </c>
      <c r="H42" s="83">
        <f t="shared" si="11"/>
        <v>6608.85</v>
      </c>
    </row>
    <row r="43" spans="1:8" s="83" customFormat="1" x14ac:dyDescent="0.25">
      <c r="A43" t="s">
        <v>392</v>
      </c>
      <c r="B43" s="83">
        <f>103.4+4531.26</f>
        <v>4634.66</v>
      </c>
      <c r="C43" s="83">
        <f>106.4+1356.39</f>
        <v>1462.7900000000002</v>
      </c>
      <c r="D43" s="83">
        <f>106.4+1345.43</f>
        <v>1451.8300000000002</v>
      </c>
      <c r="E43" s="83">
        <f>106.4+873.33</f>
        <v>979.73</v>
      </c>
      <c r="F43" s="83">
        <f>106.4+1079.16</f>
        <v>1185.5600000000002</v>
      </c>
      <c r="G43" s="83">
        <f>106.4+1019.59</f>
        <v>1125.99</v>
      </c>
      <c r="H43" s="83">
        <f t="shared" si="11"/>
        <v>10840.56</v>
      </c>
    </row>
    <row r="44" spans="1:8" s="83" customFormat="1" x14ac:dyDescent="0.25">
      <c r="A44" t="s">
        <v>271</v>
      </c>
      <c r="B44" s="83">
        <v>0</v>
      </c>
      <c r="C44" s="83">
        <v>0</v>
      </c>
      <c r="D44" s="83">
        <v>0</v>
      </c>
      <c r="E44" s="83">
        <v>233.66</v>
      </c>
      <c r="F44" s="83">
        <v>0</v>
      </c>
      <c r="G44" s="83">
        <v>0</v>
      </c>
      <c r="H44" s="83">
        <f t="shared" si="11"/>
        <v>233.66</v>
      </c>
    </row>
    <row r="45" spans="1:8" s="83" customFormat="1" x14ac:dyDescent="0.25">
      <c r="A45" t="s">
        <v>272</v>
      </c>
      <c r="B45" s="83">
        <v>0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3">
        <f t="shared" si="11"/>
        <v>0</v>
      </c>
    </row>
    <row r="46" spans="1:8" s="83" customFormat="1" x14ac:dyDescent="0.25">
      <c r="A46" t="s">
        <v>270</v>
      </c>
      <c r="B46" s="83">
        <v>2424</v>
      </c>
      <c r="C46" s="83">
        <v>2424</v>
      </c>
      <c r="D46" s="83">
        <v>2424</v>
      </c>
      <c r="E46" s="83">
        <v>2424</v>
      </c>
      <c r="F46" s="83">
        <v>2426</v>
      </c>
      <c r="G46" s="83">
        <v>2424</v>
      </c>
      <c r="H46" s="83">
        <f t="shared" si="11"/>
        <v>14546</v>
      </c>
    </row>
    <row r="47" spans="1:8" s="83" customFormat="1" x14ac:dyDescent="0.25">
      <c r="A47" t="s">
        <v>389</v>
      </c>
      <c r="B47" s="83">
        <v>109</v>
      </c>
      <c r="C47" s="83">
        <v>0</v>
      </c>
      <c r="D47" s="83">
        <v>456</v>
      </c>
      <c r="E47" s="83">
        <v>0</v>
      </c>
      <c r="G47" s="83">
        <v>0</v>
      </c>
      <c r="H47" s="83">
        <f t="shared" si="11"/>
        <v>565</v>
      </c>
    </row>
    <row r="48" spans="1:8" s="83" customFormat="1" x14ac:dyDescent="0.25">
      <c r="A48" t="s">
        <v>405</v>
      </c>
      <c r="B48" s="83">
        <v>0</v>
      </c>
      <c r="C48" s="83">
        <v>0</v>
      </c>
      <c r="D48" s="83">
        <v>803.9</v>
      </c>
      <c r="E48" s="83">
        <v>0</v>
      </c>
      <c r="F48" s="83">
        <v>1736.17</v>
      </c>
      <c r="G48" s="83">
        <v>378.9</v>
      </c>
      <c r="H48" s="83">
        <f t="shared" si="11"/>
        <v>2918.9700000000003</v>
      </c>
    </row>
    <row r="49" spans="1:8" s="83" customFormat="1" x14ac:dyDescent="0.25">
      <c r="A49" t="s">
        <v>273</v>
      </c>
      <c r="B49" s="83">
        <v>491.08</v>
      </c>
      <c r="C49" s="83">
        <v>758.32</v>
      </c>
      <c r="D49" s="83">
        <v>0</v>
      </c>
      <c r="E49" s="83">
        <v>168.11</v>
      </c>
      <c r="F49" s="83">
        <v>0</v>
      </c>
      <c r="G49" s="83">
        <v>0</v>
      </c>
      <c r="H49" s="83">
        <f t="shared" si="11"/>
        <v>1417.5100000000002</v>
      </c>
    </row>
    <row r="50" spans="1:8" s="83" customFormat="1" x14ac:dyDescent="0.25">
      <c r="A50" t="s">
        <v>280</v>
      </c>
      <c r="B50" s="83">
        <v>0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f t="shared" si="11"/>
        <v>0</v>
      </c>
    </row>
    <row r="51" spans="1:8" s="83" customFormat="1" x14ac:dyDescent="0.25">
      <c r="A51" t="s">
        <v>274</v>
      </c>
      <c r="B51" s="83">
        <v>0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f t="shared" si="11"/>
        <v>0</v>
      </c>
    </row>
    <row r="52" spans="1:8" s="83" customFormat="1" x14ac:dyDescent="0.25">
      <c r="A52" t="s">
        <v>324</v>
      </c>
      <c r="B52" s="83">
        <v>9382.49</v>
      </c>
      <c r="C52" s="83">
        <v>9382.09</v>
      </c>
      <c r="D52" s="83">
        <v>9382.09</v>
      </c>
      <c r="E52" s="83">
        <v>9382.09</v>
      </c>
      <c r="F52" s="83">
        <v>9382.09</v>
      </c>
      <c r="G52" s="83">
        <v>9382.09</v>
      </c>
      <c r="H52" s="83">
        <f t="shared" si="11"/>
        <v>56292.94</v>
      </c>
    </row>
    <row r="53" spans="1:8" s="83" customFormat="1" x14ac:dyDescent="0.25">
      <c r="A53" t="s">
        <v>327</v>
      </c>
      <c r="B53" s="83">
        <v>0</v>
      </c>
      <c r="C53" s="83">
        <v>0</v>
      </c>
      <c r="D53" s="83">
        <v>0</v>
      </c>
      <c r="E53" s="83">
        <v>0</v>
      </c>
      <c r="F53" s="83">
        <v>0</v>
      </c>
      <c r="G53" s="83">
        <v>0</v>
      </c>
      <c r="H53" s="83">
        <f t="shared" si="11"/>
        <v>0</v>
      </c>
    </row>
    <row r="54" spans="1:8" s="83" customFormat="1" x14ac:dyDescent="0.25">
      <c r="A54" t="s">
        <v>402</v>
      </c>
      <c r="B54" s="83">
        <v>0</v>
      </c>
      <c r="C54" s="83">
        <v>2048</v>
      </c>
      <c r="D54" s="83">
        <v>0</v>
      </c>
      <c r="E54" s="83">
        <v>324.79000000000002</v>
      </c>
      <c r="F54" s="83">
        <v>0</v>
      </c>
      <c r="G54" s="83">
        <v>0</v>
      </c>
      <c r="H54" s="83">
        <f t="shared" si="11"/>
        <v>2372.79</v>
      </c>
    </row>
    <row r="55" spans="1:8" s="83" customFormat="1" x14ac:dyDescent="0.25">
      <c r="A55" t="s">
        <v>403</v>
      </c>
      <c r="B55" s="83">
        <v>1140.8399999999999</v>
      </c>
      <c r="C55" s="83">
        <v>925.84</v>
      </c>
      <c r="D55" s="83">
        <v>0</v>
      </c>
      <c r="E55" s="83">
        <v>795.42</v>
      </c>
      <c r="F55" s="83">
        <v>345.42</v>
      </c>
      <c r="G55" s="83">
        <v>359.24</v>
      </c>
      <c r="H55" s="83">
        <f>SUM(B55:G55)</f>
        <v>3566.76</v>
      </c>
    </row>
    <row r="56" spans="1:8" s="83" customFormat="1" x14ac:dyDescent="0.25">
      <c r="A56" s="58" t="s">
        <v>366</v>
      </c>
      <c r="B56" s="115">
        <f t="shared" ref="B56:H56" si="12">SUM(B35:B55)</f>
        <v>42252.19</v>
      </c>
      <c r="C56" s="115">
        <f t="shared" si="12"/>
        <v>21778.43</v>
      </c>
      <c r="D56" s="115">
        <f t="shared" si="12"/>
        <v>40785.010000000009</v>
      </c>
      <c r="E56" s="115">
        <f t="shared" si="12"/>
        <v>28457.43</v>
      </c>
      <c r="F56" s="115">
        <f t="shared" ref="F56" si="13">SUM(F35:F55)</f>
        <v>23283.91</v>
      </c>
      <c r="G56" s="115">
        <f t="shared" si="12"/>
        <v>18944.48</v>
      </c>
      <c r="H56" s="115">
        <f t="shared" si="12"/>
        <v>175501.45</v>
      </c>
    </row>
    <row r="58" spans="1:8" s="83" customFormat="1" x14ac:dyDescent="0.25">
      <c r="A58" s="58" t="s">
        <v>325</v>
      </c>
    </row>
    <row r="59" spans="1:8" s="83" customFormat="1" x14ac:dyDescent="0.25">
      <c r="A59" t="s">
        <v>283</v>
      </c>
      <c r="B59" s="83">
        <v>312.36</v>
      </c>
      <c r="C59" s="83">
        <v>716.18</v>
      </c>
      <c r="D59" s="83">
        <v>449.5</v>
      </c>
      <c r="E59" s="83">
        <v>269.7</v>
      </c>
      <c r="F59" s="83">
        <v>285.98</v>
      </c>
      <c r="G59" s="83">
        <v>195.44</v>
      </c>
      <c r="H59" s="83">
        <f>SUM(B59:G59)</f>
        <v>2229.16</v>
      </c>
    </row>
    <row r="60" spans="1:8" s="83" customFormat="1" ht="14.25" customHeight="1" x14ac:dyDescent="0.25">
      <c r="A60" t="s">
        <v>284</v>
      </c>
      <c r="B60" s="83">
        <v>695.17</v>
      </c>
      <c r="C60" s="83">
        <v>459.08</v>
      </c>
      <c r="D60" s="83">
        <v>395.17</v>
      </c>
      <c r="E60" s="83">
        <v>502.1</v>
      </c>
      <c r="F60" s="83">
        <v>-70.98</v>
      </c>
      <c r="G60" s="83">
        <v>481.53</v>
      </c>
      <c r="H60" s="83">
        <f t="shared" ref="H60:H69" si="14">SUM(B60:G60)</f>
        <v>2462.0699999999997</v>
      </c>
    </row>
    <row r="61" spans="1:8" s="83" customFormat="1" ht="14.25" customHeight="1" x14ac:dyDescent="0.25">
      <c r="A61" t="s">
        <v>396</v>
      </c>
      <c r="B61" s="83">
        <v>485.42</v>
      </c>
      <c r="C61" s="83">
        <v>636.49</v>
      </c>
      <c r="D61" s="83">
        <v>407.96</v>
      </c>
      <c r="E61" s="83">
        <v>543.39</v>
      </c>
      <c r="F61" s="83">
        <v>372.65</v>
      </c>
      <c r="G61" s="83">
        <v>279.72000000000003</v>
      </c>
      <c r="H61" s="83">
        <f t="shared" si="14"/>
        <v>2725.63</v>
      </c>
    </row>
    <row r="62" spans="1:8" s="83" customFormat="1" x14ac:dyDescent="0.25">
      <c r="A62" t="s">
        <v>326</v>
      </c>
      <c r="B62" s="83">
        <v>0</v>
      </c>
      <c r="C62" s="83">
        <v>200</v>
      </c>
      <c r="D62" s="83">
        <v>250</v>
      </c>
      <c r="E62" s="83">
        <v>300</v>
      </c>
      <c r="F62" s="83">
        <v>850</v>
      </c>
      <c r="G62" s="83">
        <v>0</v>
      </c>
      <c r="H62" s="83">
        <f t="shared" si="14"/>
        <v>1600</v>
      </c>
    </row>
    <row r="63" spans="1:8" s="83" customFormat="1" x14ac:dyDescent="0.25">
      <c r="A63" t="s">
        <v>338</v>
      </c>
      <c r="B63" s="83">
        <v>265.62</v>
      </c>
      <c r="C63" s="83">
        <v>265.62</v>
      </c>
      <c r="D63" s="83">
        <v>0</v>
      </c>
      <c r="E63" s="83">
        <v>132.81</v>
      </c>
      <c r="F63" s="83">
        <v>132.81</v>
      </c>
      <c r="G63" s="83">
        <v>132.81</v>
      </c>
      <c r="H63" s="83">
        <f t="shared" si="14"/>
        <v>929.66999999999985</v>
      </c>
    </row>
    <row r="64" spans="1:8" s="83" customFormat="1" x14ac:dyDescent="0.25">
      <c r="A64" t="s">
        <v>404</v>
      </c>
      <c r="B64" s="83">
        <v>0</v>
      </c>
      <c r="C64" s="83">
        <v>7242.01</v>
      </c>
      <c r="D64" s="83">
        <v>0</v>
      </c>
      <c r="E64" s="83">
        <v>3087.89</v>
      </c>
      <c r="F64" s="83">
        <v>0</v>
      </c>
      <c r="G64" s="83">
        <v>0</v>
      </c>
      <c r="H64" s="83">
        <f t="shared" si="14"/>
        <v>10329.9</v>
      </c>
    </row>
    <row r="65" spans="1:8" s="83" customFormat="1" x14ac:dyDescent="0.25">
      <c r="A65" t="s">
        <v>285</v>
      </c>
      <c r="B65" s="83">
        <v>792.59</v>
      </c>
      <c r="C65" s="83">
        <v>18.940000000000001</v>
      </c>
      <c r="D65" s="83">
        <v>0</v>
      </c>
      <c r="E65" s="83">
        <v>164.03</v>
      </c>
      <c r="F65" s="83">
        <v>0</v>
      </c>
      <c r="G65" s="83">
        <v>0</v>
      </c>
      <c r="H65" s="83">
        <f t="shared" si="14"/>
        <v>975.56000000000006</v>
      </c>
    </row>
    <row r="66" spans="1:8" s="83" customFormat="1" x14ac:dyDescent="0.25">
      <c r="A66" t="s">
        <v>393</v>
      </c>
      <c r="B66" s="83">
        <v>550</v>
      </c>
      <c r="C66" s="83">
        <v>550</v>
      </c>
      <c r="D66" s="83">
        <v>550</v>
      </c>
      <c r="E66" s="83">
        <v>550</v>
      </c>
      <c r="F66" s="83">
        <v>550</v>
      </c>
      <c r="G66" s="83">
        <v>375</v>
      </c>
      <c r="H66" s="83">
        <f t="shared" si="14"/>
        <v>3125</v>
      </c>
    </row>
    <row r="67" spans="1:8" s="83" customFormat="1" x14ac:dyDescent="0.25">
      <c r="A67" t="s">
        <v>394</v>
      </c>
      <c r="B67" s="83">
        <v>1500</v>
      </c>
      <c r="C67" s="83">
        <v>1500</v>
      </c>
      <c r="D67" s="83">
        <v>1500</v>
      </c>
      <c r="E67" s="83">
        <v>1500</v>
      </c>
      <c r="F67" s="83">
        <v>1500</v>
      </c>
      <c r="G67" s="83">
        <v>1500</v>
      </c>
      <c r="H67" s="83">
        <f t="shared" si="14"/>
        <v>9000</v>
      </c>
    </row>
    <row r="68" spans="1:8" s="83" customFormat="1" x14ac:dyDescent="0.25">
      <c r="A68" t="s">
        <v>395</v>
      </c>
      <c r="B68" s="83">
        <v>0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f t="shared" si="14"/>
        <v>0</v>
      </c>
    </row>
    <row r="69" spans="1:8" s="83" customFormat="1" x14ac:dyDescent="0.25">
      <c r="A69" t="s">
        <v>288</v>
      </c>
      <c r="B69" s="83">
        <v>0</v>
      </c>
      <c r="C69" s="83">
        <v>0</v>
      </c>
      <c r="D69" s="83">
        <v>0</v>
      </c>
      <c r="E69" s="83">
        <v>0</v>
      </c>
      <c r="F69" s="83">
        <v>0</v>
      </c>
      <c r="G69" s="83">
        <v>642</v>
      </c>
      <c r="H69" s="83">
        <f t="shared" si="14"/>
        <v>642</v>
      </c>
    </row>
    <row r="70" spans="1:8" s="83" customFormat="1" x14ac:dyDescent="0.25">
      <c r="A70" s="58" t="s">
        <v>328</v>
      </c>
      <c r="B70" s="115">
        <f>SUM(B59:B69)</f>
        <v>4601.16</v>
      </c>
      <c r="C70" s="115">
        <f t="shared" ref="C70:H70" si="15">SUM(C59:C69)</f>
        <v>11588.320000000002</v>
      </c>
      <c r="D70" s="115">
        <f t="shared" si="15"/>
        <v>3552.63</v>
      </c>
      <c r="E70" s="115">
        <f t="shared" si="15"/>
        <v>7049.9199999999992</v>
      </c>
      <c r="F70" s="115">
        <f t="shared" ref="F70:G70" si="16">SUM(F59:F69)</f>
        <v>3620.46</v>
      </c>
      <c r="G70" s="115">
        <f t="shared" si="16"/>
        <v>3606.5</v>
      </c>
      <c r="H70" s="115">
        <f t="shared" si="15"/>
        <v>34018.990000000005</v>
      </c>
    </row>
    <row r="71" spans="1:8" s="83" customFormat="1" x14ac:dyDescent="0.25">
      <c r="A71" t="s">
        <v>277</v>
      </c>
    </row>
    <row r="72" spans="1:8" s="83" customFormat="1" ht="15.75" thickBot="1" x14ac:dyDescent="0.3">
      <c r="A72" s="58" t="s">
        <v>240</v>
      </c>
      <c r="B72" s="116">
        <f t="shared" ref="B72:H72" si="17">B32+B56+B70</f>
        <v>77318.710000000006</v>
      </c>
      <c r="C72" s="116">
        <f t="shared" si="17"/>
        <v>77611.460000000006</v>
      </c>
      <c r="D72" s="116">
        <f t="shared" si="17"/>
        <v>107646.59000000001</v>
      </c>
      <c r="E72" s="116">
        <f t="shared" si="17"/>
        <v>68995.680000000008</v>
      </c>
      <c r="F72" s="116">
        <f t="shared" ref="F72" si="18">F32+F56+F70</f>
        <v>54383.74</v>
      </c>
      <c r="G72" s="116">
        <f t="shared" si="17"/>
        <v>49646.649999999994</v>
      </c>
      <c r="H72" s="116">
        <f t="shared" si="17"/>
        <v>435602.82999999996</v>
      </c>
    </row>
    <row r="74" spans="1:8" s="83" customFormat="1" x14ac:dyDescent="0.25">
      <c r="A74" s="58" t="s">
        <v>329</v>
      </c>
    </row>
    <row r="75" spans="1:8" s="83" customFormat="1" x14ac:dyDescent="0.25">
      <c r="A75" t="s">
        <v>398</v>
      </c>
      <c r="B75" s="83">
        <v>5000</v>
      </c>
      <c r="C75" s="83">
        <v>5000</v>
      </c>
      <c r="D75" s="83">
        <v>5000</v>
      </c>
      <c r="E75" s="83">
        <v>5000</v>
      </c>
      <c r="F75" s="83">
        <v>5000</v>
      </c>
      <c r="G75" s="83">
        <v>5000</v>
      </c>
      <c r="H75" s="83">
        <f>SUM(B75:G75)</f>
        <v>30000</v>
      </c>
    </row>
    <row r="76" spans="1:8" s="83" customFormat="1" x14ac:dyDescent="0.25">
      <c r="A76" t="s">
        <v>397</v>
      </c>
      <c r="B76" s="83">
        <v>1000</v>
      </c>
      <c r="C76" s="83">
        <v>1000</v>
      </c>
      <c r="D76" s="83">
        <v>1000</v>
      </c>
      <c r="E76" s="83">
        <v>1000</v>
      </c>
      <c r="F76" s="83">
        <v>0</v>
      </c>
      <c r="G76" s="83">
        <v>0</v>
      </c>
      <c r="H76" s="83">
        <f t="shared" ref="H76:H79" si="19">SUM(B76:G76)</f>
        <v>4000</v>
      </c>
    </row>
    <row r="77" spans="1:8" s="83" customFormat="1" x14ac:dyDescent="0.25">
      <c r="A77" t="s">
        <v>399</v>
      </c>
      <c r="B77" s="83">
        <v>1833.08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f t="shared" si="19"/>
        <v>1833.08</v>
      </c>
    </row>
    <row r="78" spans="1:8" s="83" customFormat="1" x14ac:dyDescent="0.25">
      <c r="A78" t="s">
        <v>400</v>
      </c>
      <c r="B78" s="83">
        <v>-3691.03</v>
      </c>
      <c r="C78" s="83">
        <v>-3673.36</v>
      </c>
      <c r="D78" s="83">
        <v>-3655.63</v>
      </c>
      <c r="E78" s="83">
        <v>-3637.86</v>
      </c>
      <c r="F78" s="83">
        <v>-3620.04</v>
      </c>
      <c r="G78" s="83">
        <v>-3602.17</v>
      </c>
      <c r="H78" s="83">
        <f t="shared" si="19"/>
        <v>-21880.090000000004</v>
      </c>
    </row>
    <row r="79" spans="1:8" s="83" customFormat="1" x14ac:dyDescent="0.25">
      <c r="A79" t="s">
        <v>401</v>
      </c>
      <c r="B79" s="83">
        <v>-6058.71</v>
      </c>
      <c r="C79" s="83">
        <v>-6058.71</v>
      </c>
      <c r="D79" s="83">
        <v>-6058.71</v>
      </c>
      <c r="E79" s="83">
        <v>-6058.71</v>
      </c>
      <c r="F79" s="83">
        <v>-6058.71</v>
      </c>
      <c r="G79" s="83">
        <v>-6058.71</v>
      </c>
      <c r="H79" s="83">
        <f t="shared" si="19"/>
        <v>-36352.26</v>
      </c>
    </row>
    <row r="80" spans="1:8" x14ac:dyDescent="0.25">
      <c r="A80" s="58" t="s">
        <v>331</v>
      </c>
      <c r="B80" s="115">
        <f t="shared" ref="B80:H80" si="20">SUM(B75:B79)</f>
        <v>-1916.6600000000008</v>
      </c>
      <c r="C80" s="115">
        <f t="shared" si="20"/>
        <v>-3732.07</v>
      </c>
      <c r="D80" s="115">
        <f t="shared" si="20"/>
        <v>-3714.34</v>
      </c>
      <c r="E80" s="115">
        <f t="shared" si="20"/>
        <v>-3696.57</v>
      </c>
      <c r="F80" s="115">
        <f t="shared" ref="F80" si="21">SUM(F75:F79)</f>
        <v>-4678.75</v>
      </c>
      <c r="G80" s="115">
        <f t="shared" si="20"/>
        <v>-4660.88</v>
      </c>
      <c r="H80" s="115">
        <f t="shared" si="20"/>
        <v>-22399.270000000004</v>
      </c>
    </row>
    <row r="82" spans="1:9" ht="15.75" thickBot="1" x14ac:dyDescent="0.3">
      <c r="A82" s="58" t="s">
        <v>332</v>
      </c>
      <c r="B82" s="117">
        <f t="shared" ref="B82:H82" si="22">B20-B72+B80</f>
        <v>63046.079999999973</v>
      </c>
      <c r="C82" s="117">
        <f t="shared" si="22"/>
        <v>50012.599999999969</v>
      </c>
      <c r="D82" s="117">
        <f t="shared" si="22"/>
        <v>13220.929999999989</v>
      </c>
      <c r="E82" s="117">
        <f t="shared" si="22"/>
        <v>4942.919999999991</v>
      </c>
      <c r="F82" s="117">
        <f t="shared" ref="F82" si="23">F20-F72+F80</f>
        <v>-30308.14</v>
      </c>
      <c r="G82" s="117">
        <f t="shared" si="22"/>
        <v>-40879.469999999994</v>
      </c>
      <c r="H82" s="117">
        <f t="shared" si="22"/>
        <v>60034.920000000115</v>
      </c>
      <c r="I82"/>
    </row>
    <row r="83" spans="1:9" ht="15.75" thickTop="1" x14ac:dyDescent="0.25"/>
    <row r="84" spans="1:9" x14ac:dyDescent="0.25">
      <c r="B84" s="83">
        <v>63046.080000000002</v>
      </c>
      <c r="C84" s="83">
        <v>50012.6</v>
      </c>
      <c r="D84" s="83">
        <v>13220.93</v>
      </c>
      <c r="E84" s="83">
        <v>4942.92</v>
      </c>
      <c r="F84" s="83">
        <v>-30308.14</v>
      </c>
      <c r="G84" s="83">
        <v>-40879.47</v>
      </c>
      <c r="H84" s="83">
        <v>60034.92</v>
      </c>
    </row>
    <row r="85" spans="1:9" x14ac:dyDescent="0.25">
      <c r="B85" s="83">
        <f>B82-B84</f>
        <v>0</v>
      </c>
      <c r="C85" s="83">
        <f>C82-C84</f>
        <v>0</v>
      </c>
      <c r="D85" s="83">
        <f t="shared" ref="D85:H85" si="24">D82-D84</f>
        <v>0</v>
      </c>
      <c r="E85" s="83">
        <f t="shared" si="24"/>
        <v>-9.0949470177292824E-12</v>
      </c>
      <c r="F85" s="83">
        <f t="shared" si="24"/>
        <v>0</v>
      </c>
      <c r="G85" s="83">
        <f t="shared" si="24"/>
        <v>0</v>
      </c>
      <c r="H85" s="83">
        <f t="shared" si="24"/>
        <v>1.1641532182693481E-10</v>
      </c>
    </row>
  </sheetData>
  <mergeCells count="3">
    <mergeCell ref="A1:H1"/>
    <mergeCell ref="A2:H2"/>
    <mergeCell ref="A3:H3"/>
  </mergeCells>
  <pageMargins left="0.7" right="0.7" top="0.75" bottom="0.75" header="0.3" footer="0.3"/>
  <pageSetup scale="5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D844B-ABAB-447D-916D-9CCBD6CD94FC}">
  <sheetPr>
    <tabColor theme="9" tint="-0.249977111117893"/>
  </sheetPr>
  <dimension ref="A1:I29"/>
  <sheetViews>
    <sheetView view="pageBreakPreview" zoomScale="60" zoomScaleNormal="100" workbookViewId="0">
      <pane ySplit="6" topLeftCell="A7" activePane="bottomLeft" state="frozen"/>
      <selection activeCell="A16" sqref="A16"/>
      <selection pane="bottomLeft" activeCell="N33" sqref="N33"/>
    </sheetView>
  </sheetViews>
  <sheetFormatPr defaultRowHeight="15" x14ac:dyDescent="0.25"/>
  <cols>
    <col min="1" max="1" width="44.42578125" bestFit="1" customWidth="1"/>
    <col min="2" max="3" width="13" style="83" bestFit="1" customWidth="1"/>
    <col min="4" max="4" width="13.42578125" style="83" bestFit="1" customWidth="1"/>
    <col min="5" max="7" width="13" style="83" bestFit="1" customWidth="1"/>
    <col min="8" max="8" width="13.42578125" style="83" bestFit="1" customWidth="1"/>
    <col min="9" max="9" width="9.140625" style="83"/>
    <col min="10" max="10" width="9.5703125" bestFit="1" customWidth="1"/>
    <col min="12" max="12" width="11.5703125" bestFit="1" customWidth="1"/>
  </cols>
  <sheetData>
    <row r="1" spans="1:8" x14ac:dyDescent="0.25">
      <c r="A1" s="274" t="s">
        <v>450</v>
      </c>
      <c r="B1" s="274"/>
      <c r="C1" s="274"/>
      <c r="D1" s="274"/>
      <c r="E1" s="274"/>
      <c r="F1" s="274"/>
      <c r="G1" s="274"/>
      <c r="H1" s="274"/>
    </row>
    <row r="2" spans="1:8" x14ac:dyDescent="0.25">
      <c r="A2" s="274" t="s">
        <v>306</v>
      </c>
      <c r="B2" s="274"/>
      <c r="C2" s="274"/>
      <c r="D2" s="274"/>
      <c r="E2" s="274"/>
      <c r="F2" s="274"/>
      <c r="G2" s="274"/>
      <c r="H2" s="274"/>
    </row>
    <row r="3" spans="1:8" x14ac:dyDescent="0.25">
      <c r="A3" s="274">
        <v>2018</v>
      </c>
      <c r="B3" s="274"/>
      <c r="C3" s="274"/>
      <c r="D3" s="274"/>
      <c r="E3" s="274"/>
      <c r="F3" s="274"/>
      <c r="G3" s="274"/>
      <c r="H3" s="274"/>
    </row>
    <row r="4" spans="1:8" x14ac:dyDescent="0.25">
      <c r="A4" s="114"/>
      <c r="B4" s="114"/>
      <c r="C4" s="114"/>
      <c r="D4" s="114"/>
      <c r="E4" s="114"/>
      <c r="F4" s="114"/>
      <c r="G4" s="114"/>
      <c r="H4" s="114"/>
    </row>
    <row r="5" spans="1:8" x14ac:dyDescent="0.25">
      <c r="A5" s="114"/>
      <c r="B5" s="114"/>
      <c r="C5" s="114"/>
      <c r="D5" s="114"/>
      <c r="E5" s="114"/>
      <c r="F5" s="114"/>
      <c r="G5" s="114"/>
      <c r="H5" s="114"/>
    </row>
    <row r="6" spans="1:8" x14ac:dyDescent="0.25">
      <c r="B6" s="118" t="s">
        <v>333</v>
      </c>
      <c r="C6" s="118" t="s">
        <v>334</v>
      </c>
      <c r="D6" s="118" t="s">
        <v>335</v>
      </c>
      <c r="E6" s="118" t="s">
        <v>336</v>
      </c>
      <c r="F6" s="118" t="s">
        <v>412</v>
      </c>
      <c r="G6" s="118" t="s">
        <v>456</v>
      </c>
      <c r="H6" s="118" t="s">
        <v>216</v>
      </c>
    </row>
    <row r="8" spans="1:8" s="83" customFormat="1" x14ac:dyDescent="0.25">
      <c r="A8" s="58" t="s">
        <v>239</v>
      </c>
    </row>
    <row r="9" spans="1:8" s="83" customFormat="1" x14ac:dyDescent="0.25">
      <c r="A9" s="58" t="s">
        <v>320</v>
      </c>
    </row>
    <row r="10" spans="1:8" s="83" customFormat="1" x14ac:dyDescent="0.25">
      <c r="A10" t="s">
        <v>389</v>
      </c>
      <c r="B10" s="83">
        <v>0</v>
      </c>
      <c r="C10" s="83">
        <v>0</v>
      </c>
      <c r="D10" s="83">
        <v>0</v>
      </c>
      <c r="E10" s="83">
        <v>520</v>
      </c>
      <c r="F10" s="83">
        <v>0</v>
      </c>
      <c r="G10" s="83">
        <v>0</v>
      </c>
      <c r="H10" s="83">
        <f t="shared" ref="H10:H11" si="0">SUM(B10:G10)</f>
        <v>520</v>
      </c>
    </row>
    <row r="11" spans="1:8" s="83" customFormat="1" x14ac:dyDescent="0.25">
      <c r="A11" t="s">
        <v>324</v>
      </c>
      <c r="B11" s="83">
        <v>9251.27</v>
      </c>
      <c r="C11" s="83">
        <v>9251.27</v>
      </c>
      <c r="D11" s="83">
        <v>9251.27</v>
      </c>
      <c r="E11" s="83">
        <v>9251.27</v>
      </c>
      <c r="F11" s="83">
        <v>9251.27</v>
      </c>
      <c r="G11" s="83">
        <v>9251.27</v>
      </c>
      <c r="H11" s="83">
        <f t="shared" si="0"/>
        <v>55507.62000000001</v>
      </c>
    </row>
    <row r="12" spans="1:8" s="83" customFormat="1" x14ac:dyDescent="0.25">
      <c r="A12" s="58" t="s">
        <v>366</v>
      </c>
      <c r="B12" s="115">
        <f t="shared" ref="B12:H12" si="1">SUM(B10:B11)</f>
        <v>9251.27</v>
      </c>
      <c r="C12" s="115">
        <f t="shared" si="1"/>
        <v>9251.27</v>
      </c>
      <c r="D12" s="115">
        <f t="shared" si="1"/>
        <v>9251.27</v>
      </c>
      <c r="E12" s="115">
        <f t="shared" si="1"/>
        <v>9771.27</v>
      </c>
      <c r="F12" s="115">
        <f t="shared" ref="F12" si="2">SUM(F10:F11)</f>
        <v>9251.27</v>
      </c>
      <c r="G12" s="115">
        <f t="shared" si="1"/>
        <v>9251.27</v>
      </c>
      <c r="H12" s="115">
        <f t="shared" si="1"/>
        <v>56027.62000000001</v>
      </c>
    </row>
    <row r="14" spans="1:8" s="83" customFormat="1" x14ac:dyDescent="0.25">
      <c r="A14" s="58" t="s">
        <v>325</v>
      </c>
    </row>
    <row r="15" spans="1:8" s="83" customFormat="1" x14ac:dyDescent="0.25">
      <c r="A15" t="s">
        <v>393</v>
      </c>
      <c r="B15" s="83">
        <v>265</v>
      </c>
      <c r="C15" s="83">
        <v>265</v>
      </c>
      <c r="D15" s="83">
        <v>265</v>
      </c>
      <c r="E15" s="83">
        <v>265</v>
      </c>
      <c r="F15" s="83">
        <v>265</v>
      </c>
      <c r="G15" s="83">
        <v>265</v>
      </c>
      <c r="H15" s="83">
        <f t="shared" ref="H15" si="3">SUM(B15:G15)</f>
        <v>1590</v>
      </c>
    </row>
    <row r="16" spans="1:8" s="83" customFormat="1" x14ac:dyDescent="0.25">
      <c r="A16" s="58"/>
      <c r="B16" s="115">
        <f t="shared" ref="B16:H16" si="4">SUM(B15:B15)</f>
        <v>265</v>
      </c>
      <c r="C16" s="115">
        <f t="shared" si="4"/>
        <v>265</v>
      </c>
      <c r="D16" s="115">
        <f t="shared" si="4"/>
        <v>265</v>
      </c>
      <c r="E16" s="115">
        <f t="shared" si="4"/>
        <v>265</v>
      </c>
      <c r="F16" s="115">
        <f t="shared" ref="F16" si="5">SUM(F15:F15)</f>
        <v>265</v>
      </c>
      <c r="G16" s="115">
        <f t="shared" si="4"/>
        <v>265</v>
      </c>
      <c r="H16" s="115">
        <f t="shared" si="4"/>
        <v>1590</v>
      </c>
    </row>
    <row r="17" spans="1:9" s="83" customFormat="1" x14ac:dyDescent="0.25">
      <c r="A17" t="s">
        <v>277</v>
      </c>
    </row>
    <row r="18" spans="1:9" s="83" customFormat="1" ht="15.75" thickBot="1" x14ac:dyDescent="0.3">
      <c r="A18" s="58" t="s">
        <v>240</v>
      </c>
      <c r="B18" s="116">
        <f t="shared" ref="B18:H18" si="6">B12+B16</f>
        <v>9516.27</v>
      </c>
      <c r="C18" s="116">
        <f t="shared" si="6"/>
        <v>9516.27</v>
      </c>
      <c r="D18" s="116">
        <f t="shared" si="6"/>
        <v>9516.27</v>
      </c>
      <c r="E18" s="116">
        <f t="shared" si="6"/>
        <v>10036.27</v>
      </c>
      <c r="F18" s="116">
        <f t="shared" ref="F18" si="7">F12+F16</f>
        <v>9516.27</v>
      </c>
      <c r="G18" s="116">
        <f t="shared" si="6"/>
        <v>9516.27</v>
      </c>
      <c r="H18" s="116">
        <f t="shared" si="6"/>
        <v>57617.62000000001</v>
      </c>
    </row>
    <row r="20" spans="1:9" s="83" customFormat="1" x14ac:dyDescent="0.25">
      <c r="A20" s="58" t="s">
        <v>329</v>
      </c>
    </row>
    <row r="21" spans="1:9" s="83" customFormat="1" x14ac:dyDescent="0.25">
      <c r="A21" t="s">
        <v>398</v>
      </c>
      <c r="B21" s="83">
        <v>16700</v>
      </c>
      <c r="C21" s="83">
        <v>16700</v>
      </c>
      <c r="D21" s="83">
        <v>16700</v>
      </c>
      <c r="E21" s="83">
        <v>16700</v>
      </c>
      <c r="F21" s="83">
        <v>16700</v>
      </c>
      <c r="G21" s="83">
        <v>16700</v>
      </c>
      <c r="H21" s="83">
        <f>SUM(B21:G21)</f>
        <v>100200</v>
      </c>
    </row>
    <row r="22" spans="1:9" s="83" customFormat="1" x14ac:dyDescent="0.25">
      <c r="A22" t="s">
        <v>441</v>
      </c>
      <c r="B22" s="83">
        <v>1000</v>
      </c>
      <c r="C22" s="83">
        <v>1000</v>
      </c>
      <c r="D22" s="83">
        <v>1000</v>
      </c>
      <c r="E22" s="83">
        <v>1000</v>
      </c>
      <c r="F22" s="83">
        <v>1000</v>
      </c>
      <c r="G22" s="83">
        <v>1000</v>
      </c>
      <c r="H22" s="83">
        <f t="shared" ref="H22:H25" si="8">SUM(B22:G22)</f>
        <v>6000</v>
      </c>
    </row>
    <row r="23" spans="1:9" s="83" customFormat="1" x14ac:dyDescent="0.25">
      <c r="A23" t="s">
        <v>399</v>
      </c>
      <c r="B23" s="83">
        <v>1.01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83">
        <f t="shared" si="8"/>
        <v>1.01</v>
      </c>
    </row>
    <row r="24" spans="1:9" s="83" customFormat="1" x14ac:dyDescent="0.25">
      <c r="A24" t="s">
        <v>302</v>
      </c>
      <c r="B24" s="83">
        <v>3691.03</v>
      </c>
      <c r="C24" s="83">
        <v>3673.36</v>
      </c>
      <c r="D24" s="83">
        <v>3655.63</v>
      </c>
      <c r="E24" s="83">
        <v>3637.86</v>
      </c>
      <c r="F24" s="83">
        <v>3620.04</v>
      </c>
      <c r="G24" s="83">
        <v>3602.17</v>
      </c>
      <c r="H24" s="83">
        <f t="shared" si="8"/>
        <v>21880.090000000004</v>
      </c>
    </row>
    <row r="25" spans="1:9" s="83" customFormat="1" x14ac:dyDescent="0.25">
      <c r="A25" t="s">
        <v>303</v>
      </c>
      <c r="B25" s="83">
        <v>-860.93</v>
      </c>
      <c r="C25" s="83">
        <v>-860.93</v>
      </c>
      <c r="D25" s="83">
        <v>-860.93</v>
      </c>
      <c r="E25" s="83">
        <v>-860.93</v>
      </c>
      <c r="F25" s="83">
        <v>-860.93</v>
      </c>
      <c r="G25" s="83">
        <v>-860.93</v>
      </c>
      <c r="H25" s="83">
        <f t="shared" si="8"/>
        <v>-5165.58</v>
      </c>
    </row>
    <row r="26" spans="1:9" s="83" customFormat="1" x14ac:dyDescent="0.25">
      <c r="A26" s="58" t="s">
        <v>331</v>
      </c>
      <c r="B26" s="115">
        <f t="shared" ref="B26:H26" si="9">SUM(B21:B25)</f>
        <v>20531.109999999997</v>
      </c>
      <c r="C26" s="115">
        <f t="shared" si="9"/>
        <v>20512.43</v>
      </c>
      <c r="D26" s="115">
        <f t="shared" si="9"/>
        <v>20494.7</v>
      </c>
      <c r="E26" s="115">
        <f t="shared" si="9"/>
        <v>20476.93</v>
      </c>
      <c r="F26" s="115">
        <f t="shared" ref="F26" si="10">SUM(F21:F25)</f>
        <v>20459.11</v>
      </c>
      <c r="G26" s="115">
        <f t="shared" si="9"/>
        <v>20441.239999999998</v>
      </c>
      <c r="H26" s="115">
        <f t="shared" si="9"/>
        <v>122915.52</v>
      </c>
    </row>
    <row r="28" spans="1:9" ht="15.75" thickBot="1" x14ac:dyDescent="0.3">
      <c r="A28" s="58" t="s">
        <v>332</v>
      </c>
      <c r="B28" s="117">
        <f>B26-B18</f>
        <v>11014.839999999997</v>
      </c>
      <c r="C28" s="117">
        <f t="shared" ref="C28:H28" si="11">C26-C18</f>
        <v>10996.16</v>
      </c>
      <c r="D28" s="117">
        <f t="shared" si="11"/>
        <v>10978.43</v>
      </c>
      <c r="E28" s="117">
        <f t="shared" si="11"/>
        <v>10440.66</v>
      </c>
      <c r="F28" s="117">
        <f t="shared" ref="F28" si="12">F26-F18</f>
        <v>10942.84</v>
      </c>
      <c r="G28" s="117">
        <f t="shared" si="11"/>
        <v>10924.969999999998</v>
      </c>
      <c r="H28" s="117">
        <f t="shared" si="11"/>
        <v>65297.899999999994</v>
      </c>
      <c r="I28"/>
    </row>
    <row r="29" spans="1:9" ht="15.75" thickTop="1" x14ac:dyDescent="0.25"/>
  </sheetData>
  <mergeCells count="3">
    <mergeCell ref="A1:H1"/>
    <mergeCell ref="A2:H2"/>
    <mergeCell ref="A3:H3"/>
  </mergeCells>
  <pageMargins left="0.7" right="0.7" top="0.75" bottom="0.75" header="0.3" footer="0.3"/>
  <pageSetup scale="66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Summary YTD 06.30.18 (condensd)</vt:lpstr>
      <vt:lpstr>Summary YTD 06.30.18</vt:lpstr>
      <vt:lpstr>Comp Summary YTD 2018-2017 June</vt:lpstr>
      <vt:lpstr>Comparative YTD 2018-2017 June</vt:lpstr>
      <vt:lpstr>DEP</vt:lpstr>
      <vt:lpstr>BPM</vt:lpstr>
      <vt:lpstr>Lending</vt:lpstr>
      <vt:lpstr>BSC (Dome)</vt:lpstr>
      <vt:lpstr>Oliari Co.</vt:lpstr>
      <vt:lpstr>722 Bedford St</vt:lpstr>
      <vt:lpstr>CNT (G.P. by Metal)</vt:lpstr>
      <vt:lpstr>CNT (from FS Analysis)</vt:lpstr>
      <vt:lpstr>'722 Bedford St'!Print_Area</vt:lpstr>
      <vt:lpstr>'BSC (Dome)'!Print_Area</vt:lpstr>
      <vt:lpstr>'CNT (from FS Analysis)'!Print_Area</vt:lpstr>
      <vt:lpstr>'CNT (G.P. by Metal)'!Print_Area</vt:lpstr>
      <vt:lpstr>'Comp Summary YTD 2018-2017 June'!Print_Area</vt:lpstr>
      <vt:lpstr>'Comparative YTD 2018-2017 June'!Print_Area</vt:lpstr>
      <vt:lpstr>'Oliari Co.'!Print_Area</vt:lpstr>
      <vt:lpstr>'Summary YTD 06.30.18'!Print_Area</vt:lpstr>
      <vt:lpstr>'Summary YTD 06.30.18 (condensd)'!Print_Area</vt:lpstr>
      <vt:lpstr>'CNT (from FS Analysis)'!Print_Titles</vt:lpstr>
      <vt:lpstr>'Comp Summary YTD 2018-2017 June'!Print_Titles</vt:lpstr>
      <vt:lpstr>'Comparative YTD 2018-2017 June'!Print_Titles</vt:lpstr>
      <vt:lpstr>'Summary YTD 06.30.18'!Print_Titles</vt:lpstr>
      <vt:lpstr>'Summary YTD 06.30.18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2018-09-27T12:05:47Z</cp:lastPrinted>
  <dcterms:created xsi:type="dcterms:W3CDTF">2018-05-13T15:03:39Z</dcterms:created>
  <dcterms:modified xsi:type="dcterms:W3CDTF">2018-09-27T12:55:51Z</dcterms:modified>
</cp:coreProperties>
</file>